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OS-Oil Sands Operations\Royalty and Tenure\RIM\Web publications\Publication Requests\other web requests\Update to Forms Template\"/>
    </mc:Choice>
  </mc:AlternateContent>
  <bookViews>
    <workbookView xWindow="240" yWindow="108" windowWidth="15480" windowHeight="8088" tabRatio="715"/>
  </bookViews>
  <sheets>
    <sheet name="Standard - Fillable" sheetId="23" r:id="rId1"/>
    <sheet name="Standard-Example" sheetId="19" r:id="rId2"/>
    <sheet name="ONP - Fillable" sheetId="25" r:id="rId3"/>
    <sheet name="ONP-Example" sheetId="13" r:id="rId4"/>
    <sheet name="Partially Included - Fillable" sheetId="26" r:id="rId5"/>
    <sheet name="Partially included-Example" sheetId="16" r:id="rId6"/>
    <sheet name="G-Line App J Corr Notice exampl" sheetId="14" r:id="rId7"/>
    <sheet name="LTBR &amp; RORC" sheetId="5" r:id="rId8"/>
  </sheets>
  <calcPr calcId="162913"/>
</workbook>
</file>

<file path=xl/calcChain.xml><?xml version="1.0" encoding="utf-8"?>
<calcChain xmlns="http://schemas.openxmlformats.org/spreadsheetml/2006/main">
  <c r="D20" i="13" l="1"/>
  <c r="D21" i="13" s="1"/>
  <c r="D22" i="13" s="1"/>
  <c r="D23" i="13" s="1"/>
  <c r="D24" i="13" s="1"/>
  <c r="D25" i="13" s="1"/>
  <c r="D26" i="13" s="1"/>
  <c r="D27" i="13" s="1"/>
  <c r="D28" i="13" s="1"/>
  <c r="D29" i="13" s="1"/>
  <c r="D30" i="13" s="1"/>
  <c r="D31" i="13" s="1"/>
  <c r="D32" i="13" s="1"/>
  <c r="D33" i="13" s="1"/>
  <c r="D34" i="13" s="1"/>
  <c r="D35" i="13" s="1"/>
  <c r="D36" i="13" s="1"/>
  <c r="D19" i="13"/>
  <c r="D18" i="13"/>
  <c r="D17" i="13"/>
  <c r="D16" i="13"/>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23" i="19"/>
  <c r="D24" i="19" s="1"/>
  <c r="D25" i="19" s="1"/>
  <c r="D26" i="19" s="1"/>
  <c r="D27" i="19" s="1"/>
  <c r="D28" i="19" s="1"/>
  <c r="D29" i="19" s="1"/>
  <c r="D30" i="19" s="1"/>
  <c r="D31" i="19" s="1"/>
  <c r="D32" i="19" s="1"/>
  <c r="D33" i="19" s="1"/>
  <c r="D34" i="19" s="1"/>
  <c r="D35" i="19" s="1"/>
  <c r="D36" i="19" s="1"/>
  <c r="D22" i="19"/>
  <c r="D21" i="19"/>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10" i="23"/>
  <c r="R45" i="26" l="1"/>
  <c r="S43" i="26"/>
  <c r="N37" i="26"/>
  <c r="P37" i="26" s="1"/>
  <c r="L37" i="26"/>
  <c r="M37" i="26" s="1"/>
  <c r="P36" i="26"/>
  <c r="N36" i="26"/>
  <c r="L36" i="26"/>
  <c r="O36" i="26" s="1"/>
  <c r="N35" i="26"/>
  <c r="P35" i="26" s="1"/>
  <c r="L35" i="26"/>
  <c r="M35" i="26" s="1"/>
  <c r="P34" i="26"/>
  <c r="N34" i="26"/>
  <c r="L34" i="26"/>
  <c r="O34" i="26" s="1"/>
  <c r="N33" i="26"/>
  <c r="P33" i="26" s="1"/>
  <c r="L33" i="26"/>
  <c r="M33" i="26" s="1"/>
  <c r="P32" i="26"/>
  <c r="N32" i="26"/>
  <c r="L32" i="26"/>
  <c r="O32" i="26" s="1"/>
  <c r="N31" i="26"/>
  <c r="P31" i="26" s="1"/>
  <c r="L31" i="26"/>
  <c r="M31" i="26" s="1"/>
  <c r="P30" i="26"/>
  <c r="N30" i="26"/>
  <c r="L30" i="26"/>
  <c r="O30" i="26" s="1"/>
  <c r="N29" i="26"/>
  <c r="P29" i="26" s="1"/>
  <c r="L29" i="26"/>
  <c r="M29" i="26" s="1"/>
  <c r="P28" i="26"/>
  <c r="N28" i="26"/>
  <c r="L28" i="26"/>
  <c r="O28" i="26" s="1"/>
  <c r="N27" i="26"/>
  <c r="P27" i="26" s="1"/>
  <c r="L27" i="26"/>
  <c r="M27" i="26" s="1"/>
  <c r="P26" i="26"/>
  <c r="N26" i="26"/>
  <c r="L26" i="26"/>
  <c r="O26" i="26" s="1"/>
  <c r="N25" i="26"/>
  <c r="P25" i="26" s="1"/>
  <c r="L25" i="26"/>
  <c r="M25" i="26" s="1"/>
  <c r="P24" i="26"/>
  <c r="N24" i="26"/>
  <c r="L24" i="26"/>
  <c r="O24" i="26" s="1"/>
  <c r="N23" i="26"/>
  <c r="P23" i="26" s="1"/>
  <c r="L23" i="26"/>
  <c r="M23" i="26" s="1"/>
  <c r="P22" i="26"/>
  <c r="N22" i="26"/>
  <c r="L22" i="26"/>
  <c r="O22" i="26" s="1"/>
  <c r="N21" i="26"/>
  <c r="P21" i="26" s="1"/>
  <c r="L21" i="26"/>
  <c r="M21" i="26" s="1"/>
  <c r="P20" i="26"/>
  <c r="N20" i="26"/>
  <c r="L20" i="26"/>
  <c r="O20" i="26" s="1"/>
  <c r="N19" i="26"/>
  <c r="P19" i="26" s="1"/>
  <c r="L19" i="26"/>
  <c r="M19" i="26" s="1"/>
  <c r="P18" i="26"/>
  <c r="N18" i="26"/>
  <c r="L18" i="26"/>
  <c r="O18" i="26" s="1"/>
  <c r="N17" i="26"/>
  <c r="P17" i="26" s="1"/>
  <c r="L17" i="26"/>
  <c r="M17" i="26" s="1"/>
  <c r="P16" i="26"/>
  <c r="N16" i="26"/>
  <c r="L16" i="26"/>
  <c r="O16" i="26" s="1"/>
  <c r="N15" i="26"/>
  <c r="P15" i="26" s="1"/>
  <c r="L15" i="26"/>
  <c r="M15" i="26" s="1"/>
  <c r="P14" i="26"/>
  <c r="N14" i="26"/>
  <c r="L14" i="26"/>
  <c r="O14" i="26" s="1"/>
  <c r="N13" i="26"/>
  <c r="P13" i="26" s="1"/>
  <c r="L13" i="26"/>
  <c r="M13" i="26" s="1"/>
  <c r="C13" i="26"/>
  <c r="C14" i="26" s="1"/>
  <c r="C15" i="26" s="1"/>
  <c r="C16" i="26" s="1"/>
  <c r="C17" i="26" s="1"/>
  <c r="C18" i="26" s="1"/>
  <c r="C19" i="26" s="1"/>
  <c r="C20" i="26" s="1"/>
  <c r="C21" i="26" s="1"/>
  <c r="C22" i="26" s="1"/>
  <c r="C23" i="26" s="1"/>
  <c r="C24" i="26" s="1"/>
  <c r="C25" i="26" s="1"/>
  <c r="C26" i="26" s="1"/>
  <c r="C27" i="26" s="1"/>
  <c r="C28" i="26" s="1"/>
  <c r="C29" i="26" s="1"/>
  <c r="C30" i="26" s="1"/>
  <c r="C31" i="26" s="1"/>
  <c r="C32" i="26" s="1"/>
  <c r="C33" i="26" s="1"/>
  <c r="C34" i="26" s="1"/>
  <c r="C35" i="26" s="1"/>
  <c r="C36" i="26" s="1"/>
  <c r="C37" i="26" s="1"/>
  <c r="P12" i="26"/>
  <c r="N12" i="26"/>
  <c r="L12" i="26"/>
  <c r="O12" i="26" s="1"/>
  <c r="O11" i="26"/>
  <c r="N11" i="26"/>
  <c r="P11" i="26" s="1"/>
  <c r="M11" i="26"/>
  <c r="L11" i="26"/>
  <c r="P10" i="26"/>
  <c r="K10" i="26"/>
  <c r="H10" i="25"/>
  <c r="V10" i="25" s="1"/>
  <c r="N36" i="25"/>
  <c r="N35" i="25"/>
  <c r="N34" i="25"/>
  <c r="N33" i="25"/>
  <c r="N32" i="25"/>
  <c r="N31" i="25"/>
  <c r="N30" i="25"/>
  <c r="N29" i="25"/>
  <c r="N28" i="25"/>
  <c r="N27" i="25"/>
  <c r="N26" i="25"/>
  <c r="N25" i="25"/>
  <c r="N24" i="25"/>
  <c r="N23" i="25"/>
  <c r="N22" i="25"/>
  <c r="N21" i="25"/>
  <c r="N20" i="25"/>
  <c r="N19" i="25"/>
  <c r="N18" i="25"/>
  <c r="N17" i="25"/>
  <c r="N16" i="25"/>
  <c r="N15" i="25"/>
  <c r="N14" i="25"/>
  <c r="N13" i="25"/>
  <c r="N12" i="25"/>
  <c r="N11" i="25"/>
  <c r="J10" i="25"/>
  <c r="Y42" i="25"/>
  <c r="X44" i="25" s="1"/>
  <c r="AE36" i="25"/>
  <c r="AF36" i="25" s="1"/>
  <c r="AE35" i="25"/>
  <c r="AF35" i="25" s="1"/>
  <c r="AE34" i="25"/>
  <c r="AF34" i="25" s="1"/>
  <c r="AE33" i="25"/>
  <c r="AF33" i="25" s="1"/>
  <c r="AE32" i="25"/>
  <c r="AF32" i="25" s="1"/>
  <c r="AF31" i="25"/>
  <c r="AE31" i="25"/>
  <c r="AE30" i="25"/>
  <c r="AF30" i="25" s="1"/>
  <c r="AF29" i="25"/>
  <c r="AE29" i="25"/>
  <c r="AE28" i="25"/>
  <c r="AF28" i="25" s="1"/>
  <c r="AE27" i="25"/>
  <c r="AF27" i="25" s="1"/>
  <c r="AE26" i="25"/>
  <c r="AF26" i="25" s="1"/>
  <c r="AE25" i="25"/>
  <c r="AF25" i="25" s="1"/>
  <c r="AE24" i="25"/>
  <c r="AF24" i="25" s="1"/>
  <c r="AE23" i="25"/>
  <c r="AF23" i="25" s="1"/>
  <c r="AE22" i="25"/>
  <c r="AF22" i="25" s="1"/>
  <c r="AE21" i="25"/>
  <c r="AF21" i="25" s="1"/>
  <c r="AE20" i="25"/>
  <c r="AF20" i="25" s="1"/>
  <c r="AF19" i="25"/>
  <c r="AE19" i="25"/>
  <c r="AE18" i="25"/>
  <c r="AF18" i="25" s="1"/>
  <c r="AF17" i="25"/>
  <c r="AE17" i="25"/>
  <c r="AE16" i="25"/>
  <c r="AF16" i="25" s="1"/>
  <c r="AE15" i="25"/>
  <c r="AF15" i="25" s="1"/>
  <c r="AE14" i="25"/>
  <c r="AF14" i="25" s="1"/>
  <c r="AE13" i="25"/>
  <c r="AF13" i="25" s="1"/>
  <c r="AE12" i="25"/>
  <c r="AF12" i="25" s="1"/>
  <c r="AE11" i="25"/>
  <c r="AF11" i="25" s="1"/>
  <c r="AE10" i="25"/>
  <c r="AF10" i="25" s="1"/>
  <c r="C10" i="25"/>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AL9" i="25"/>
  <c r="AJ8" i="25"/>
  <c r="AI8" i="25"/>
  <c r="AH8" i="25"/>
  <c r="AG8" i="25"/>
  <c r="AA8" i="25"/>
  <c r="J5" i="25"/>
  <c r="H10" i="13"/>
  <c r="V10" i="13" s="1"/>
  <c r="I25" i="16"/>
  <c r="J10" i="19"/>
  <c r="J5" i="19"/>
  <c r="S46" i="26" l="1"/>
  <c r="S48" i="26" s="1"/>
  <c r="M12" i="26"/>
  <c r="O13" i="26"/>
  <c r="M14" i="26"/>
  <c r="O15" i="26"/>
  <c r="M16" i="26"/>
  <c r="O17" i="26"/>
  <c r="M18" i="26"/>
  <c r="O19" i="26"/>
  <c r="M20" i="26"/>
  <c r="O21" i="26"/>
  <c r="M22" i="26"/>
  <c r="O23" i="26"/>
  <c r="M24" i="26"/>
  <c r="O25" i="26"/>
  <c r="M26" i="26"/>
  <c r="O27" i="26"/>
  <c r="M28" i="26"/>
  <c r="O29" i="26"/>
  <c r="M30" i="26"/>
  <c r="O31" i="26"/>
  <c r="M32" i="26"/>
  <c r="O33" i="26"/>
  <c r="M34" i="26"/>
  <c r="O35" i="26"/>
  <c r="M36" i="26"/>
  <c r="O37" i="26"/>
  <c r="R46" i="26"/>
  <c r="I10" i="25"/>
  <c r="K10" i="25"/>
  <c r="W10" i="25"/>
  <c r="H11" i="25" s="1"/>
  <c r="P10" i="25"/>
  <c r="Q10" i="25" s="1"/>
  <c r="R10" i="25" s="1"/>
  <c r="X45" i="25"/>
  <c r="Y45" i="25" s="1"/>
  <c r="Y47" i="25" s="1"/>
  <c r="I10" i="13"/>
  <c r="P10" i="13"/>
  <c r="Q10" i="13" s="1"/>
  <c r="R10" i="13" s="1"/>
  <c r="W10" i="13"/>
  <c r="H11" i="13" s="1"/>
  <c r="J5" i="13"/>
  <c r="J10" i="13" s="1"/>
  <c r="K10" i="13" s="1"/>
  <c r="J5" i="23"/>
  <c r="L10" i="25" l="1"/>
  <c r="M10" i="25" s="1"/>
  <c r="N10" i="25" s="1"/>
  <c r="T10" i="25" s="1"/>
  <c r="I11" i="25"/>
  <c r="V11" i="25"/>
  <c r="L10" i="13"/>
  <c r="M10" i="13" s="1"/>
  <c r="I11" i="13"/>
  <c r="J11" i="13" s="1"/>
  <c r="V11" i="13"/>
  <c r="Y42" i="23"/>
  <c r="X45" i="23" s="1"/>
  <c r="AE36" i="23"/>
  <c r="AF36" i="23" s="1"/>
  <c r="AE35" i="23"/>
  <c r="AF35" i="23" s="1"/>
  <c r="AE34" i="23"/>
  <c r="AF34" i="23" s="1"/>
  <c r="AE33" i="23"/>
  <c r="AF33" i="23" s="1"/>
  <c r="AE32" i="23"/>
  <c r="AF32" i="23" s="1"/>
  <c r="AE31" i="23"/>
  <c r="AF31" i="23" s="1"/>
  <c r="AE30" i="23"/>
  <c r="AF30" i="23" s="1"/>
  <c r="AE29" i="23"/>
  <c r="AF29" i="23" s="1"/>
  <c r="AE28" i="23"/>
  <c r="AF28" i="23" s="1"/>
  <c r="AE27" i="23"/>
  <c r="AF27" i="23" s="1"/>
  <c r="AE26" i="23"/>
  <c r="AF26" i="23" s="1"/>
  <c r="AE25" i="23"/>
  <c r="AF25" i="23" s="1"/>
  <c r="AE24" i="23"/>
  <c r="AF24" i="23" s="1"/>
  <c r="AE23" i="23"/>
  <c r="AF23" i="23" s="1"/>
  <c r="AE22" i="23"/>
  <c r="AF22" i="23" s="1"/>
  <c r="AE21" i="23"/>
  <c r="AF21" i="23" s="1"/>
  <c r="AE20" i="23"/>
  <c r="AF20" i="23" s="1"/>
  <c r="AE19" i="23"/>
  <c r="AF19" i="23" s="1"/>
  <c r="AE18" i="23"/>
  <c r="AF18" i="23" s="1"/>
  <c r="AE17" i="23"/>
  <c r="AF17" i="23" s="1"/>
  <c r="AE16" i="23"/>
  <c r="AF16" i="23" s="1"/>
  <c r="AE15" i="23"/>
  <c r="AF15" i="23" s="1"/>
  <c r="AE14" i="23"/>
  <c r="AF14" i="23" s="1"/>
  <c r="AE13" i="23"/>
  <c r="AF13" i="23" s="1"/>
  <c r="AE12" i="23"/>
  <c r="AF12" i="23" s="1"/>
  <c r="AE11" i="23"/>
  <c r="AF11" i="23" s="1"/>
  <c r="AE10" i="23"/>
  <c r="AF10" i="23" s="1"/>
  <c r="H10" i="23"/>
  <c r="I10" i="23" s="1"/>
  <c r="C10" i="23"/>
  <c r="C11" i="23" s="1"/>
  <c r="AI8" i="23"/>
  <c r="AH8" i="23"/>
  <c r="AG8" i="23"/>
  <c r="S43" i="16"/>
  <c r="R46" i="16" s="1"/>
  <c r="Y42" i="13"/>
  <c r="X44" i="13" s="1"/>
  <c r="Y42" i="19"/>
  <c r="X44" i="19" s="1"/>
  <c r="S10" i="25" l="1"/>
  <c r="J11" i="25"/>
  <c r="K11" i="25" s="1"/>
  <c r="P11" i="25"/>
  <c r="Q11" i="25" s="1"/>
  <c r="R11" i="25" s="1"/>
  <c r="T11" i="25" s="1"/>
  <c r="W11" i="25"/>
  <c r="H12" i="25" s="1"/>
  <c r="K11" i="13"/>
  <c r="L11" i="13" s="1"/>
  <c r="M11" i="13" s="1"/>
  <c r="W11" i="13"/>
  <c r="H12" i="13" s="1"/>
  <c r="P11" i="13"/>
  <c r="Q11" i="13" s="1"/>
  <c r="R11" i="13" s="1"/>
  <c r="S10" i="13"/>
  <c r="N10" i="13"/>
  <c r="T10" i="13" s="1"/>
  <c r="R45" i="16"/>
  <c r="S46" i="16" s="1"/>
  <c r="S48" i="16" s="1"/>
  <c r="X45" i="19"/>
  <c r="Y45" i="19" s="1"/>
  <c r="Y47" i="19" s="1"/>
  <c r="X45" i="13"/>
  <c r="Y45" i="13" s="1"/>
  <c r="Y47" i="13" s="1"/>
  <c r="Y24" i="13" s="1"/>
  <c r="X44" i="23"/>
  <c r="Y45" i="23" s="1"/>
  <c r="Y47" i="23" s="1"/>
  <c r="C12" i="23"/>
  <c r="V10" i="23"/>
  <c r="J10" i="23"/>
  <c r="K10" i="23" s="1"/>
  <c r="I12" i="25" l="1"/>
  <c r="J12" i="25" s="1"/>
  <c r="L11" i="25"/>
  <c r="M11" i="25" s="1"/>
  <c r="S11" i="25" s="1"/>
  <c r="V12" i="25"/>
  <c r="AH10" i="25"/>
  <c r="AI10" i="25"/>
  <c r="AG10" i="25"/>
  <c r="AJ10" i="25"/>
  <c r="V12" i="13"/>
  <c r="S11" i="13"/>
  <c r="N11" i="13"/>
  <c r="T11" i="13" s="1"/>
  <c r="I12" i="13"/>
  <c r="J12" i="13" s="1"/>
  <c r="L10" i="23"/>
  <c r="M10" i="23" s="1"/>
  <c r="S10" i="23" s="1"/>
  <c r="C13" i="23"/>
  <c r="W10" i="23"/>
  <c r="H11" i="23" s="1"/>
  <c r="P10" i="23"/>
  <c r="Q10" i="23" s="1"/>
  <c r="R10" i="23" s="1"/>
  <c r="N10" i="23"/>
  <c r="W12" i="25" l="1"/>
  <c r="H13" i="25" s="1"/>
  <c r="P12" i="25"/>
  <c r="Q12" i="25" s="1"/>
  <c r="R12" i="25" s="1"/>
  <c r="T12" i="25" s="1"/>
  <c r="K12" i="25"/>
  <c r="AK10" i="25"/>
  <c r="AL10" i="25"/>
  <c r="K12" i="13"/>
  <c r="W12" i="13"/>
  <c r="H13" i="13" s="1"/>
  <c r="P12" i="13"/>
  <c r="Q12" i="13" s="1"/>
  <c r="R12" i="13" s="1"/>
  <c r="C14" i="23"/>
  <c r="I11" i="23"/>
  <c r="V11" i="23"/>
  <c r="T10" i="23"/>
  <c r="H10" i="19"/>
  <c r="AE36" i="19"/>
  <c r="AF36" i="19" s="1"/>
  <c r="AE35" i="19"/>
  <c r="AF35" i="19" s="1"/>
  <c r="AE34" i="19"/>
  <c r="AF34" i="19" s="1"/>
  <c r="AE33" i="19"/>
  <c r="AF33" i="19" s="1"/>
  <c r="AE32" i="19"/>
  <c r="AF32" i="19" s="1"/>
  <c r="AE31" i="19"/>
  <c r="AF31" i="19" s="1"/>
  <c r="AE30" i="19"/>
  <c r="AF30" i="19" s="1"/>
  <c r="AE29" i="19"/>
  <c r="AF29" i="19" s="1"/>
  <c r="AE28" i="19"/>
  <c r="AF28" i="19" s="1"/>
  <c r="AE27" i="19"/>
  <c r="AF27" i="19" s="1"/>
  <c r="AE26" i="19"/>
  <c r="AF26" i="19" s="1"/>
  <c r="AE25" i="19"/>
  <c r="AF25" i="19" s="1"/>
  <c r="AE24" i="19"/>
  <c r="AF24" i="19" s="1"/>
  <c r="AE23" i="19"/>
  <c r="AF23" i="19" s="1"/>
  <c r="AE22" i="19"/>
  <c r="AF22" i="19" s="1"/>
  <c r="AE21" i="19"/>
  <c r="AF21" i="19" s="1"/>
  <c r="AE20" i="19"/>
  <c r="AF20" i="19" s="1"/>
  <c r="AE19" i="19"/>
  <c r="AF19" i="19" s="1"/>
  <c r="AE18" i="19"/>
  <c r="AF18" i="19" s="1"/>
  <c r="AE17" i="19"/>
  <c r="AF17" i="19" s="1"/>
  <c r="AE16" i="19"/>
  <c r="AF16" i="19" s="1"/>
  <c r="AE15" i="19"/>
  <c r="AF15" i="19" s="1"/>
  <c r="AE14" i="19"/>
  <c r="AF14" i="19" s="1"/>
  <c r="AE13" i="19"/>
  <c r="AF13" i="19" s="1"/>
  <c r="AE12" i="19"/>
  <c r="AF12" i="19" s="1"/>
  <c r="AE11" i="19"/>
  <c r="AF11" i="19" s="1"/>
  <c r="AE10" i="19"/>
  <c r="AF10" i="19" s="1"/>
  <c r="AI8" i="19"/>
  <c r="AH8" i="19"/>
  <c r="AG8" i="19"/>
  <c r="I13" i="25" l="1"/>
  <c r="L12" i="25"/>
  <c r="M12" i="25" s="1"/>
  <c r="S12" i="25" s="1"/>
  <c r="V13" i="25"/>
  <c r="AI11" i="25"/>
  <c r="AH11" i="25"/>
  <c r="AJ11" i="25"/>
  <c r="AG11" i="25"/>
  <c r="V13" i="13"/>
  <c r="I13" i="13"/>
  <c r="L12" i="13"/>
  <c r="M12" i="13" s="1"/>
  <c r="J11" i="23"/>
  <c r="K11" i="23" s="1"/>
  <c r="C15" i="23"/>
  <c r="P11" i="23"/>
  <c r="Q11" i="23" s="1"/>
  <c r="R11" i="23" s="1"/>
  <c r="W11" i="23"/>
  <c r="H12" i="23" s="1"/>
  <c r="AJ10" i="23"/>
  <c r="AG10" i="23"/>
  <c r="AI10" i="23"/>
  <c r="AH10" i="23"/>
  <c r="V10" i="19"/>
  <c r="P10" i="19" s="1"/>
  <c r="Q10" i="19" s="1"/>
  <c r="S10" i="19" s="1"/>
  <c r="Y24" i="19"/>
  <c r="P13" i="25" l="1"/>
  <c r="Q13" i="25" s="1"/>
  <c r="R13" i="25" s="1"/>
  <c r="T13" i="25" s="1"/>
  <c r="W13" i="25"/>
  <c r="H14" i="25" s="1"/>
  <c r="J13" i="25"/>
  <c r="K13" i="25" s="1"/>
  <c r="AK11" i="25"/>
  <c r="AL11" i="25"/>
  <c r="P13" i="13"/>
  <c r="Q13" i="13" s="1"/>
  <c r="R13" i="13" s="1"/>
  <c r="W13" i="13"/>
  <c r="H14" i="13" s="1"/>
  <c r="J13" i="13"/>
  <c r="K13" i="13" s="1"/>
  <c r="S12" i="13"/>
  <c r="N12" i="13"/>
  <c r="T12" i="13" s="1"/>
  <c r="K10" i="19"/>
  <c r="L11" i="23"/>
  <c r="M11" i="23" s="1"/>
  <c r="S11" i="23" s="1"/>
  <c r="I12" i="23"/>
  <c r="J12" i="23" s="1"/>
  <c r="K12" i="23" s="1"/>
  <c r="C16" i="23"/>
  <c r="AK10" i="23"/>
  <c r="V12" i="23"/>
  <c r="W10" i="19"/>
  <c r="H11" i="19" s="1"/>
  <c r="I14" i="25" l="1"/>
  <c r="J14" i="25" s="1"/>
  <c r="K14" i="25" s="1"/>
  <c r="L13" i="25"/>
  <c r="M13" i="25" s="1"/>
  <c r="S13" i="25" s="1"/>
  <c r="V14" i="25"/>
  <c r="AJ12" i="25"/>
  <c r="AG12" i="25"/>
  <c r="AI12" i="25"/>
  <c r="AH12" i="25"/>
  <c r="I14" i="13"/>
  <c r="J14" i="13" s="1"/>
  <c r="L13" i="13"/>
  <c r="M13" i="13" s="1"/>
  <c r="V14" i="13"/>
  <c r="I11" i="19"/>
  <c r="J11" i="19" s="1"/>
  <c r="R10" i="19"/>
  <c r="N11" i="23"/>
  <c r="T11" i="23" s="1"/>
  <c r="AG11" i="23" s="1"/>
  <c r="C17" i="23"/>
  <c r="P12" i="23"/>
  <c r="Q12" i="23" s="1"/>
  <c r="R12" i="23" s="1"/>
  <c r="W12" i="23"/>
  <c r="H13" i="23" s="1"/>
  <c r="L12" i="23"/>
  <c r="M12" i="23" s="1"/>
  <c r="V11" i="19"/>
  <c r="L10" i="19"/>
  <c r="M10" i="19" s="1"/>
  <c r="L14" i="25" l="1"/>
  <c r="M14" i="25" s="1"/>
  <c r="W14" i="25"/>
  <c r="H15" i="25" s="1"/>
  <c r="P14" i="25"/>
  <c r="Q14" i="25" s="1"/>
  <c r="R14" i="25" s="1"/>
  <c r="T14" i="25" s="1"/>
  <c r="AL12" i="25"/>
  <c r="AK12" i="25"/>
  <c r="W14" i="13"/>
  <c r="H15" i="13" s="1"/>
  <c r="P14" i="13"/>
  <c r="Q14" i="13" s="1"/>
  <c r="R14" i="13" s="1"/>
  <c r="S13" i="13"/>
  <c r="N13" i="13"/>
  <c r="T13" i="13" s="1"/>
  <c r="K14" i="13"/>
  <c r="I15" i="13" s="1"/>
  <c r="L14" i="13"/>
  <c r="M14" i="13" s="1"/>
  <c r="K11" i="19"/>
  <c r="L11" i="19" s="1"/>
  <c r="M11" i="19" s="1"/>
  <c r="I13" i="23"/>
  <c r="J13" i="23" s="1"/>
  <c r="K13" i="23" s="1"/>
  <c r="AI11" i="23"/>
  <c r="AJ11" i="23"/>
  <c r="AH11" i="23"/>
  <c r="C18" i="23"/>
  <c r="V13" i="23"/>
  <c r="S12" i="23"/>
  <c r="N12" i="23"/>
  <c r="T12" i="23" s="1"/>
  <c r="P11" i="19"/>
  <c r="Q11" i="19" s="1"/>
  <c r="R11" i="19" s="1"/>
  <c r="W11" i="19"/>
  <c r="H12" i="19" s="1"/>
  <c r="V12" i="19" s="1"/>
  <c r="N10" i="19"/>
  <c r="T10" i="19" s="1"/>
  <c r="S14" i="25" l="1"/>
  <c r="V15" i="25"/>
  <c r="I15" i="25"/>
  <c r="S14" i="13"/>
  <c r="N14" i="13"/>
  <c r="T14" i="13" s="1"/>
  <c r="V15" i="13"/>
  <c r="J15" i="13"/>
  <c r="K15" i="13" s="1"/>
  <c r="AK11" i="23"/>
  <c r="C19" i="23"/>
  <c r="L13" i="23"/>
  <c r="M13" i="23" s="1"/>
  <c r="P13" i="23"/>
  <c r="Q13" i="23" s="1"/>
  <c r="R13" i="23" s="1"/>
  <c r="W13" i="23"/>
  <c r="H14" i="23" s="1"/>
  <c r="AI12" i="23"/>
  <c r="AH12" i="23"/>
  <c r="AG12" i="23"/>
  <c r="AJ12" i="23"/>
  <c r="I12" i="19"/>
  <c r="J12" i="19" s="1"/>
  <c r="S11" i="19"/>
  <c r="P12" i="19"/>
  <c r="Q12" i="19" s="1"/>
  <c r="R12" i="19" s="1"/>
  <c r="W12" i="19"/>
  <c r="H13" i="19" s="1"/>
  <c r="AJ10" i="19"/>
  <c r="AH10" i="19"/>
  <c r="AG10" i="19"/>
  <c r="AI10" i="19"/>
  <c r="N11" i="19"/>
  <c r="T11" i="19" s="1"/>
  <c r="J15" i="25" l="1"/>
  <c r="K15" i="25" s="1"/>
  <c r="P15" i="25"/>
  <c r="Q15" i="25" s="1"/>
  <c r="R15" i="25" s="1"/>
  <c r="T15" i="25" s="1"/>
  <c r="W15" i="25"/>
  <c r="H16" i="25" s="1"/>
  <c r="AG13" i="25"/>
  <c r="AJ13" i="25"/>
  <c r="AI13" i="25"/>
  <c r="AH13" i="25"/>
  <c r="L15" i="13"/>
  <c r="M15" i="13" s="1"/>
  <c r="P15" i="13"/>
  <c r="Q15" i="13" s="1"/>
  <c r="R15" i="13" s="1"/>
  <c r="W15" i="13"/>
  <c r="H16" i="13" s="1"/>
  <c r="K12" i="19"/>
  <c r="L12" i="19" s="1"/>
  <c r="M12" i="19" s="1"/>
  <c r="S12" i="19" s="1"/>
  <c r="C20" i="23"/>
  <c r="V14" i="23"/>
  <c r="S13" i="23"/>
  <c r="N13" i="23"/>
  <c r="T13" i="23" s="1"/>
  <c r="AK12" i="23"/>
  <c r="I14" i="23"/>
  <c r="J14" i="23" s="1"/>
  <c r="V13" i="19"/>
  <c r="AK10" i="19"/>
  <c r="AH11" i="19"/>
  <c r="AG11" i="19"/>
  <c r="AJ11" i="19"/>
  <c r="AI11" i="19"/>
  <c r="I16" i="25" l="1"/>
  <c r="J16" i="25" s="1"/>
  <c r="L15" i="25"/>
  <c r="M15" i="25" s="1"/>
  <c r="S15" i="25" s="1"/>
  <c r="AK13" i="25"/>
  <c r="AL13" i="25"/>
  <c r="V16" i="25"/>
  <c r="V16" i="13"/>
  <c r="N15" i="13"/>
  <c r="T15" i="13" s="1"/>
  <c r="S15" i="13"/>
  <c r="I16" i="13"/>
  <c r="I13" i="19"/>
  <c r="J13" i="19" s="1"/>
  <c r="C21" i="23"/>
  <c r="W14" i="23"/>
  <c r="H15" i="23" s="1"/>
  <c r="P14" i="23"/>
  <c r="Q14" i="23" s="1"/>
  <c r="R14" i="23" s="1"/>
  <c r="K14" i="23"/>
  <c r="AG13" i="23"/>
  <c r="AJ13" i="23"/>
  <c r="AI13" i="23"/>
  <c r="AH13" i="23"/>
  <c r="W13" i="19"/>
  <c r="H14" i="19" s="1"/>
  <c r="P13" i="19"/>
  <c r="Q13" i="19" s="1"/>
  <c r="R13" i="19" s="1"/>
  <c r="N12" i="19"/>
  <c r="T12" i="19" s="1"/>
  <c r="AK11" i="19"/>
  <c r="W16" i="25" l="1"/>
  <c r="H17" i="25" s="1"/>
  <c r="P16" i="25"/>
  <c r="Q16" i="25" s="1"/>
  <c r="R16" i="25" s="1"/>
  <c r="T16" i="25" s="1"/>
  <c r="K16" i="25"/>
  <c r="L16" i="25" s="1"/>
  <c r="M16" i="25" s="1"/>
  <c r="AH14" i="25"/>
  <c r="AI14" i="25"/>
  <c r="AJ14" i="25"/>
  <c r="AG14" i="25"/>
  <c r="W16" i="13"/>
  <c r="H17" i="13" s="1"/>
  <c r="P16" i="13"/>
  <c r="Q16" i="13" s="1"/>
  <c r="R16" i="13" s="1"/>
  <c r="J16" i="13"/>
  <c r="K16" i="13" s="1"/>
  <c r="K13" i="19"/>
  <c r="I14" i="19" s="1"/>
  <c r="I15" i="23"/>
  <c r="C22" i="23"/>
  <c r="AK13" i="23"/>
  <c r="V15" i="23"/>
  <c r="J15" i="23"/>
  <c r="L14" i="23"/>
  <c r="M14" i="23" s="1"/>
  <c r="V14" i="19"/>
  <c r="S16" i="25" l="1"/>
  <c r="I17" i="25"/>
  <c r="V17" i="25"/>
  <c r="AL14" i="25"/>
  <c r="AK14" i="25"/>
  <c r="AI15" i="25"/>
  <c r="AH15" i="25"/>
  <c r="AG15" i="25"/>
  <c r="AJ15" i="25"/>
  <c r="I17" i="13"/>
  <c r="J17" i="13" s="1"/>
  <c r="K17" i="13" s="1"/>
  <c r="L16" i="13"/>
  <c r="M16" i="13" s="1"/>
  <c r="S16" i="13" s="1"/>
  <c r="V17" i="13"/>
  <c r="L13" i="19"/>
  <c r="M13" i="19" s="1"/>
  <c r="S13" i="19" s="1"/>
  <c r="K15" i="23"/>
  <c r="L15" i="23" s="1"/>
  <c r="M15" i="23" s="1"/>
  <c r="C23" i="23"/>
  <c r="S14" i="23"/>
  <c r="N14" i="23"/>
  <c r="T14" i="23" s="1"/>
  <c r="W15" i="23"/>
  <c r="H16" i="23" s="1"/>
  <c r="P15" i="23"/>
  <c r="Q15" i="23" s="1"/>
  <c r="R15" i="23" s="1"/>
  <c r="P14" i="19"/>
  <c r="Q14" i="19" s="1"/>
  <c r="R14" i="19" s="1"/>
  <c r="W14" i="19"/>
  <c r="H15" i="19" s="1"/>
  <c r="N13" i="19"/>
  <c r="T13" i="19" s="1"/>
  <c r="J14" i="19"/>
  <c r="AI12" i="19"/>
  <c r="AH12" i="19"/>
  <c r="AJ12" i="19"/>
  <c r="AG12" i="19"/>
  <c r="J17" i="25" l="1"/>
  <c r="K17" i="25" s="1"/>
  <c r="L17" i="25" s="1"/>
  <c r="M17" i="25" s="1"/>
  <c r="P17" i="25"/>
  <c r="Q17" i="25" s="1"/>
  <c r="R17" i="25" s="1"/>
  <c r="T17" i="25" s="1"/>
  <c r="W17" i="25"/>
  <c r="H18" i="25" s="1"/>
  <c r="AK15" i="25"/>
  <c r="AL15" i="25"/>
  <c r="N16" i="13"/>
  <c r="T16" i="13" s="1"/>
  <c r="L17" i="13"/>
  <c r="M17" i="13" s="1"/>
  <c r="P17" i="13"/>
  <c r="Q17" i="13" s="1"/>
  <c r="R17" i="13" s="1"/>
  <c r="W17" i="13"/>
  <c r="H18" i="13" s="1"/>
  <c r="K14" i="19"/>
  <c r="I15" i="19" s="1"/>
  <c r="C24" i="23"/>
  <c r="S15" i="23"/>
  <c r="N15" i="23"/>
  <c r="T15" i="23" s="1"/>
  <c r="V16" i="23"/>
  <c r="AJ14" i="23"/>
  <c r="AH14" i="23"/>
  <c r="AG14" i="23"/>
  <c r="AI14" i="23"/>
  <c r="I16" i="23"/>
  <c r="V15" i="19"/>
  <c r="AK12" i="19"/>
  <c r="S17" i="25" l="1"/>
  <c r="V18" i="25"/>
  <c r="I18" i="25"/>
  <c r="AJ16" i="25"/>
  <c r="AI16" i="25"/>
  <c r="AH16" i="25"/>
  <c r="AG16" i="25"/>
  <c r="V18" i="13"/>
  <c r="N17" i="13"/>
  <c r="T17" i="13" s="1"/>
  <c r="S17" i="13"/>
  <c r="I18" i="13"/>
  <c r="L14" i="19"/>
  <c r="M14" i="19" s="1"/>
  <c r="S14" i="19" s="1"/>
  <c r="C25" i="23"/>
  <c r="W16" i="23"/>
  <c r="H17" i="23" s="1"/>
  <c r="P16" i="23"/>
  <c r="Q16" i="23" s="1"/>
  <c r="R16" i="23" s="1"/>
  <c r="AK14" i="23"/>
  <c r="AG15" i="23"/>
  <c r="AJ15" i="23"/>
  <c r="AI15" i="23"/>
  <c r="AH15" i="23"/>
  <c r="J16" i="23"/>
  <c r="K16" i="23" s="1"/>
  <c r="W15" i="19"/>
  <c r="H16" i="19" s="1"/>
  <c r="P15" i="19"/>
  <c r="Q15" i="19" s="1"/>
  <c r="R15" i="19" s="1"/>
  <c r="J15" i="19"/>
  <c r="K15" i="19" s="1"/>
  <c r="L15" i="19" s="1"/>
  <c r="AJ13" i="19"/>
  <c r="AI13" i="19"/>
  <c r="AH13" i="19"/>
  <c r="AG13" i="19"/>
  <c r="J18" i="25" l="1"/>
  <c r="K18" i="25" s="1"/>
  <c r="W18" i="25"/>
  <c r="H19" i="25" s="1"/>
  <c r="P18" i="25"/>
  <c r="Q18" i="25" s="1"/>
  <c r="R18" i="25" s="1"/>
  <c r="T18" i="25" s="1"/>
  <c r="AK16" i="25"/>
  <c r="AL16" i="25"/>
  <c r="W18" i="13"/>
  <c r="H19" i="13" s="1"/>
  <c r="P18" i="13"/>
  <c r="Q18" i="13" s="1"/>
  <c r="R18" i="13" s="1"/>
  <c r="J18" i="13"/>
  <c r="K18" i="13" s="1"/>
  <c r="N14" i="19"/>
  <c r="T14" i="19" s="1"/>
  <c r="I16" i="19"/>
  <c r="C26" i="23"/>
  <c r="I17" i="23"/>
  <c r="J17" i="23" s="1"/>
  <c r="L16" i="23"/>
  <c r="M16" i="23" s="1"/>
  <c r="AK15" i="23"/>
  <c r="V17" i="23"/>
  <c r="V16" i="19"/>
  <c r="W16" i="19" s="1"/>
  <c r="M15" i="19"/>
  <c r="S15" i="19" s="1"/>
  <c r="AK13" i="19"/>
  <c r="I19" i="25" l="1"/>
  <c r="L18" i="25"/>
  <c r="M18" i="25" s="1"/>
  <c r="S18" i="25" s="1"/>
  <c r="J19" i="25"/>
  <c r="K19" i="25" s="1"/>
  <c r="V19" i="25"/>
  <c r="AG17" i="25"/>
  <c r="AH17" i="25"/>
  <c r="AJ17" i="25"/>
  <c r="AI17" i="25"/>
  <c r="I19" i="13"/>
  <c r="J19" i="13" s="1"/>
  <c r="K19" i="13" s="1"/>
  <c r="L18" i="13"/>
  <c r="M18" i="13" s="1"/>
  <c r="S18" i="13" s="1"/>
  <c r="V19" i="13"/>
  <c r="C27" i="23"/>
  <c r="W17" i="23"/>
  <c r="H18" i="23" s="1"/>
  <c r="P17" i="23"/>
  <c r="Q17" i="23" s="1"/>
  <c r="R17" i="23" s="1"/>
  <c r="S16" i="23"/>
  <c r="N16" i="23"/>
  <c r="T16" i="23" s="1"/>
  <c r="K17" i="23"/>
  <c r="H17" i="19"/>
  <c r="P16" i="19"/>
  <c r="Q16" i="19" s="1"/>
  <c r="R16" i="19" s="1"/>
  <c r="N15" i="19"/>
  <c r="T15" i="19" s="1"/>
  <c r="J16" i="19"/>
  <c r="K16" i="19" s="1"/>
  <c r="L16" i="19" s="1"/>
  <c r="AG14" i="19"/>
  <c r="AJ14" i="19"/>
  <c r="AI14" i="19"/>
  <c r="AH14" i="19"/>
  <c r="L19" i="25" l="1"/>
  <c r="M19" i="25" s="1"/>
  <c r="P19" i="25"/>
  <c r="Q19" i="25" s="1"/>
  <c r="R19" i="25" s="1"/>
  <c r="T19" i="25" s="1"/>
  <c r="W19" i="25"/>
  <c r="H20" i="25" s="1"/>
  <c r="AK17" i="25"/>
  <c r="AL17" i="25"/>
  <c r="N18" i="13"/>
  <c r="T18" i="13" s="1"/>
  <c r="L19" i="13"/>
  <c r="M19" i="13" s="1"/>
  <c r="P19" i="13"/>
  <c r="Q19" i="13" s="1"/>
  <c r="R19" i="13" s="1"/>
  <c r="W19" i="13"/>
  <c r="H20" i="13" s="1"/>
  <c r="I18" i="23"/>
  <c r="J18" i="23" s="1"/>
  <c r="K18" i="23" s="1"/>
  <c r="C28" i="23"/>
  <c r="AH16" i="23"/>
  <c r="AJ16" i="23"/>
  <c r="AI16" i="23"/>
  <c r="AG16" i="23"/>
  <c r="L17" i="23"/>
  <c r="M17" i="23" s="1"/>
  <c r="V18" i="23"/>
  <c r="I17" i="19"/>
  <c r="J17" i="19" s="1"/>
  <c r="V17" i="19"/>
  <c r="M16" i="19"/>
  <c r="S16" i="19" s="1"/>
  <c r="AK14" i="19"/>
  <c r="I20" i="25" l="1"/>
  <c r="J20" i="25"/>
  <c r="K20" i="25" s="1"/>
  <c r="V20" i="25"/>
  <c r="S19" i="25"/>
  <c r="AH18" i="25"/>
  <c r="AJ18" i="25"/>
  <c r="AI18" i="25"/>
  <c r="AG18" i="25"/>
  <c r="V20" i="13"/>
  <c r="S19" i="13"/>
  <c r="N19" i="13"/>
  <c r="T19" i="13" s="1"/>
  <c r="I20" i="13"/>
  <c r="K17" i="19"/>
  <c r="L17" i="19" s="1"/>
  <c r="M17" i="19" s="1"/>
  <c r="C29" i="23"/>
  <c r="L18" i="23"/>
  <c r="M18" i="23" s="1"/>
  <c r="P18" i="23"/>
  <c r="Q18" i="23" s="1"/>
  <c r="R18" i="23" s="1"/>
  <c r="W18" i="23"/>
  <c r="H19" i="23" s="1"/>
  <c r="AK16" i="23"/>
  <c r="S17" i="23"/>
  <c r="N17" i="23"/>
  <c r="T17" i="23" s="1"/>
  <c r="P17" i="19"/>
  <c r="Q17" i="19" s="1"/>
  <c r="R17" i="19" s="1"/>
  <c r="W17" i="19"/>
  <c r="H18" i="19" s="1"/>
  <c r="V18" i="19" s="1"/>
  <c r="N16" i="19"/>
  <c r="T16" i="19" s="1"/>
  <c r="AH15" i="19"/>
  <c r="AG15" i="19"/>
  <c r="AJ15" i="19"/>
  <c r="AI15" i="19"/>
  <c r="W20" i="25" l="1"/>
  <c r="H21" i="25" s="1"/>
  <c r="P20" i="25"/>
  <c r="Q20" i="25" s="1"/>
  <c r="R20" i="25" s="1"/>
  <c r="T20" i="25" s="1"/>
  <c r="L20" i="25"/>
  <c r="M20" i="25" s="1"/>
  <c r="AL18" i="25"/>
  <c r="AK18" i="25"/>
  <c r="W20" i="13"/>
  <c r="H21" i="13" s="1"/>
  <c r="P20" i="13"/>
  <c r="Q20" i="13" s="1"/>
  <c r="R20" i="13" s="1"/>
  <c r="J20" i="13"/>
  <c r="K20" i="13" s="1"/>
  <c r="S17" i="19"/>
  <c r="C30" i="23"/>
  <c r="V19" i="23"/>
  <c r="S18" i="23"/>
  <c r="N18" i="23"/>
  <c r="T18" i="23" s="1"/>
  <c r="AI17" i="23"/>
  <c r="AH17" i="23"/>
  <c r="AG17" i="23"/>
  <c r="AJ17" i="23"/>
  <c r="I19" i="23"/>
  <c r="I18" i="19"/>
  <c r="P18" i="19"/>
  <c r="Q18" i="19" s="1"/>
  <c r="R18" i="19" s="1"/>
  <c r="W18" i="19"/>
  <c r="H19" i="19" s="1"/>
  <c r="V19" i="19" s="1"/>
  <c r="N17" i="19"/>
  <c r="T17" i="19" s="1"/>
  <c r="J18" i="19"/>
  <c r="AK15" i="19"/>
  <c r="S20" i="25" l="1"/>
  <c r="V21" i="25"/>
  <c r="I21" i="25"/>
  <c r="J21" i="25" s="1"/>
  <c r="AI19" i="25"/>
  <c r="AH19" i="25"/>
  <c r="AJ19" i="25"/>
  <c r="AG19" i="25"/>
  <c r="I21" i="13"/>
  <c r="J21" i="13" s="1"/>
  <c r="K21" i="13" s="1"/>
  <c r="L20" i="13"/>
  <c r="M20" i="13" s="1"/>
  <c r="S20" i="13" s="1"/>
  <c r="V21" i="13"/>
  <c r="K18" i="19"/>
  <c r="C31" i="23"/>
  <c r="AK17" i="23"/>
  <c r="AJ18" i="23"/>
  <c r="AG18" i="23"/>
  <c r="AI18" i="23"/>
  <c r="AH18" i="23"/>
  <c r="W19" i="23"/>
  <c r="H20" i="23" s="1"/>
  <c r="P19" i="23"/>
  <c r="Q19" i="23" s="1"/>
  <c r="R19" i="23" s="1"/>
  <c r="J19" i="23"/>
  <c r="K19" i="23" s="1"/>
  <c r="I19" i="19"/>
  <c r="W19" i="19"/>
  <c r="H20" i="19" s="1"/>
  <c r="V20" i="19" s="1"/>
  <c r="P19" i="19"/>
  <c r="Q19" i="19" s="1"/>
  <c r="R19" i="19" s="1"/>
  <c r="L18" i="19"/>
  <c r="M18" i="19" s="1"/>
  <c r="S18" i="19" s="1"/>
  <c r="AI16" i="19"/>
  <c r="AH16" i="19"/>
  <c r="AJ16" i="19"/>
  <c r="AG16" i="19"/>
  <c r="P21" i="25" l="1"/>
  <c r="Q21" i="25" s="1"/>
  <c r="R21" i="25" s="1"/>
  <c r="T21" i="25" s="1"/>
  <c r="W21" i="25"/>
  <c r="H22" i="25" s="1"/>
  <c r="K21" i="25"/>
  <c r="L21" i="25" s="1"/>
  <c r="M21" i="25" s="1"/>
  <c r="AK19" i="25"/>
  <c r="AL19" i="25"/>
  <c r="N20" i="13"/>
  <c r="T20" i="13" s="1"/>
  <c r="L21" i="13"/>
  <c r="M21" i="13" s="1"/>
  <c r="P21" i="13"/>
  <c r="Q21" i="13" s="1"/>
  <c r="R21" i="13" s="1"/>
  <c r="W21" i="13"/>
  <c r="H22" i="13" s="1"/>
  <c r="C32" i="23"/>
  <c r="I20" i="23"/>
  <c r="J20" i="23" s="1"/>
  <c r="L19" i="23"/>
  <c r="M19" i="23" s="1"/>
  <c r="V20" i="23"/>
  <c r="AK18" i="23"/>
  <c r="W20" i="19"/>
  <c r="H21" i="19" s="1"/>
  <c r="V21" i="19" s="1"/>
  <c r="P20" i="19"/>
  <c r="Q20" i="19" s="1"/>
  <c r="R20" i="19" s="1"/>
  <c r="N18" i="19"/>
  <c r="T18" i="19" s="1"/>
  <c r="J19" i="19"/>
  <c r="AK16" i="19"/>
  <c r="I22" i="25" l="1"/>
  <c r="J22" i="25" s="1"/>
  <c r="K22" i="25" s="1"/>
  <c r="S21" i="25"/>
  <c r="V22" i="25"/>
  <c r="V22" i="13"/>
  <c r="S21" i="13"/>
  <c r="N21" i="13"/>
  <c r="T21" i="13" s="1"/>
  <c r="I22" i="13"/>
  <c r="J22" i="13" s="1"/>
  <c r="K19" i="19"/>
  <c r="I20" i="19" s="1"/>
  <c r="J20" i="19" s="1"/>
  <c r="C33" i="23"/>
  <c r="W20" i="23"/>
  <c r="H21" i="23" s="1"/>
  <c r="P20" i="23"/>
  <c r="Q20" i="23" s="1"/>
  <c r="R20" i="23" s="1"/>
  <c r="N19" i="23"/>
  <c r="T19" i="23" s="1"/>
  <c r="S19" i="23"/>
  <c r="K20" i="23"/>
  <c r="I21" i="23" s="1"/>
  <c r="W21" i="19"/>
  <c r="H22" i="19" s="1"/>
  <c r="V22" i="19" s="1"/>
  <c r="P21" i="19"/>
  <c r="Q21" i="19" s="1"/>
  <c r="R21" i="19" s="1"/>
  <c r="AH17" i="19"/>
  <c r="AI17" i="19"/>
  <c r="AG17" i="19"/>
  <c r="AJ17" i="19"/>
  <c r="L22" i="25" l="1"/>
  <c r="M22" i="25" s="1"/>
  <c r="W22" i="25"/>
  <c r="H23" i="25" s="1"/>
  <c r="P22" i="25"/>
  <c r="Q22" i="25" s="1"/>
  <c r="R22" i="25" s="1"/>
  <c r="T22" i="25" s="1"/>
  <c r="AJ20" i="25"/>
  <c r="AG20" i="25"/>
  <c r="AI20" i="25"/>
  <c r="AH20" i="25"/>
  <c r="W22" i="13"/>
  <c r="H23" i="13" s="1"/>
  <c r="P22" i="13"/>
  <c r="Q22" i="13" s="1"/>
  <c r="R22" i="13" s="1"/>
  <c r="K22" i="13"/>
  <c r="K20" i="19"/>
  <c r="I21" i="19" s="1"/>
  <c r="L19" i="19"/>
  <c r="M19" i="19" s="1"/>
  <c r="S19" i="19" s="1"/>
  <c r="C34" i="23"/>
  <c r="L20" i="23"/>
  <c r="M20" i="23" s="1"/>
  <c r="S20" i="23" s="1"/>
  <c r="V21" i="23"/>
  <c r="J21" i="23"/>
  <c r="K21" i="23" s="1"/>
  <c r="AG19" i="23"/>
  <c r="AJ19" i="23"/>
  <c r="AI19" i="23"/>
  <c r="AH19" i="23"/>
  <c r="W22" i="19"/>
  <c r="H23" i="19" s="1"/>
  <c r="V23" i="19" s="1"/>
  <c r="P22" i="19"/>
  <c r="Q22" i="19" s="1"/>
  <c r="R22" i="19" s="1"/>
  <c r="AI18" i="19"/>
  <c r="AJ18" i="19"/>
  <c r="AH18" i="19"/>
  <c r="AG18" i="19"/>
  <c r="AK17" i="19"/>
  <c r="S22" i="25" l="1"/>
  <c r="I23" i="25"/>
  <c r="J23" i="25" s="1"/>
  <c r="K23" i="25" s="1"/>
  <c r="AK20" i="25"/>
  <c r="V23" i="25"/>
  <c r="AL20" i="25"/>
  <c r="AG21" i="25"/>
  <c r="AJ21" i="25"/>
  <c r="AI21" i="25"/>
  <c r="AH21" i="25"/>
  <c r="I23" i="13"/>
  <c r="L22" i="13"/>
  <c r="M22" i="13" s="1"/>
  <c r="S22" i="13" s="1"/>
  <c r="V23" i="13"/>
  <c r="J23" i="13"/>
  <c r="K23" i="13" s="1"/>
  <c r="L20" i="19"/>
  <c r="M20" i="19" s="1"/>
  <c r="S20" i="19" s="1"/>
  <c r="N19" i="19"/>
  <c r="T19" i="19" s="1"/>
  <c r="N20" i="23"/>
  <c r="T20" i="23" s="1"/>
  <c r="AH20" i="23" s="1"/>
  <c r="C35" i="23"/>
  <c r="L21" i="23"/>
  <c r="M21" i="23" s="1"/>
  <c r="AK19" i="23"/>
  <c r="W21" i="23"/>
  <c r="H22" i="23" s="1"/>
  <c r="P21" i="23"/>
  <c r="Q21" i="23" s="1"/>
  <c r="R21" i="23" s="1"/>
  <c r="W23" i="19"/>
  <c r="H24" i="19" s="1"/>
  <c r="V24" i="19" s="1"/>
  <c r="P23" i="19"/>
  <c r="Q23" i="19" s="1"/>
  <c r="R23" i="19" s="1"/>
  <c r="J21" i="19"/>
  <c r="AK18" i="19"/>
  <c r="L23" i="25" l="1"/>
  <c r="M23" i="25" s="1"/>
  <c r="P23" i="25"/>
  <c r="Q23" i="25" s="1"/>
  <c r="R23" i="25" s="1"/>
  <c r="T23" i="25" s="1"/>
  <c r="W23" i="25"/>
  <c r="H24" i="25" s="1"/>
  <c r="AK21" i="25"/>
  <c r="AL21" i="25"/>
  <c r="N22" i="13"/>
  <c r="T22" i="13" s="1"/>
  <c r="L23" i="13"/>
  <c r="M23" i="13" s="1"/>
  <c r="P23" i="13"/>
  <c r="Q23" i="13" s="1"/>
  <c r="R23" i="13" s="1"/>
  <c r="W23" i="13"/>
  <c r="H24" i="13" s="1"/>
  <c r="N20" i="19"/>
  <c r="T20" i="19" s="1"/>
  <c r="K21" i="19"/>
  <c r="I22" i="19" s="1"/>
  <c r="J22" i="19" s="1"/>
  <c r="K22" i="19" s="1"/>
  <c r="I23" i="19" s="1"/>
  <c r="AJ20" i="23"/>
  <c r="AI20" i="23"/>
  <c r="AG20" i="23"/>
  <c r="C36" i="23"/>
  <c r="V22" i="23"/>
  <c r="S21" i="23"/>
  <c r="N21" i="23"/>
  <c r="T21" i="23" s="1"/>
  <c r="I22" i="23"/>
  <c r="W24" i="19"/>
  <c r="H25" i="19" s="1"/>
  <c r="V25" i="19" s="1"/>
  <c r="P24" i="19"/>
  <c r="Q24" i="19" s="1"/>
  <c r="R24" i="19" s="1"/>
  <c r="AJ19" i="19"/>
  <c r="AI19" i="19"/>
  <c r="AH19" i="19"/>
  <c r="AG19" i="19"/>
  <c r="S23" i="25" l="1"/>
  <c r="V24" i="25"/>
  <c r="I24" i="25"/>
  <c r="V24" i="13"/>
  <c r="S23" i="13"/>
  <c r="N23" i="13"/>
  <c r="T23" i="13" s="1"/>
  <c r="I24" i="13"/>
  <c r="L21" i="19"/>
  <c r="M21" i="19" s="1"/>
  <c r="S21" i="19" s="1"/>
  <c r="AK20" i="23"/>
  <c r="W22" i="23"/>
  <c r="H23" i="23" s="1"/>
  <c r="P22" i="23"/>
  <c r="Q22" i="23" s="1"/>
  <c r="R22" i="23" s="1"/>
  <c r="AG21" i="23"/>
  <c r="AI21" i="23"/>
  <c r="AH21" i="23"/>
  <c r="AJ21" i="23"/>
  <c r="J22" i="23"/>
  <c r="K22" i="23" s="1"/>
  <c r="W25" i="19"/>
  <c r="H26" i="19" s="1"/>
  <c r="V26" i="19" s="1"/>
  <c r="P25" i="19"/>
  <c r="Q25" i="19" s="1"/>
  <c r="R25" i="19" s="1"/>
  <c r="L22" i="19"/>
  <c r="M22" i="19" s="1"/>
  <c r="S22" i="19" s="1"/>
  <c r="AK19" i="19"/>
  <c r="AG20" i="19"/>
  <c r="AH20" i="19"/>
  <c r="AI20" i="19"/>
  <c r="AJ20" i="19"/>
  <c r="W24" i="25" l="1"/>
  <c r="H25" i="25" s="1"/>
  <c r="P24" i="25"/>
  <c r="Q24" i="25" s="1"/>
  <c r="R24" i="25" s="1"/>
  <c r="T24" i="25" s="1"/>
  <c r="J24" i="25"/>
  <c r="K24" i="25" s="1"/>
  <c r="AH22" i="25"/>
  <c r="AG22" i="25"/>
  <c r="AJ22" i="25"/>
  <c r="AI22" i="25"/>
  <c r="W24" i="13"/>
  <c r="H25" i="13" s="1"/>
  <c r="P24" i="13"/>
  <c r="Q24" i="13" s="1"/>
  <c r="R24" i="13" s="1"/>
  <c r="J24" i="13"/>
  <c r="K24" i="13" s="1"/>
  <c r="N21" i="19"/>
  <c r="T21" i="19" s="1"/>
  <c r="AG21" i="19" s="1"/>
  <c r="I23" i="23"/>
  <c r="J23" i="23" s="1"/>
  <c r="L22" i="23"/>
  <c r="M22" i="23" s="1"/>
  <c r="V23" i="23"/>
  <c r="AK21" i="23"/>
  <c r="P26" i="19"/>
  <c r="Q26" i="19" s="1"/>
  <c r="R26" i="19" s="1"/>
  <c r="W26" i="19"/>
  <c r="H27" i="19" s="1"/>
  <c r="V27" i="19" s="1"/>
  <c r="N22" i="19"/>
  <c r="T22" i="19" s="1"/>
  <c r="J23" i="19"/>
  <c r="K23" i="19" s="1"/>
  <c r="I24" i="19" s="1"/>
  <c r="AK20" i="19"/>
  <c r="I25" i="25" l="1"/>
  <c r="J25" i="25" s="1"/>
  <c r="L24" i="25"/>
  <c r="M24" i="25" s="1"/>
  <c r="S24" i="25" s="1"/>
  <c r="V25" i="25"/>
  <c r="AK22" i="25"/>
  <c r="AI23" i="25"/>
  <c r="AH23" i="25"/>
  <c r="AG23" i="25"/>
  <c r="AJ23" i="25"/>
  <c r="AL22" i="25"/>
  <c r="I25" i="13"/>
  <c r="L24" i="13"/>
  <c r="M24" i="13" s="1"/>
  <c r="S24" i="13" s="1"/>
  <c r="J25" i="13"/>
  <c r="K25" i="13" s="1"/>
  <c r="L25" i="13" s="1"/>
  <c r="M25" i="13" s="1"/>
  <c r="V25" i="13"/>
  <c r="AH21" i="19"/>
  <c r="AI21" i="19"/>
  <c r="AJ21" i="19"/>
  <c r="S22" i="23"/>
  <c r="N22" i="23"/>
  <c r="T22" i="23" s="1"/>
  <c r="P23" i="23"/>
  <c r="Q23" i="23" s="1"/>
  <c r="R23" i="23" s="1"/>
  <c r="W23" i="23"/>
  <c r="H24" i="23" s="1"/>
  <c r="K23" i="23"/>
  <c r="W27" i="19"/>
  <c r="H28" i="19" s="1"/>
  <c r="V28" i="19" s="1"/>
  <c r="P27" i="19"/>
  <c r="Q27" i="19" s="1"/>
  <c r="R27" i="19" s="1"/>
  <c r="L23" i="19"/>
  <c r="M23" i="19" s="1"/>
  <c r="J24" i="19"/>
  <c r="K24" i="19" s="1"/>
  <c r="I25" i="19" s="1"/>
  <c r="P25" i="25" l="1"/>
  <c r="Q25" i="25" s="1"/>
  <c r="R25" i="25" s="1"/>
  <c r="T25" i="25" s="1"/>
  <c r="W25" i="25"/>
  <c r="H26" i="25" s="1"/>
  <c r="K25" i="25"/>
  <c r="L25" i="25" s="1"/>
  <c r="M25" i="25" s="1"/>
  <c r="S25" i="25" s="1"/>
  <c r="AL23" i="25"/>
  <c r="AK23" i="25"/>
  <c r="N24" i="13"/>
  <c r="T24" i="13" s="1"/>
  <c r="N25" i="13"/>
  <c r="P25" i="13"/>
  <c r="Q25" i="13" s="1"/>
  <c r="R25" i="13" s="1"/>
  <c r="W25" i="13"/>
  <c r="H26" i="13" s="1"/>
  <c r="AK21" i="19"/>
  <c r="I24" i="23"/>
  <c r="J24" i="23" s="1"/>
  <c r="K24" i="23" s="1"/>
  <c r="V24" i="23"/>
  <c r="AH22" i="23"/>
  <c r="AJ22" i="23"/>
  <c r="AI22" i="23"/>
  <c r="AG22" i="23"/>
  <c r="L23" i="23"/>
  <c r="M23" i="23" s="1"/>
  <c r="W28" i="19"/>
  <c r="H29" i="19" s="1"/>
  <c r="V29" i="19" s="1"/>
  <c r="P28" i="19"/>
  <c r="Q28" i="19" s="1"/>
  <c r="R28" i="19" s="1"/>
  <c r="N23" i="19"/>
  <c r="T23" i="19" s="1"/>
  <c r="S23" i="19"/>
  <c r="L24" i="19"/>
  <c r="M24" i="19" s="1"/>
  <c r="S24" i="19" s="1"/>
  <c r="AI22" i="19"/>
  <c r="AJ22" i="19"/>
  <c r="AH22" i="19"/>
  <c r="AG22" i="19"/>
  <c r="V26" i="25" l="1"/>
  <c r="I26" i="25"/>
  <c r="J26" i="25" s="1"/>
  <c r="V26" i="13"/>
  <c r="T25" i="13"/>
  <c r="I26" i="13"/>
  <c r="S25" i="13"/>
  <c r="L24" i="23"/>
  <c r="M24" i="23" s="1"/>
  <c r="S23" i="23"/>
  <c r="N23" i="23"/>
  <c r="T23" i="23" s="1"/>
  <c r="P24" i="23"/>
  <c r="Q24" i="23" s="1"/>
  <c r="R24" i="23" s="1"/>
  <c r="W24" i="23"/>
  <c r="H25" i="23" s="1"/>
  <c r="AK22" i="23"/>
  <c r="P29" i="19"/>
  <c r="Q29" i="19" s="1"/>
  <c r="R29" i="19" s="1"/>
  <c r="W29" i="19"/>
  <c r="H30" i="19" s="1"/>
  <c r="V30" i="19" s="1"/>
  <c r="N24" i="19"/>
  <c r="T24" i="19" s="1"/>
  <c r="J25" i="19"/>
  <c r="K25" i="19" s="1"/>
  <c r="I26" i="19" s="1"/>
  <c r="AK22" i="19"/>
  <c r="K26" i="25" l="1"/>
  <c r="W26" i="25"/>
  <c r="H27" i="25" s="1"/>
  <c r="P26" i="25"/>
  <c r="Q26" i="25" s="1"/>
  <c r="R26" i="25" s="1"/>
  <c r="T26" i="25" s="1"/>
  <c r="AJ24" i="25"/>
  <c r="AI24" i="25"/>
  <c r="AH24" i="25"/>
  <c r="AG24" i="25"/>
  <c r="J26" i="13"/>
  <c r="K26" i="13" s="1"/>
  <c r="W26" i="13"/>
  <c r="H27" i="13" s="1"/>
  <c r="P26" i="13"/>
  <c r="Q26" i="13" s="1"/>
  <c r="R26" i="13" s="1"/>
  <c r="AI23" i="23"/>
  <c r="AJ23" i="23"/>
  <c r="AG23" i="23"/>
  <c r="AH23" i="23"/>
  <c r="V25" i="23"/>
  <c r="N24" i="23"/>
  <c r="T24" i="23" s="1"/>
  <c r="S24" i="23"/>
  <c r="I25" i="23"/>
  <c r="J25" i="23" s="1"/>
  <c r="P30" i="19"/>
  <c r="Q30" i="19" s="1"/>
  <c r="R30" i="19" s="1"/>
  <c r="W30" i="19"/>
  <c r="H31" i="19" s="1"/>
  <c r="V31" i="19" s="1"/>
  <c r="W31" i="19" s="1"/>
  <c r="H32" i="19" s="1"/>
  <c r="L25" i="19"/>
  <c r="M25" i="19" s="1"/>
  <c r="S25" i="19" s="1"/>
  <c r="AJ23" i="19"/>
  <c r="AG23" i="19"/>
  <c r="AI23" i="19"/>
  <c r="AH23" i="19"/>
  <c r="AL24" i="25" l="1"/>
  <c r="V27" i="25"/>
  <c r="I27" i="25"/>
  <c r="L26" i="25"/>
  <c r="M26" i="25" s="1"/>
  <c r="S26" i="25" s="1"/>
  <c r="AK24" i="25"/>
  <c r="I27" i="13"/>
  <c r="J27" i="13" s="1"/>
  <c r="L26" i="13"/>
  <c r="M26" i="13" s="1"/>
  <c r="V27" i="13"/>
  <c r="AK23" i="23"/>
  <c r="AI24" i="23"/>
  <c r="AJ24" i="23"/>
  <c r="AH24" i="23"/>
  <c r="AG24" i="23"/>
  <c r="K25" i="23"/>
  <c r="L25" i="23" s="1"/>
  <c r="M25" i="23" s="1"/>
  <c r="P25" i="23"/>
  <c r="Q25" i="23" s="1"/>
  <c r="R25" i="23" s="1"/>
  <c r="W25" i="23"/>
  <c r="H26" i="23" s="1"/>
  <c r="P31" i="19"/>
  <c r="Q31" i="19" s="1"/>
  <c r="R31" i="19" s="1"/>
  <c r="V32" i="19"/>
  <c r="N25" i="19"/>
  <c r="T25" i="19" s="1"/>
  <c r="J26" i="19"/>
  <c r="K26" i="19" s="1"/>
  <c r="I27" i="19" s="1"/>
  <c r="AK23" i="19"/>
  <c r="J27" i="25" l="1"/>
  <c r="K27" i="25" s="1"/>
  <c r="P27" i="25"/>
  <c r="Q27" i="25" s="1"/>
  <c r="R27" i="25" s="1"/>
  <c r="T27" i="25" s="1"/>
  <c r="W27" i="25"/>
  <c r="H28" i="25" s="1"/>
  <c r="AG25" i="25"/>
  <c r="AJ25" i="25"/>
  <c r="AI25" i="25"/>
  <c r="AH25" i="25"/>
  <c r="P27" i="13"/>
  <c r="Q27" i="13" s="1"/>
  <c r="R27" i="13" s="1"/>
  <c r="W27" i="13"/>
  <c r="H28" i="13" s="1"/>
  <c r="K27" i="13"/>
  <c r="S26" i="13"/>
  <c r="N26" i="13"/>
  <c r="T26" i="13" s="1"/>
  <c r="V26" i="23"/>
  <c r="AK24" i="23"/>
  <c r="N25" i="23"/>
  <c r="T25" i="23" s="1"/>
  <c r="S25" i="23"/>
  <c r="I26" i="23"/>
  <c r="W32" i="19"/>
  <c r="H33" i="19" s="1"/>
  <c r="P32" i="19"/>
  <c r="Q32" i="19" s="1"/>
  <c r="R32" i="19" s="1"/>
  <c r="J27" i="19"/>
  <c r="K27" i="19" s="1"/>
  <c r="I28" i="19" s="1"/>
  <c r="L26" i="19"/>
  <c r="M26" i="19" s="1"/>
  <c r="S26" i="19" s="1"/>
  <c r="AJ24" i="19"/>
  <c r="AH24" i="19"/>
  <c r="AG24" i="19"/>
  <c r="AI24" i="19"/>
  <c r="I28" i="25" l="1"/>
  <c r="L27" i="25"/>
  <c r="M27" i="25" s="1"/>
  <c r="S27" i="25" s="1"/>
  <c r="V28" i="25"/>
  <c r="J28" i="25"/>
  <c r="AK25" i="25"/>
  <c r="AL25" i="25"/>
  <c r="I28" i="13"/>
  <c r="L27" i="13"/>
  <c r="M27" i="13" s="1"/>
  <c r="S27" i="13" s="1"/>
  <c r="V28" i="13"/>
  <c r="J28" i="13"/>
  <c r="K28" i="13" s="1"/>
  <c r="J26" i="23"/>
  <c r="K26" i="23" s="1"/>
  <c r="AJ25" i="23"/>
  <c r="AG25" i="23"/>
  <c r="AI25" i="23"/>
  <c r="AH25" i="23"/>
  <c r="W26" i="23"/>
  <c r="H27" i="23" s="1"/>
  <c r="P26" i="23"/>
  <c r="Q26" i="23" s="1"/>
  <c r="R26" i="23" s="1"/>
  <c r="V33" i="19"/>
  <c r="L27" i="19"/>
  <c r="M27" i="19" s="1"/>
  <c r="S27" i="19" s="1"/>
  <c r="N26" i="19"/>
  <c r="T26" i="19" s="1"/>
  <c r="AK24" i="19"/>
  <c r="W28" i="25" l="1"/>
  <c r="H29" i="25" s="1"/>
  <c r="P28" i="25"/>
  <c r="Q28" i="25" s="1"/>
  <c r="R28" i="25" s="1"/>
  <c r="T28" i="25" s="1"/>
  <c r="K28" i="25"/>
  <c r="AH26" i="25"/>
  <c r="AG26" i="25"/>
  <c r="AJ26" i="25"/>
  <c r="AI26" i="25"/>
  <c r="N27" i="13"/>
  <c r="T27" i="13" s="1"/>
  <c r="L28" i="13"/>
  <c r="M28" i="13" s="1"/>
  <c r="W28" i="13"/>
  <c r="H29" i="13" s="1"/>
  <c r="P28" i="13"/>
  <c r="Q28" i="13" s="1"/>
  <c r="R28" i="13" s="1"/>
  <c r="I27" i="23"/>
  <c r="J27" i="23" s="1"/>
  <c r="K27" i="23" s="1"/>
  <c r="V27" i="23"/>
  <c r="AK25" i="23"/>
  <c r="L26" i="23"/>
  <c r="M26" i="23" s="1"/>
  <c r="W33" i="19"/>
  <c r="H34" i="19" s="1"/>
  <c r="P33" i="19"/>
  <c r="Q33" i="19" s="1"/>
  <c r="R33" i="19" s="1"/>
  <c r="N27" i="19"/>
  <c r="T27" i="19" s="1"/>
  <c r="J28" i="19"/>
  <c r="K28" i="19" s="1"/>
  <c r="I29" i="19" s="1"/>
  <c r="AG25" i="19"/>
  <c r="AJ25" i="19"/>
  <c r="AI25" i="19"/>
  <c r="AH25" i="19"/>
  <c r="I29" i="25" l="1"/>
  <c r="J29" i="25" s="1"/>
  <c r="K29" i="25" s="1"/>
  <c r="L28" i="25"/>
  <c r="M28" i="25" s="1"/>
  <c r="S28" i="25" s="1"/>
  <c r="V29" i="25"/>
  <c r="AI27" i="25"/>
  <c r="AH27" i="25"/>
  <c r="AG27" i="25"/>
  <c r="AJ27" i="25"/>
  <c r="AK26" i="25"/>
  <c r="AL26" i="25"/>
  <c r="I29" i="13"/>
  <c r="J29" i="13"/>
  <c r="K29" i="13" s="1"/>
  <c r="V29" i="13"/>
  <c r="S28" i="13"/>
  <c r="N28" i="13"/>
  <c r="T28" i="13" s="1"/>
  <c r="N26" i="23"/>
  <c r="T26" i="23" s="1"/>
  <c r="S26" i="23"/>
  <c r="W27" i="23"/>
  <c r="H28" i="23" s="1"/>
  <c r="P27" i="23"/>
  <c r="Q27" i="23" s="1"/>
  <c r="R27" i="23" s="1"/>
  <c r="L27" i="23"/>
  <c r="M27" i="23" s="1"/>
  <c r="V34" i="19"/>
  <c r="J29" i="19"/>
  <c r="K29" i="19" s="1"/>
  <c r="I30" i="19" s="1"/>
  <c r="L28" i="19"/>
  <c r="M28" i="19" s="1"/>
  <c r="S28" i="19" s="1"/>
  <c r="AK25" i="19"/>
  <c r="L29" i="25" l="1"/>
  <c r="M29" i="25" s="1"/>
  <c r="P29" i="25"/>
  <c r="Q29" i="25" s="1"/>
  <c r="R29" i="25" s="1"/>
  <c r="T29" i="25" s="1"/>
  <c r="W29" i="25"/>
  <c r="H30" i="25" s="1"/>
  <c r="AL27" i="25"/>
  <c r="AK27" i="25"/>
  <c r="P29" i="13"/>
  <c r="Q29" i="13" s="1"/>
  <c r="R29" i="13" s="1"/>
  <c r="W29" i="13"/>
  <c r="H30" i="13" s="1"/>
  <c r="L29" i="13"/>
  <c r="M29" i="13" s="1"/>
  <c r="V28" i="23"/>
  <c r="S27" i="23"/>
  <c r="N27" i="23"/>
  <c r="T27" i="23" s="1"/>
  <c r="AG26" i="23"/>
  <c r="AH26" i="23"/>
  <c r="AJ26" i="23"/>
  <c r="AI26" i="23"/>
  <c r="I28" i="23"/>
  <c r="W34" i="19"/>
  <c r="H35" i="19" s="1"/>
  <c r="P34" i="19"/>
  <c r="Q34" i="19" s="1"/>
  <c r="R34" i="19" s="1"/>
  <c r="L29" i="19"/>
  <c r="M29" i="19" s="1"/>
  <c r="S29" i="19" s="1"/>
  <c r="N28" i="19"/>
  <c r="T28" i="19" s="1"/>
  <c r="AH26" i="19"/>
  <c r="AG26" i="19"/>
  <c r="AJ26" i="19"/>
  <c r="AI26" i="19"/>
  <c r="V30" i="25" l="1"/>
  <c r="S29" i="25"/>
  <c r="I30" i="25"/>
  <c r="J30" i="25" s="1"/>
  <c r="AJ28" i="25"/>
  <c r="AI28" i="25"/>
  <c r="AH28" i="25"/>
  <c r="AG28" i="25"/>
  <c r="S29" i="13"/>
  <c r="N29" i="13"/>
  <c r="T29" i="13" s="1"/>
  <c r="I30" i="13"/>
  <c r="V30" i="13"/>
  <c r="P28" i="23"/>
  <c r="Q28" i="23" s="1"/>
  <c r="R28" i="23" s="1"/>
  <c r="W28" i="23"/>
  <c r="H29" i="23" s="1"/>
  <c r="AK26" i="23"/>
  <c r="AH27" i="23"/>
  <c r="AI27" i="23"/>
  <c r="AJ27" i="23"/>
  <c r="AG27" i="23"/>
  <c r="J28" i="23"/>
  <c r="K28" i="23" s="1"/>
  <c r="V35" i="19"/>
  <c r="N29" i="19"/>
  <c r="T29" i="19" s="1"/>
  <c r="J30" i="19"/>
  <c r="K30" i="19" s="1"/>
  <c r="I31" i="19" s="1"/>
  <c r="AK26" i="19"/>
  <c r="K30" i="25" l="1"/>
  <c r="W30" i="25"/>
  <c r="H31" i="25" s="1"/>
  <c r="P30" i="25"/>
  <c r="Q30" i="25" s="1"/>
  <c r="R30" i="25" s="1"/>
  <c r="T30" i="25" s="1"/>
  <c r="AK28" i="25"/>
  <c r="AL28" i="25"/>
  <c r="W30" i="13"/>
  <c r="H31" i="13" s="1"/>
  <c r="P30" i="13"/>
  <c r="Q30" i="13" s="1"/>
  <c r="R30" i="13" s="1"/>
  <c r="J30" i="13"/>
  <c r="K30" i="13" s="1"/>
  <c r="I29" i="23"/>
  <c r="J29" i="23" s="1"/>
  <c r="L28" i="23"/>
  <c r="M28" i="23" s="1"/>
  <c r="V29" i="23"/>
  <c r="AK27" i="23"/>
  <c r="W35" i="19"/>
  <c r="H36" i="19" s="1"/>
  <c r="V36" i="19" s="1"/>
  <c r="P35" i="19"/>
  <c r="Q35" i="19" s="1"/>
  <c r="R35" i="19" s="1"/>
  <c r="J31" i="19"/>
  <c r="K31" i="19" s="1"/>
  <c r="I32" i="19" s="1"/>
  <c r="L30" i="19"/>
  <c r="M30" i="19" s="1"/>
  <c r="S30" i="19" s="1"/>
  <c r="AI27" i="19"/>
  <c r="AH27" i="19"/>
  <c r="AG27" i="19"/>
  <c r="AJ27" i="19"/>
  <c r="I31" i="25" l="1"/>
  <c r="J31" i="25"/>
  <c r="K31" i="25" s="1"/>
  <c r="V31" i="25"/>
  <c r="L30" i="25"/>
  <c r="M30" i="25" s="1"/>
  <c r="S30" i="25" s="1"/>
  <c r="I31" i="13"/>
  <c r="L30" i="13"/>
  <c r="M30" i="13" s="1"/>
  <c r="V31" i="13"/>
  <c r="P29" i="23"/>
  <c r="Q29" i="23" s="1"/>
  <c r="R29" i="23" s="1"/>
  <c r="W29" i="23"/>
  <c r="H30" i="23" s="1"/>
  <c r="S28" i="23"/>
  <c r="N28" i="23"/>
  <c r="T28" i="23" s="1"/>
  <c r="K29" i="23"/>
  <c r="L29" i="23" s="1"/>
  <c r="M29" i="23" s="1"/>
  <c r="W36" i="19"/>
  <c r="P36" i="19"/>
  <c r="Q36" i="19" s="1"/>
  <c r="R36" i="19" s="1"/>
  <c r="AK27" i="19"/>
  <c r="L31" i="19"/>
  <c r="M31" i="19" s="1"/>
  <c r="S31" i="19" s="1"/>
  <c r="N30" i="19"/>
  <c r="T30" i="19" s="1"/>
  <c r="AJ28" i="19"/>
  <c r="AG28" i="19"/>
  <c r="AI28" i="19"/>
  <c r="AH28" i="19"/>
  <c r="L31" i="25" l="1"/>
  <c r="M31" i="25" s="1"/>
  <c r="P31" i="25"/>
  <c r="Q31" i="25" s="1"/>
  <c r="R31" i="25" s="1"/>
  <c r="T31" i="25" s="1"/>
  <c r="W31" i="25"/>
  <c r="H32" i="25" s="1"/>
  <c r="AG29" i="25"/>
  <c r="AJ29" i="25"/>
  <c r="AI29" i="25"/>
  <c r="AH29" i="25"/>
  <c r="P31" i="13"/>
  <c r="Q31" i="13" s="1"/>
  <c r="R31" i="13" s="1"/>
  <c r="W31" i="13"/>
  <c r="H32" i="13" s="1"/>
  <c r="J31" i="13"/>
  <c r="K31" i="13" s="1"/>
  <c r="S30" i="13"/>
  <c r="N30" i="13"/>
  <c r="T30" i="13" s="1"/>
  <c r="AI28" i="23"/>
  <c r="AJ28" i="23"/>
  <c r="AH28" i="23"/>
  <c r="AG28" i="23"/>
  <c r="S29" i="23"/>
  <c r="N29" i="23"/>
  <c r="T29" i="23" s="1"/>
  <c r="V30" i="23"/>
  <c r="I30" i="23"/>
  <c r="AK28" i="19"/>
  <c r="N31" i="19"/>
  <c r="T31" i="19" s="1"/>
  <c r="J32" i="19"/>
  <c r="K32" i="19" s="1"/>
  <c r="I33" i="19" s="1"/>
  <c r="AG29" i="19"/>
  <c r="AI29" i="19"/>
  <c r="AH29" i="19"/>
  <c r="AJ29" i="19"/>
  <c r="S31" i="25" l="1"/>
  <c r="V32" i="25"/>
  <c r="I32" i="25"/>
  <c r="AL29" i="25"/>
  <c r="AK29" i="25"/>
  <c r="I32" i="13"/>
  <c r="J32" i="13" s="1"/>
  <c r="L31" i="13"/>
  <c r="M31" i="13" s="1"/>
  <c r="V32" i="13"/>
  <c r="AK28" i="23"/>
  <c r="W30" i="23"/>
  <c r="H31" i="23" s="1"/>
  <c r="P30" i="23"/>
  <c r="Q30" i="23" s="1"/>
  <c r="R30" i="23" s="1"/>
  <c r="AJ29" i="23"/>
  <c r="AG29" i="23"/>
  <c r="AI29" i="23"/>
  <c r="AH29" i="23"/>
  <c r="J30" i="23"/>
  <c r="K30" i="23" s="1"/>
  <c r="L32" i="19"/>
  <c r="M32" i="19" s="1"/>
  <c r="S32" i="19" s="1"/>
  <c r="AK29" i="19"/>
  <c r="J32" i="25" l="1"/>
  <c r="K32" i="25" s="1"/>
  <c r="W32" i="25"/>
  <c r="H33" i="25" s="1"/>
  <c r="P32" i="25"/>
  <c r="Q32" i="25" s="1"/>
  <c r="R32" i="25" s="1"/>
  <c r="T32" i="25" s="1"/>
  <c r="AH30" i="25"/>
  <c r="AG30" i="25"/>
  <c r="AJ30" i="25"/>
  <c r="AI30" i="25"/>
  <c r="K32" i="13"/>
  <c r="L32" i="13" s="1"/>
  <c r="M32" i="13" s="1"/>
  <c r="W32" i="13"/>
  <c r="H33" i="13" s="1"/>
  <c r="P32" i="13"/>
  <c r="Q32" i="13" s="1"/>
  <c r="R32" i="13" s="1"/>
  <c r="S31" i="13"/>
  <c r="N31" i="13"/>
  <c r="T31" i="13" s="1"/>
  <c r="AK29" i="23"/>
  <c r="I31" i="23"/>
  <c r="J31" i="23" s="1"/>
  <c r="L30" i="23"/>
  <c r="M30" i="23" s="1"/>
  <c r="V31" i="23"/>
  <c r="N32" i="19"/>
  <c r="T32" i="19" s="1"/>
  <c r="J33" i="19"/>
  <c r="K33" i="19" s="1"/>
  <c r="I34" i="19" s="1"/>
  <c r="AH30" i="19"/>
  <c r="AJ30" i="19"/>
  <c r="AI30" i="19"/>
  <c r="AG30" i="19"/>
  <c r="I33" i="25" l="1"/>
  <c r="L32" i="25"/>
  <c r="M32" i="25" s="1"/>
  <c r="S32" i="25" s="1"/>
  <c r="J33" i="25"/>
  <c r="V33" i="25"/>
  <c r="AK30" i="25"/>
  <c r="AL30" i="25"/>
  <c r="AI31" i="25"/>
  <c r="AH31" i="25"/>
  <c r="AG31" i="25"/>
  <c r="AJ31" i="25"/>
  <c r="V33" i="13"/>
  <c r="S32" i="13"/>
  <c r="N32" i="13"/>
  <c r="T32" i="13" s="1"/>
  <c r="I33" i="13"/>
  <c r="W31" i="23"/>
  <c r="H32" i="23" s="1"/>
  <c r="P31" i="23"/>
  <c r="Q31" i="23" s="1"/>
  <c r="R31" i="23" s="1"/>
  <c r="S30" i="23"/>
  <c r="N30" i="23"/>
  <c r="T30" i="23" s="1"/>
  <c r="K31" i="23"/>
  <c r="I32" i="23" s="1"/>
  <c r="AK30" i="19"/>
  <c r="J34" i="19"/>
  <c r="K34" i="19" s="1"/>
  <c r="I35" i="19" s="1"/>
  <c r="L33" i="19"/>
  <c r="M33" i="19" s="1"/>
  <c r="S33" i="19" s="1"/>
  <c r="AL31" i="25" l="1"/>
  <c r="P33" i="25"/>
  <c r="Q33" i="25" s="1"/>
  <c r="R33" i="25" s="1"/>
  <c r="T33" i="25" s="1"/>
  <c r="W33" i="25"/>
  <c r="H34" i="25" s="1"/>
  <c r="K33" i="25"/>
  <c r="AK31" i="25"/>
  <c r="P33" i="13"/>
  <c r="Q33" i="13" s="1"/>
  <c r="R33" i="13" s="1"/>
  <c r="W33" i="13"/>
  <c r="H34" i="13" s="1"/>
  <c r="J33" i="13"/>
  <c r="K33" i="13" s="1"/>
  <c r="AG30" i="23"/>
  <c r="AH30" i="23"/>
  <c r="AJ30" i="23"/>
  <c r="AI30" i="23"/>
  <c r="L31" i="23"/>
  <c r="M31" i="23" s="1"/>
  <c r="J32" i="23"/>
  <c r="K32" i="23" s="1"/>
  <c r="V32" i="23"/>
  <c r="L34" i="19"/>
  <c r="M34" i="19" s="1"/>
  <c r="S34" i="19" s="1"/>
  <c r="N33" i="19"/>
  <c r="T33" i="19" s="1"/>
  <c r="AH31" i="19"/>
  <c r="AG31" i="19"/>
  <c r="AI31" i="19"/>
  <c r="AJ31" i="19"/>
  <c r="I34" i="25" l="1"/>
  <c r="V34" i="25"/>
  <c r="J34" i="25"/>
  <c r="K34" i="25" s="1"/>
  <c r="L33" i="25"/>
  <c r="M33" i="25" s="1"/>
  <c r="S33" i="25" s="1"/>
  <c r="AJ32" i="25"/>
  <c r="AI32" i="25"/>
  <c r="AH32" i="25"/>
  <c r="AG32" i="25"/>
  <c r="I34" i="13"/>
  <c r="J34" i="13" s="1"/>
  <c r="L33" i="13"/>
  <c r="M33" i="13" s="1"/>
  <c r="V34" i="13"/>
  <c r="L32" i="23"/>
  <c r="M32" i="23" s="1"/>
  <c r="S31" i="23"/>
  <c r="N31" i="23"/>
  <c r="T31" i="23" s="1"/>
  <c r="P32" i="23"/>
  <c r="Q32" i="23" s="1"/>
  <c r="R32" i="23" s="1"/>
  <c r="W32" i="23"/>
  <c r="H33" i="23" s="1"/>
  <c r="AK30" i="23"/>
  <c r="N34" i="19"/>
  <c r="T34" i="19" s="1"/>
  <c r="J35" i="19"/>
  <c r="K35" i="19" s="1"/>
  <c r="I36" i="19" s="1"/>
  <c r="AK31" i="19"/>
  <c r="AI32" i="19"/>
  <c r="AH32" i="19"/>
  <c r="AJ32" i="19"/>
  <c r="AG32" i="19"/>
  <c r="L34" i="25" l="1"/>
  <c r="M34" i="25" s="1"/>
  <c r="W34" i="25"/>
  <c r="H35" i="25" s="1"/>
  <c r="P34" i="25"/>
  <c r="Q34" i="25" s="1"/>
  <c r="R34" i="25" s="1"/>
  <c r="T34" i="25" s="1"/>
  <c r="AK32" i="25"/>
  <c r="AL32" i="25"/>
  <c r="W34" i="13"/>
  <c r="H35" i="13" s="1"/>
  <c r="P34" i="13"/>
  <c r="Q34" i="13" s="1"/>
  <c r="R34" i="13" s="1"/>
  <c r="K34" i="13"/>
  <c r="L34" i="13" s="1"/>
  <c r="M34" i="13" s="1"/>
  <c r="S33" i="13"/>
  <c r="N33" i="13"/>
  <c r="T33" i="13" s="1"/>
  <c r="V33" i="23"/>
  <c r="AH31" i="23"/>
  <c r="AI31" i="23"/>
  <c r="AJ31" i="23"/>
  <c r="AG31" i="23"/>
  <c r="S32" i="23"/>
  <c r="N32" i="23"/>
  <c r="T32" i="23" s="1"/>
  <c r="I33" i="23"/>
  <c r="J33" i="23" s="1"/>
  <c r="J36" i="19"/>
  <c r="J39" i="19" s="1"/>
  <c r="L35" i="19"/>
  <c r="M35" i="19" s="1"/>
  <c r="S35" i="19" s="1"/>
  <c r="AK32" i="19"/>
  <c r="V35" i="25" l="1"/>
  <c r="S34" i="25"/>
  <c r="I35" i="25"/>
  <c r="J35" i="25" s="1"/>
  <c r="S34" i="13"/>
  <c r="N34" i="13"/>
  <c r="T34" i="13" s="1"/>
  <c r="V35" i="13"/>
  <c r="I35" i="13"/>
  <c r="K36" i="19"/>
  <c r="L36" i="19" s="1"/>
  <c r="M36" i="19" s="1"/>
  <c r="S36" i="19" s="1"/>
  <c r="AK31" i="23"/>
  <c r="K33" i="23"/>
  <c r="L33" i="23" s="1"/>
  <c r="M33" i="23" s="1"/>
  <c r="P33" i="23"/>
  <c r="Q33" i="23" s="1"/>
  <c r="R33" i="23" s="1"/>
  <c r="W33" i="23"/>
  <c r="H34" i="23" s="1"/>
  <c r="AI32" i="23"/>
  <c r="AJ32" i="23"/>
  <c r="AG32" i="23"/>
  <c r="AH32" i="23"/>
  <c r="N35" i="19"/>
  <c r="T35" i="19" s="1"/>
  <c r="AJ33" i="19"/>
  <c r="AI33" i="19"/>
  <c r="AG33" i="19"/>
  <c r="AH33" i="19"/>
  <c r="P35" i="25" l="1"/>
  <c r="Q35" i="25" s="1"/>
  <c r="R35" i="25" s="1"/>
  <c r="T35" i="25" s="1"/>
  <c r="W35" i="25"/>
  <c r="H36" i="25" s="1"/>
  <c r="K35" i="25"/>
  <c r="L35" i="25" s="1"/>
  <c r="M35" i="25" s="1"/>
  <c r="S35" i="25" s="1"/>
  <c r="AG33" i="25"/>
  <c r="AJ33" i="25"/>
  <c r="AI33" i="25"/>
  <c r="AH33" i="25"/>
  <c r="P35" i="13"/>
  <c r="Q35" i="13" s="1"/>
  <c r="R35" i="13" s="1"/>
  <c r="W35" i="13"/>
  <c r="H36" i="13" s="1"/>
  <c r="J35" i="13"/>
  <c r="K35" i="13" s="1"/>
  <c r="N36" i="19"/>
  <c r="T36" i="19" s="1"/>
  <c r="I34" i="23"/>
  <c r="AK32" i="23"/>
  <c r="S33" i="23"/>
  <c r="N33" i="23"/>
  <c r="T33" i="23" s="1"/>
  <c r="V34" i="23"/>
  <c r="J34" i="23"/>
  <c r="K34" i="23" s="1"/>
  <c r="AK33" i="19"/>
  <c r="AG34" i="19"/>
  <c r="AJ34" i="19"/>
  <c r="AH34" i="19"/>
  <c r="AI34" i="19"/>
  <c r="I36" i="25" l="1"/>
  <c r="V36" i="25"/>
  <c r="J36" i="25"/>
  <c r="AK33" i="25"/>
  <c r="AL33" i="25"/>
  <c r="I36" i="13"/>
  <c r="L35" i="13"/>
  <c r="M35" i="13" s="1"/>
  <c r="V36" i="13"/>
  <c r="L34" i="23"/>
  <c r="M34" i="23" s="1"/>
  <c r="AJ33" i="23"/>
  <c r="AG33" i="23"/>
  <c r="AH33" i="23"/>
  <c r="AI33" i="23"/>
  <c r="W34" i="23"/>
  <c r="H35" i="23" s="1"/>
  <c r="P34" i="23"/>
  <c r="Q34" i="23" s="1"/>
  <c r="R34" i="23" s="1"/>
  <c r="AK34" i="19"/>
  <c r="AH35" i="19"/>
  <c r="AG35" i="19"/>
  <c r="AI35" i="19"/>
  <c r="AJ35" i="19"/>
  <c r="W36" i="25" l="1"/>
  <c r="P36" i="25"/>
  <c r="Q36" i="25" s="1"/>
  <c r="R36" i="25" s="1"/>
  <c r="T36" i="25" s="1"/>
  <c r="K36" i="25"/>
  <c r="L36" i="25" s="1"/>
  <c r="M36" i="25" s="1"/>
  <c r="AH34" i="25"/>
  <c r="AG34" i="25"/>
  <c r="AJ34" i="25"/>
  <c r="AI34" i="25"/>
  <c r="J39" i="25"/>
  <c r="S35" i="13"/>
  <c r="N35" i="13"/>
  <c r="T35" i="13" s="1"/>
  <c r="J36" i="13"/>
  <c r="K36" i="13" s="1"/>
  <c r="L36" i="13" s="1"/>
  <c r="M36" i="13" s="1"/>
  <c r="W36" i="13"/>
  <c r="P36" i="13"/>
  <c r="Q36" i="13" s="1"/>
  <c r="R36" i="13" s="1"/>
  <c r="AK33" i="23"/>
  <c r="V35" i="23"/>
  <c r="S34" i="23"/>
  <c r="N34" i="23"/>
  <c r="T34" i="23" s="1"/>
  <c r="I35" i="23"/>
  <c r="AK35" i="19"/>
  <c r="S36" i="25" l="1"/>
  <c r="AL34" i="25"/>
  <c r="AK34" i="25"/>
  <c r="S36" i="13"/>
  <c r="N36" i="13"/>
  <c r="T36" i="13" s="1"/>
  <c r="W35" i="23"/>
  <c r="H36" i="23" s="1"/>
  <c r="P35" i="23"/>
  <c r="Q35" i="23" s="1"/>
  <c r="R35" i="23" s="1"/>
  <c r="AG34" i="23"/>
  <c r="AH34" i="23"/>
  <c r="AI34" i="23"/>
  <c r="AJ34" i="23"/>
  <c r="J35" i="23"/>
  <c r="K35" i="23" s="1"/>
  <c r="I36" i="23" s="1"/>
  <c r="AI36" i="19"/>
  <c r="AH36" i="19"/>
  <c r="AJ36" i="19"/>
  <c r="AG36" i="19"/>
  <c r="AI35" i="25" l="1"/>
  <c r="AH35" i="25"/>
  <c r="AG35" i="25"/>
  <c r="AJ35" i="25"/>
  <c r="L35" i="23"/>
  <c r="M35" i="23" s="1"/>
  <c r="AK34" i="23"/>
  <c r="J36" i="23"/>
  <c r="J39" i="23" s="1"/>
  <c r="V36" i="23"/>
  <c r="AK36" i="19"/>
  <c r="AL35" i="25" l="1"/>
  <c r="AJ36" i="25"/>
  <c r="AI36" i="25"/>
  <c r="AH36" i="25"/>
  <c r="AG36" i="25"/>
  <c r="AK35" i="25"/>
  <c r="K36" i="23"/>
  <c r="L36" i="23" s="1"/>
  <c r="M36" i="23" s="1"/>
  <c r="N36" i="23" s="1"/>
  <c r="P36" i="23"/>
  <c r="Q36" i="23" s="1"/>
  <c r="R36" i="23" s="1"/>
  <c r="W36" i="23"/>
  <c r="S35" i="23"/>
  <c r="N35" i="23"/>
  <c r="T35" i="23" s="1"/>
  <c r="L37" i="16"/>
  <c r="L36" i="16"/>
  <c r="L35" i="16"/>
  <c r="L34" i="16"/>
  <c r="L33" i="16"/>
  <c r="L32" i="16"/>
  <c r="L31" i="16"/>
  <c r="L30" i="16"/>
  <c r="L29" i="16"/>
  <c r="L28" i="16"/>
  <c r="L27" i="16"/>
  <c r="L26" i="16"/>
  <c r="L25" i="16"/>
  <c r="L24" i="16"/>
  <c r="L23" i="16"/>
  <c r="L22" i="16"/>
  <c r="L21" i="16"/>
  <c r="L20" i="16"/>
  <c r="L19" i="16"/>
  <c r="L18" i="16"/>
  <c r="L17" i="16"/>
  <c r="L16" i="16"/>
  <c r="L15" i="16"/>
  <c r="L14" i="16"/>
  <c r="L13" i="16"/>
  <c r="L12" i="16"/>
  <c r="AL36" i="25" l="1"/>
  <c r="AK36" i="25"/>
  <c r="M17" i="16"/>
  <c r="M15" i="16"/>
  <c r="M19" i="16"/>
  <c r="M23" i="16"/>
  <c r="M27" i="16"/>
  <c r="M31" i="16"/>
  <c r="M35" i="16"/>
  <c r="M12" i="16"/>
  <c r="M16" i="16"/>
  <c r="M20" i="16"/>
  <c r="M24" i="16"/>
  <c r="M28" i="16"/>
  <c r="M32" i="16"/>
  <c r="M36" i="16"/>
  <c r="M13" i="16"/>
  <c r="M25" i="16"/>
  <c r="M29" i="16"/>
  <c r="M33" i="16"/>
  <c r="M37" i="16"/>
  <c r="M21" i="16"/>
  <c r="M14" i="16"/>
  <c r="M18" i="16"/>
  <c r="M22" i="16"/>
  <c r="M26" i="16"/>
  <c r="M30" i="16"/>
  <c r="M34" i="16"/>
  <c r="AH35" i="23"/>
  <c r="AI35" i="23"/>
  <c r="AG35" i="23"/>
  <c r="AJ35" i="23"/>
  <c r="T36" i="23"/>
  <c r="S36" i="23"/>
  <c r="AH8" i="13"/>
  <c r="AK35" i="23" l="1"/>
  <c r="AI36" i="23"/>
  <c r="AJ36" i="23"/>
  <c r="AH36" i="23"/>
  <c r="AG36" i="23"/>
  <c r="AA8" i="13"/>
  <c r="L11" i="16"/>
  <c r="AK36" i="23" l="1"/>
  <c r="K10" i="16"/>
  <c r="M11" i="16" l="1"/>
  <c r="P10" i="16"/>
  <c r="C13" i="16" l="1"/>
  <c r="F11" i="16" l="1"/>
  <c r="C14" i="16"/>
  <c r="N11" i="16" l="1"/>
  <c r="O11" i="16"/>
  <c r="P11" i="16"/>
  <c r="F12" i="16"/>
  <c r="C15" i="16"/>
  <c r="N12" i="16" l="1"/>
  <c r="P12" i="16" s="1"/>
  <c r="O12" i="16"/>
  <c r="F13" i="16"/>
  <c r="C16" i="16"/>
  <c r="N13" i="16" l="1"/>
  <c r="P13" i="16" s="1"/>
  <c r="O13" i="16"/>
  <c r="C17" i="16"/>
  <c r="F14" i="16" l="1"/>
  <c r="C18" i="16"/>
  <c r="N14" i="16" l="1"/>
  <c r="O14" i="16"/>
  <c r="F15" i="16"/>
  <c r="C19" i="16"/>
  <c r="N15" i="16" l="1"/>
  <c r="O15" i="16"/>
  <c r="P14" i="16"/>
  <c r="C20" i="16"/>
  <c r="F16" i="16" l="1"/>
  <c r="P15" i="16"/>
  <c r="C21" i="16"/>
  <c r="N16" i="16" l="1"/>
  <c r="P16" i="16" s="1"/>
  <c r="O16" i="16"/>
  <c r="C22" i="16"/>
  <c r="F17" i="16" l="1"/>
  <c r="C23" i="16"/>
  <c r="N17" i="16" l="1"/>
  <c r="P17" i="16" s="1"/>
  <c r="O17" i="16"/>
  <c r="F18" i="16"/>
  <c r="C24" i="16"/>
  <c r="N18" i="16" l="1"/>
  <c r="O18" i="16"/>
  <c r="F19" i="16"/>
  <c r="C25" i="16"/>
  <c r="F20" i="16"/>
  <c r="N19" i="16" l="1"/>
  <c r="O19" i="16"/>
  <c r="N20" i="16"/>
  <c r="O20" i="16"/>
  <c r="P19" i="16"/>
  <c r="P18" i="16"/>
  <c r="C26" i="16"/>
  <c r="C27" i="16" l="1"/>
  <c r="F21" i="16"/>
  <c r="N21" i="16" l="1"/>
  <c r="O21" i="16"/>
  <c r="P20" i="16"/>
  <c r="C28" i="16"/>
  <c r="P21" i="16" l="1"/>
  <c r="C29" i="16"/>
  <c r="F22" i="16"/>
  <c r="N22" i="16" l="1"/>
  <c r="O22" i="16"/>
  <c r="C30" i="16"/>
  <c r="C31" i="16" l="1"/>
  <c r="F23" i="16"/>
  <c r="N23" i="16" l="1"/>
  <c r="O23" i="16"/>
  <c r="P22" i="16"/>
  <c r="C32" i="16"/>
  <c r="C33" i="16" l="1"/>
  <c r="F24" i="16"/>
  <c r="N24" i="16" l="1"/>
  <c r="O24" i="16"/>
  <c r="P23" i="16"/>
  <c r="C34" i="16"/>
  <c r="P24" i="16" l="1"/>
  <c r="C35" i="16"/>
  <c r="F25" i="16" l="1"/>
  <c r="C36" i="16"/>
  <c r="N25" i="16" l="1"/>
  <c r="O25" i="16"/>
  <c r="P25" i="16"/>
  <c r="F26" i="16"/>
  <c r="C37" i="16"/>
  <c r="N26" i="16" l="1"/>
  <c r="P26" i="16" s="1"/>
  <c r="O26" i="16"/>
  <c r="F27" i="16"/>
  <c r="F28" i="16"/>
  <c r="N28" i="16" l="1"/>
  <c r="O28" i="16"/>
  <c r="N27" i="16"/>
  <c r="P27" i="16" s="1"/>
  <c r="O27" i="16"/>
  <c r="F29" i="16" l="1"/>
  <c r="N29" i="16" l="1"/>
  <c r="O29" i="16"/>
  <c r="P28" i="16"/>
  <c r="F30" i="16" l="1"/>
  <c r="N30" i="16" l="1"/>
  <c r="O30" i="16"/>
  <c r="P29" i="16"/>
  <c r="F31" i="16" l="1"/>
  <c r="N31" i="16" l="1"/>
  <c r="O31" i="16"/>
  <c r="P30" i="16"/>
  <c r="F32" i="16" l="1"/>
  <c r="N32" i="16" l="1"/>
  <c r="O32" i="16"/>
  <c r="P31" i="16"/>
  <c r="F33" i="16" l="1"/>
  <c r="N33" i="16" l="1"/>
  <c r="O33" i="16"/>
  <c r="P32" i="16"/>
  <c r="P33" i="16" l="1"/>
  <c r="F34" i="16"/>
  <c r="N34" i="16" l="1"/>
  <c r="P34" i="16" s="1"/>
  <c r="O34" i="16"/>
  <c r="F35" i="16"/>
  <c r="N35" i="16" l="1"/>
  <c r="P35" i="16" s="1"/>
  <c r="O35" i="16"/>
  <c r="F36" i="16"/>
  <c r="N36" i="16" l="1"/>
  <c r="P36" i="16" s="1"/>
  <c r="O36" i="16"/>
  <c r="F37" i="16"/>
  <c r="N37" i="16" l="1"/>
  <c r="O37" i="16"/>
  <c r="P37" i="16"/>
  <c r="AL9" i="13" l="1"/>
  <c r="AJ8" i="13"/>
  <c r="AI8" i="13"/>
  <c r="AG8" i="13"/>
  <c r="AE36" i="13"/>
  <c r="AF36" i="13" s="1"/>
  <c r="AE35" i="13"/>
  <c r="AF35" i="13" s="1"/>
  <c r="AE34" i="13"/>
  <c r="AF34" i="13" s="1"/>
  <c r="AE33" i="13"/>
  <c r="AF33" i="13" s="1"/>
  <c r="AE32" i="13"/>
  <c r="AF32" i="13" s="1"/>
  <c r="AE31" i="13"/>
  <c r="AF31" i="13" s="1"/>
  <c r="AE30" i="13"/>
  <c r="AF30" i="13" s="1"/>
  <c r="AE29" i="13"/>
  <c r="AF29" i="13" s="1"/>
  <c r="AE28" i="13"/>
  <c r="AF28" i="13" s="1"/>
  <c r="AE27" i="13"/>
  <c r="AF27" i="13" s="1"/>
  <c r="AE26" i="13"/>
  <c r="AF26" i="13" s="1"/>
  <c r="AE25" i="13"/>
  <c r="AF25" i="13" s="1"/>
  <c r="AE24" i="13"/>
  <c r="AF24" i="13" s="1"/>
  <c r="AE23" i="13"/>
  <c r="AF23" i="13" s="1"/>
  <c r="AE22" i="13"/>
  <c r="AF22" i="13" s="1"/>
  <c r="AE21" i="13"/>
  <c r="AF21" i="13" s="1"/>
  <c r="AE20" i="13"/>
  <c r="AF20" i="13" s="1"/>
  <c r="AE19" i="13"/>
  <c r="AF19" i="13" s="1"/>
  <c r="AE18" i="13"/>
  <c r="AF18" i="13" s="1"/>
  <c r="AE17" i="13"/>
  <c r="AF17" i="13" s="1"/>
  <c r="AE16" i="13"/>
  <c r="AF16" i="13" s="1"/>
  <c r="AE15" i="13"/>
  <c r="AF15" i="13" s="1"/>
  <c r="AE14" i="13"/>
  <c r="AF14" i="13" s="1"/>
  <c r="AE13" i="13"/>
  <c r="AF13" i="13" s="1"/>
  <c r="AE12" i="13"/>
  <c r="AF12" i="13" s="1"/>
  <c r="AE11" i="13"/>
  <c r="AF11" i="13" s="1"/>
  <c r="AE10" i="13"/>
  <c r="AF10" i="13" s="1"/>
  <c r="O16" i="14" l="1"/>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15" i="14"/>
  <c r="C10" i="13" l="1"/>
  <c r="T47" i="14" l="1"/>
  <c r="S49" i="14" s="1"/>
  <c r="Z41" i="14"/>
  <c r="Z40" i="14"/>
  <c r="Z39" i="14"/>
  <c r="Z38" i="14"/>
  <c r="Z37" i="14"/>
  <c r="Z36" i="14"/>
  <c r="Z35" i="14"/>
  <c r="Z34" i="14"/>
  <c r="Z33" i="14"/>
  <c r="Z32" i="14"/>
  <c r="Z31" i="14"/>
  <c r="Z30" i="14"/>
  <c r="Z29" i="14"/>
  <c r="Z28" i="14"/>
  <c r="Z27" i="14"/>
  <c r="Z26" i="14"/>
  <c r="Z25" i="14"/>
  <c r="Z24" i="14"/>
  <c r="Z23" i="14"/>
  <c r="Z22" i="14"/>
  <c r="Z21" i="14"/>
  <c r="Z20" i="14"/>
  <c r="Z19" i="14"/>
  <c r="Z18" i="14"/>
  <c r="C18" i="14"/>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Z17" i="14"/>
  <c r="C17" i="14"/>
  <c r="Z16" i="14"/>
  <c r="C16" i="14"/>
  <c r="Z15" i="14"/>
  <c r="G15" i="14"/>
  <c r="G16" i="14" s="1"/>
  <c r="C11" i="13"/>
  <c r="S50" i="14" l="1"/>
  <c r="T50" i="14" s="1"/>
  <c r="T52" i="14" s="1"/>
  <c r="T29" i="14" s="1"/>
  <c r="C12" i="13"/>
  <c r="G17" i="14"/>
  <c r="H15" i="14"/>
  <c r="I15" i="14" l="1"/>
  <c r="C13" i="13"/>
  <c r="G18" i="14"/>
  <c r="C14" i="13" l="1"/>
  <c r="G19" i="14"/>
  <c r="J15" i="14"/>
  <c r="K15" i="14" s="1"/>
  <c r="C15" i="13" l="1"/>
  <c r="G20" i="14"/>
  <c r="H16" i="14"/>
  <c r="L15" i="14"/>
  <c r="M15" i="14" s="1"/>
  <c r="C16" i="13" l="1"/>
  <c r="Q15" i="14"/>
  <c r="P15" i="14"/>
  <c r="I16" i="14"/>
  <c r="J16" i="14" s="1"/>
  <c r="G21" i="14"/>
  <c r="AH10" i="13" l="1"/>
  <c r="C17" i="13"/>
  <c r="H17" i="14"/>
  <c r="K16" i="14"/>
  <c r="L16" i="14" s="1"/>
  <c r="M16" i="14" s="1"/>
  <c r="AD15" i="14"/>
  <c r="AC15" i="14"/>
  <c r="AB15" i="14"/>
  <c r="AA15" i="14"/>
  <c r="G22" i="14"/>
  <c r="AG10" i="13" l="1"/>
  <c r="AI10" i="13"/>
  <c r="AJ10" i="13"/>
  <c r="C18" i="13"/>
  <c r="G23" i="14"/>
  <c r="AE15" i="14"/>
  <c r="AH15" i="14" s="1"/>
  <c r="AF15" i="14"/>
  <c r="Q16" i="14"/>
  <c r="P16" i="14"/>
  <c r="I17" i="14"/>
  <c r="AK10" i="13" l="1"/>
  <c r="AL10" i="13"/>
  <c r="AH11" i="13"/>
  <c r="C19" i="13"/>
  <c r="J17" i="14"/>
  <c r="AD16" i="14"/>
  <c r="AA16" i="14"/>
  <c r="AC16" i="14"/>
  <c r="AB16" i="14"/>
  <c r="G24" i="14"/>
  <c r="AG11" i="13" l="1"/>
  <c r="AI11" i="13"/>
  <c r="AJ11" i="13"/>
  <c r="C20" i="13"/>
  <c r="G25" i="14"/>
  <c r="H18" i="14"/>
  <c r="K17" i="14"/>
  <c r="L17" i="14" s="1"/>
  <c r="M17" i="14" s="1"/>
  <c r="AE16" i="14"/>
  <c r="AH16" i="14" s="1"/>
  <c r="AF16" i="14"/>
  <c r="AK11" i="13" l="1"/>
  <c r="AL11" i="13"/>
  <c r="C21" i="13"/>
  <c r="G26" i="14"/>
  <c r="P17" i="14"/>
  <c r="Q17" i="14"/>
  <c r="I18" i="14"/>
  <c r="J18" i="14" s="1"/>
  <c r="AH12" i="13" l="1"/>
  <c r="C22" i="13"/>
  <c r="H19" i="14"/>
  <c r="K18" i="14"/>
  <c r="L18" i="14" s="1"/>
  <c r="M18" i="14" s="1"/>
  <c r="AA17" i="14"/>
  <c r="AB17" i="14"/>
  <c r="AD17" i="14"/>
  <c r="AC17" i="14"/>
  <c r="G27" i="14"/>
  <c r="AJ12" i="13" l="1"/>
  <c r="AI12" i="13"/>
  <c r="AG12" i="13"/>
  <c r="C23" i="13"/>
  <c r="AE17" i="14"/>
  <c r="AH17" i="14" s="1"/>
  <c r="AF17" i="14"/>
  <c r="P18" i="14"/>
  <c r="Q18" i="14"/>
  <c r="G28" i="14"/>
  <c r="I19" i="14"/>
  <c r="J19" i="14" s="1"/>
  <c r="AK12" i="13" l="1"/>
  <c r="AL12" i="13"/>
  <c r="AH13" i="13"/>
  <c r="C24" i="13"/>
  <c r="H20" i="14"/>
  <c r="K19" i="14"/>
  <c r="L19" i="14" s="1"/>
  <c r="M19" i="14" s="1"/>
  <c r="G29" i="14"/>
  <c r="AC18" i="14"/>
  <c r="AB18" i="14"/>
  <c r="AD18" i="14"/>
  <c r="AA18" i="14"/>
  <c r="AJ13" i="13" l="1"/>
  <c r="AG13" i="13"/>
  <c r="AI13" i="13"/>
  <c r="C25" i="13"/>
  <c r="G30" i="14"/>
  <c r="Q19" i="14"/>
  <c r="P19" i="14"/>
  <c r="AE18" i="14"/>
  <c r="AH18" i="14" s="1"/>
  <c r="AF18" i="14"/>
  <c r="I20" i="14"/>
  <c r="J20" i="14" s="1"/>
  <c r="AL13" i="13" l="1"/>
  <c r="AK13" i="13"/>
  <c r="AH14" i="13"/>
  <c r="C26" i="13"/>
  <c r="H21" i="14"/>
  <c r="K20" i="14"/>
  <c r="L20" i="14" s="1"/>
  <c r="M20" i="14" s="1"/>
  <c r="AD19" i="14"/>
  <c r="AC19" i="14"/>
  <c r="AB19" i="14"/>
  <c r="AA19" i="14"/>
  <c r="G31" i="14"/>
  <c r="AI14" i="13" l="1"/>
  <c r="AJ14" i="13"/>
  <c r="AG14" i="13"/>
  <c r="C27" i="13"/>
  <c r="AE19" i="14"/>
  <c r="AH19" i="14" s="1"/>
  <c r="AF19" i="14"/>
  <c r="Q20" i="14"/>
  <c r="P20" i="14"/>
  <c r="G32" i="14"/>
  <c r="I21" i="14"/>
  <c r="J21" i="14" s="1"/>
  <c r="AK14" i="13" l="1"/>
  <c r="AL14" i="13"/>
  <c r="AH15" i="13"/>
  <c r="C28" i="13"/>
  <c r="H22" i="14"/>
  <c r="K21" i="14"/>
  <c r="L21" i="14" s="1"/>
  <c r="M21" i="14" s="1"/>
  <c r="G33" i="14"/>
  <c r="AA20" i="14"/>
  <c r="AD20" i="14"/>
  <c r="AC20" i="14"/>
  <c r="AB20" i="14"/>
  <c r="AJ15" i="13" l="1"/>
  <c r="AI15" i="13"/>
  <c r="AG15" i="13"/>
  <c r="C29" i="13"/>
  <c r="G34" i="14"/>
  <c r="P21" i="14"/>
  <c r="Q21" i="14"/>
  <c r="AE20" i="14"/>
  <c r="AH20" i="14" s="1"/>
  <c r="AF20" i="14"/>
  <c r="I22" i="14"/>
  <c r="J22" i="14" s="1"/>
  <c r="AL15" i="13" l="1"/>
  <c r="AK15" i="13"/>
  <c r="AH16" i="13"/>
  <c r="C30" i="13"/>
  <c r="H23" i="14"/>
  <c r="K22" i="14"/>
  <c r="L22" i="14" s="1"/>
  <c r="M22" i="14" s="1"/>
  <c r="AA21" i="14"/>
  <c r="AB21" i="14"/>
  <c r="AC21" i="14"/>
  <c r="AD21" i="14"/>
  <c r="G35" i="14"/>
  <c r="AJ16" i="13" l="1"/>
  <c r="AI16" i="13"/>
  <c r="AG16" i="13"/>
  <c r="C31" i="13"/>
  <c r="G36" i="14"/>
  <c r="AE21" i="14"/>
  <c r="AH21" i="14" s="1"/>
  <c r="AF21" i="14"/>
  <c r="Q22" i="14"/>
  <c r="P22" i="14"/>
  <c r="I23" i="14"/>
  <c r="J23" i="14" s="1"/>
  <c r="AK16" i="13" l="1"/>
  <c r="AL16" i="13"/>
  <c r="AH17" i="13"/>
  <c r="AI17" i="13"/>
  <c r="C32" i="13"/>
  <c r="H24" i="14"/>
  <c r="K23" i="14"/>
  <c r="L23" i="14" s="1"/>
  <c r="M23" i="14" s="1"/>
  <c r="G37" i="14"/>
  <c r="AD22" i="14"/>
  <c r="AC22" i="14"/>
  <c r="AB22" i="14"/>
  <c r="AA22" i="14"/>
  <c r="AJ17" i="13" l="1"/>
  <c r="AH18" i="13"/>
  <c r="AG17" i="13"/>
  <c r="C33" i="13"/>
  <c r="G38" i="14"/>
  <c r="Q23" i="14"/>
  <c r="P23" i="14"/>
  <c r="AE22" i="14"/>
  <c r="AH22" i="14" s="1"/>
  <c r="AF22" i="14"/>
  <c r="I24" i="14"/>
  <c r="J24" i="14" s="1"/>
  <c r="AL17" i="13" l="1"/>
  <c r="AK17" i="13"/>
  <c r="AJ18" i="13"/>
  <c r="AI18" i="13"/>
  <c r="AG18" i="13"/>
  <c r="C34" i="13"/>
  <c r="H25" i="14"/>
  <c r="K24" i="14"/>
  <c r="L24" i="14" s="1"/>
  <c r="M24" i="14" s="1"/>
  <c r="AA23" i="14"/>
  <c r="AD23" i="14"/>
  <c r="AC23" i="14"/>
  <c r="AB23" i="14"/>
  <c r="G39" i="14"/>
  <c r="AK18" i="13" l="1"/>
  <c r="AL18" i="13"/>
  <c r="AH19" i="13"/>
  <c r="C35" i="13"/>
  <c r="AE23" i="14"/>
  <c r="AH23" i="14" s="1"/>
  <c r="AF23" i="14"/>
  <c r="P24" i="14"/>
  <c r="Q24" i="14"/>
  <c r="G40" i="14"/>
  <c r="I25" i="14"/>
  <c r="J25" i="14" s="1"/>
  <c r="AI19" i="13" l="1"/>
  <c r="AH20" i="13"/>
  <c r="AJ19" i="13"/>
  <c r="AG19" i="13"/>
  <c r="C36" i="13"/>
  <c r="H26" i="14"/>
  <c r="K25" i="14"/>
  <c r="L25" i="14" s="1"/>
  <c r="M25" i="14" s="1"/>
  <c r="G41" i="14"/>
  <c r="AB24" i="14"/>
  <c r="AA24" i="14"/>
  <c r="AC24" i="14"/>
  <c r="AD24" i="14"/>
  <c r="AL19" i="13" l="1"/>
  <c r="AJ20" i="13"/>
  <c r="AI20" i="13"/>
  <c r="AK19" i="13"/>
  <c r="AG20" i="13"/>
  <c r="AE24" i="14"/>
  <c r="AH24" i="14" s="1"/>
  <c r="AF24" i="14"/>
  <c r="P25" i="14"/>
  <c r="Q25" i="14"/>
  <c r="I26" i="14"/>
  <c r="J26" i="14" s="1"/>
  <c r="AL20" i="13" l="1"/>
  <c r="AK20" i="13"/>
  <c r="AH21" i="13"/>
  <c r="H27" i="14"/>
  <c r="I27" i="14" s="1"/>
  <c r="J27" i="14" s="1"/>
  <c r="K26" i="14"/>
  <c r="L26" i="14" s="1"/>
  <c r="AC25" i="14"/>
  <c r="AD25" i="14"/>
  <c r="AB25" i="14"/>
  <c r="AA25" i="14"/>
  <c r="AG21" i="13" l="1"/>
  <c r="AJ21" i="13"/>
  <c r="AH22" i="13"/>
  <c r="AI21" i="13"/>
  <c r="P26" i="14"/>
  <c r="M26" i="14"/>
  <c r="Q26" i="14" s="1"/>
  <c r="H28" i="14"/>
  <c r="K27" i="14"/>
  <c r="L27" i="14" s="1"/>
  <c r="M27" i="14" s="1"/>
  <c r="AE25" i="14"/>
  <c r="AH25" i="14" s="1"/>
  <c r="AF25" i="14"/>
  <c r="AD26" i="14"/>
  <c r="AA26" i="14"/>
  <c r="AB26" i="14"/>
  <c r="AC26" i="14"/>
  <c r="AK21" i="13" l="1"/>
  <c r="AI22" i="13"/>
  <c r="AL21" i="13"/>
  <c r="AJ22" i="13"/>
  <c r="AG22" i="13"/>
  <c r="AE26" i="14"/>
  <c r="AH26" i="14" s="1"/>
  <c r="AF26" i="14"/>
  <c r="Q27" i="14"/>
  <c r="P27" i="14"/>
  <c r="I28" i="14"/>
  <c r="J28" i="14" s="1"/>
  <c r="H29" i="14" s="1"/>
  <c r="AK22" i="13" l="1"/>
  <c r="AL22" i="13"/>
  <c r="AH23" i="13"/>
  <c r="I29" i="14"/>
  <c r="J29" i="14" s="1"/>
  <c r="AA27" i="14"/>
  <c r="AB27" i="14"/>
  <c r="AD27" i="14"/>
  <c r="AC27" i="14"/>
  <c r="K28" i="14"/>
  <c r="L28" i="14" s="1"/>
  <c r="M28" i="14" s="1"/>
  <c r="AI23" i="13" l="1"/>
  <c r="AG23" i="13"/>
  <c r="AJ23" i="13"/>
  <c r="H30" i="14"/>
  <c r="K29" i="14"/>
  <c r="L29" i="14" s="1"/>
  <c r="M29" i="14" s="1"/>
  <c r="P28" i="14"/>
  <c r="Q28" i="14"/>
  <c r="AE27" i="14"/>
  <c r="AH27" i="14" s="1"/>
  <c r="AF27" i="14"/>
  <c r="AK23" i="13" l="1"/>
  <c r="AL23" i="13"/>
  <c r="AH24" i="13"/>
  <c r="Q29" i="14"/>
  <c r="P29" i="14"/>
  <c r="AB28" i="14"/>
  <c r="AD28" i="14"/>
  <c r="AC28" i="14"/>
  <c r="AA28" i="14"/>
  <c r="I30" i="14"/>
  <c r="J30" i="14" s="1"/>
  <c r="AG24" i="13" l="1"/>
  <c r="AI24" i="13"/>
  <c r="AJ24" i="13"/>
  <c r="H31" i="14"/>
  <c r="K30" i="14"/>
  <c r="L30" i="14" s="1"/>
  <c r="M30" i="14" s="1"/>
  <c r="AE28" i="14"/>
  <c r="AH28" i="14" s="1"/>
  <c r="AF28" i="14"/>
  <c r="AB29" i="14"/>
  <c r="AD29" i="14"/>
  <c r="AC29" i="14"/>
  <c r="AA29" i="14"/>
  <c r="AK24" i="13" l="1"/>
  <c r="AG25" i="13"/>
  <c r="AL24" i="13"/>
  <c r="AI25" i="13"/>
  <c r="AJ25" i="13"/>
  <c r="AH25" i="13"/>
  <c r="Q30" i="14"/>
  <c r="P30" i="14"/>
  <c r="AE29" i="14"/>
  <c r="AH29" i="14" s="1"/>
  <c r="AF29" i="14"/>
  <c r="I31" i="14"/>
  <c r="J31" i="14" s="1"/>
  <c r="AK25" i="13" l="1"/>
  <c r="AL25" i="13"/>
  <c r="AH26" i="13"/>
  <c r="H32" i="14"/>
  <c r="K31" i="14"/>
  <c r="L31" i="14" s="1"/>
  <c r="M31" i="14" s="1"/>
  <c r="AC30" i="14"/>
  <c r="AA30" i="14"/>
  <c r="AB30" i="14"/>
  <c r="AD30" i="14"/>
  <c r="AJ26" i="13" l="1"/>
  <c r="AI26" i="13"/>
  <c r="AG26" i="13"/>
  <c r="Q31" i="14"/>
  <c r="P31" i="14"/>
  <c r="AE30" i="14"/>
  <c r="AH30" i="14" s="1"/>
  <c r="AF30" i="14"/>
  <c r="I32" i="14"/>
  <c r="J32" i="14" s="1"/>
  <c r="AK26" i="13" l="1"/>
  <c r="AL26" i="13"/>
  <c r="AH27" i="13"/>
  <c r="H33" i="14"/>
  <c r="K32" i="14"/>
  <c r="L32" i="14" s="1"/>
  <c r="M32" i="14" s="1"/>
  <c r="AD31" i="14"/>
  <c r="AA31" i="14"/>
  <c r="AC31" i="14"/>
  <c r="AB31" i="14"/>
  <c r="AG27" i="13" l="1"/>
  <c r="AI27" i="13"/>
  <c r="AJ27" i="13"/>
  <c r="P32" i="14"/>
  <c r="Q32" i="14"/>
  <c r="AE31" i="14"/>
  <c r="AH31" i="14" s="1"/>
  <c r="AF31" i="14"/>
  <c r="I33" i="14"/>
  <c r="J33" i="14" s="1"/>
  <c r="AK27" i="13" l="1"/>
  <c r="AL27" i="13"/>
  <c r="AH28" i="13"/>
  <c r="H34" i="14"/>
  <c r="K33" i="14"/>
  <c r="L33" i="14" s="1"/>
  <c r="M33" i="14" s="1"/>
  <c r="AA32" i="14"/>
  <c r="AB32" i="14"/>
  <c r="AD32" i="14"/>
  <c r="AC32" i="14"/>
  <c r="AJ28" i="13" l="1"/>
  <c r="AI28" i="13"/>
  <c r="AG28" i="13"/>
  <c r="AE32" i="14"/>
  <c r="AH32" i="14" s="1"/>
  <c r="AF32" i="14"/>
  <c r="P33" i="14"/>
  <c r="Q33" i="14"/>
  <c r="I34" i="14"/>
  <c r="J34" i="14" s="1"/>
  <c r="AK28" i="13" l="1"/>
  <c r="AL28" i="13"/>
  <c r="AH29" i="13"/>
  <c r="H35" i="14"/>
  <c r="K34" i="14"/>
  <c r="L34" i="14" s="1"/>
  <c r="M34" i="14" s="1"/>
  <c r="AB33" i="14"/>
  <c r="AD33" i="14"/>
  <c r="AC33" i="14"/>
  <c r="AA33" i="14"/>
  <c r="AG29" i="13" l="1"/>
  <c r="AI29" i="13"/>
  <c r="AJ29" i="13"/>
  <c r="AE33" i="14"/>
  <c r="AH33" i="14" s="1"/>
  <c r="AF33" i="14"/>
  <c r="P34" i="14"/>
  <c r="Q34" i="14"/>
  <c r="I35" i="14"/>
  <c r="J35" i="14" s="1"/>
  <c r="AK29" i="13" l="1"/>
  <c r="AL29" i="13"/>
  <c r="AH30" i="13"/>
  <c r="H36" i="14"/>
  <c r="K35" i="14"/>
  <c r="L35" i="14" s="1"/>
  <c r="M35" i="14" s="1"/>
  <c r="AC34" i="14"/>
  <c r="AA34" i="14"/>
  <c r="AD34" i="14"/>
  <c r="AB34" i="14"/>
  <c r="AJ30" i="13" l="1"/>
  <c r="AI30" i="13"/>
  <c r="AG30" i="13"/>
  <c r="Q35" i="14"/>
  <c r="P35" i="14"/>
  <c r="AE34" i="14"/>
  <c r="AH34" i="14" s="1"/>
  <c r="AF34" i="14"/>
  <c r="I36" i="14"/>
  <c r="J36" i="14" s="1"/>
  <c r="AK30" i="13" l="1"/>
  <c r="AL30" i="13"/>
  <c r="AH31" i="13"/>
  <c r="H37" i="14"/>
  <c r="K36" i="14"/>
  <c r="L36" i="14" s="1"/>
  <c r="M36" i="14" s="1"/>
  <c r="AD35" i="14"/>
  <c r="AB35" i="14"/>
  <c r="AA35" i="14"/>
  <c r="AC35" i="14"/>
  <c r="AI31" i="13" l="1"/>
  <c r="AJ31" i="13"/>
  <c r="AG31" i="13"/>
  <c r="AE35" i="14"/>
  <c r="AH35" i="14" s="1"/>
  <c r="AF35" i="14"/>
  <c r="P36" i="14"/>
  <c r="Q36" i="14"/>
  <c r="I37" i="14"/>
  <c r="J37" i="14" s="1"/>
  <c r="AL31" i="13" l="1"/>
  <c r="AK31" i="13"/>
  <c r="AH32" i="13"/>
  <c r="H38" i="14"/>
  <c r="K37" i="14"/>
  <c r="L37" i="14" s="1"/>
  <c r="M37" i="14" s="1"/>
  <c r="AA36" i="14"/>
  <c r="AB36" i="14"/>
  <c r="AD36" i="14"/>
  <c r="AC36" i="14"/>
  <c r="AJ32" i="13" l="1"/>
  <c r="AI32" i="13"/>
  <c r="AG32" i="13"/>
  <c r="AE36" i="14"/>
  <c r="AH36" i="14" s="1"/>
  <c r="AF36" i="14"/>
  <c r="P37" i="14"/>
  <c r="Q37" i="14"/>
  <c r="I38" i="14"/>
  <c r="J38" i="14" s="1"/>
  <c r="AK32" i="13" l="1"/>
  <c r="AL32" i="13"/>
  <c r="AH33" i="13"/>
  <c r="H39" i="14"/>
  <c r="K38" i="14"/>
  <c r="L38" i="14" s="1"/>
  <c r="M38" i="14" s="1"/>
  <c r="AB37" i="14"/>
  <c r="AD37" i="14"/>
  <c r="AC37" i="14"/>
  <c r="AA37" i="14"/>
  <c r="AJ33" i="13" l="1"/>
  <c r="AI33" i="13"/>
  <c r="AG33" i="13"/>
  <c r="AE37" i="14"/>
  <c r="AH37" i="14" s="1"/>
  <c r="AF37" i="14"/>
  <c r="Q38" i="14"/>
  <c r="P38" i="14"/>
  <c r="I39" i="14"/>
  <c r="J39" i="14" s="1"/>
  <c r="AK33" i="13" l="1"/>
  <c r="AL33" i="13"/>
  <c r="AH34" i="13"/>
  <c r="H40" i="14"/>
  <c r="K39" i="14"/>
  <c r="L39" i="14" s="1"/>
  <c r="M39" i="14" s="1"/>
  <c r="AC38" i="14"/>
  <c r="AB38" i="14"/>
  <c r="AA38" i="14"/>
  <c r="AD38" i="14"/>
  <c r="AJ34" i="13" l="1"/>
  <c r="AI34" i="13"/>
  <c r="AG34" i="13"/>
  <c r="Q39" i="14"/>
  <c r="P39" i="14"/>
  <c r="AE38" i="14"/>
  <c r="AH38" i="14" s="1"/>
  <c r="AF38" i="14"/>
  <c r="I40" i="14"/>
  <c r="J40" i="14" s="1"/>
  <c r="J39" i="13"/>
  <c r="AK34" i="13" l="1"/>
  <c r="AL34" i="13"/>
  <c r="AH35" i="13"/>
  <c r="H41" i="14"/>
  <c r="K40" i="14"/>
  <c r="L40" i="14" s="1"/>
  <c r="M40" i="14" s="1"/>
  <c r="AD39" i="14"/>
  <c r="AC39" i="14"/>
  <c r="AB39" i="14"/>
  <c r="AA39" i="14"/>
  <c r="AI35" i="13" l="1"/>
  <c r="AG35" i="13"/>
  <c r="AJ35" i="13"/>
  <c r="AE39" i="14"/>
  <c r="AH39" i="14" s="1"/>
  <c r="AF39" i="14"/>
  <c r="P40" i="14"/>
  <c r="Q40" i="14"/>
  <c r="I41" i="14"/>
  <c r="I44" i="14" s="1"/>
  <c r="AL35" i="13" l="1"/>
  <c r="AK35" i="13"/>
  <c r="J41" i="14"/>
  <c r="K41" i="14" s="1"/>
  <c r="L41" i="14" s="1"/>
  <c r="M41" i="14" s="1"/>
  <c r="AA40" i="14"/>
  <c r="AD40" i="14"/>
  <c r="AC40" i="14"/>
  <c r="AB40" i="14"/>
  <c r="AH36" i="13" l="1"/>
  <c r="AJ36" i="13"/>
  <c r="AG36" i="13"/>
  <c r="AI36" i="13"/>
  <c r="AE40" i="14"/>
  <c r="AH40" i="14" s="1"/>
  <c r="AF40" i="14"/>
  <c r="P41" i="14"/>
  <c r="Q41" i="14"/>
  <c r="AK36" i="13" l="1"/>
  <c r="AL36" i="13"/>
  <c r="AB41" i="14"/>
  <c r="AA41" i="14"/>
  <c r="AD41" i="14"/>
  <c r="AC41" i="14"/>
  <c r="AE41" i="14" l="1"/>
  <c r="AH41" i="14" s="1"/>
  <c r="AF41" i="14"/>
</calcChain>
</file>

<file path=xl/comments1.xml><?xml version="1.0" encoding="utf-8"?>
<comments xmlns="http://schemas.openxmlformats.org/spreadsheetml/2006/main">
  <authors>
    <author>Raymond.Suttie</author>
    <author>Raymond Suttie</author>
  </authors>
  <commentList>
    <comment ref="J4" authorId="0" shapeId="0">
      <text>
        <r>
          <rPr>
            <sz val="9"/>
            <color indexed="81"/>
            <rFont val="Tahoma"/>
            <family val="2"/>
          </rPr>
          <t>YYYY/MM/DD</t>
        </r>
      </text>
    </comment>
    <comment ref="C8" authorId="0" shapeId="0">
      <text>
        <r>
          <rPr>
            <sz val="9"/>
            <color indexed="81"/>
            <rFont val="Tahoma"/>
            <family val="2"/>
          </rPr>
          <t xml:space="preserve">
This will populate once the Asset Commission date is entered</t>
        </r>
      </text>
    </comment>
    <comment ref="D8" authorId="1" shapeId="0">
      <text>
        <r>
          <rPr>
            <sz val="9"/>
            <color indexed="81"/>
            <rFont val="Tahoma"/>
            <family val="2"/>
          </rPr>
          <t xml:space="preserve">
</t>
        </r>
        <r>
          <rPr>
            <sz val="10"/>
            <color indexed="81"/>
            <rFont val="Arial"/>
            <family val="2"/>
          </rPr>
          <t>Per LTBR Tab - update as necessary for newer years</t>
        </r>
      </text>
    </comment>
    <comment ref="G8" authorId="1" shapeId="0">
      <text>
        <r>
          <rPr>
            <sz val="9"/>
            <color indexed="81"/>
            <rFont val="Tahoma"/>
            <family val="2"/>
          </rPr>
          <t xml:space="preserve">
</t>
        </r>
        <r>
          <rPr>
            <sz val="10"/>
            <color indexed="81"/>
            <rFont val="Arial"/>
            <family val="2"/>
          </rPr>
          <t>Watch for possible transition rule:
For existing assets (i.e. assets commissioned before January 1, 2011), the original depreciation schedule will remain in place until a capital addition is made (addition of 10% or more of of CCC, or if less than 10% is deemed to be Operating Cost). At that time, the annual depreciation amount will be re-calculated as 4% of the new CCC, with zero salvage value as the default. For assets where the CCC cannot be determined, the depreciation amount in the current schedule, multiplied by an appropriate factor (i.e. 4/5 where the asset was being depreciated over 20 years at 5%/year), will be added to 4% of the new capital addition amount, with this sum being the new annual depreciation amount. A capital retirement will NOT trigger conversion to the new (25 year, 4% of CCC) depreciation schedule.
  OSACR 12.6</t>
        </r>
      </text>
    </comment>
    <comment ref="N8" authorId="1" shapeId="0">
      <text>
        <r>
          <rPr>
            <sz val="9"/>
            <color indexed="81"/>
            <rFont val="Tahoma"/>
            <family val="2"/>
          </rPr>
          <t xml:space="preserve">
For assets which do not have a readily identifiable measure of capacity or throughput, the COS calculation will simply determine an annual amount – Capital Charge + Operating Charge – which will be allocated between Project and non-Project use by the appropriate methodology.
For specified assets which have been oversized as good engineering practice (for integrated Projects these would include: steam generation, raw water treatment, and boiler feed water treatment), the COS calculation will always be determined based on actual throughput and not design capacity.</t>
        </r>
      </text>
    </comment>
    <comment ref="P8" authorId="0" shapeId="0">
      <text>
        <r>
          <rPr>
            <sz val="9"/>
            <color indexed="81"/>
            <rFont val="Tahoma"/>
            <family val="2"/>
          </rPr>
          <t xml:space="preserve">
If the cost of an addition is greater than 10% of the CCC, it will be treated as capital. If the cost is less than or equal to 10% of the CCC, it will be considered an operating cost in the year it is incurred.
True operating costs will not be capitalized even if they exceed 10% of the CCC in any year. Examples of such costs include energy costs, annual taxes including property taxes, chemical costs, annual environmental fees or levies, and maintenance costs. (Note, this list is not all inclusive.)
 OSACR 12.7
</t>
        </r>
      </text>
    </comment>
    <comment ref="T8" authorId="1" shapeId="0">
      <text>
        <r>
          <rPr>
            <sz val="9"/>
            <color indexed="81"/>
            <rFont val="Tahoma"/>
            <family val="2"/>
          </rPr>
          <t xml:space="preserve">
Sum of Operating and Capital Charge per Unit - use this rate to apply to the volumes in your  period</t>
        </r>
      </text>
    </comment>
    <comment ref="U8" authorId="1" shapeId="0">
      <text>
        <r>
          <rPr>
            <sz val="10"/>
            <color indexed="81"/>
            <rFont val="Arial"/>
            <family val="2"/>
          </rPr>
          <t xml:space="preserve">
</t>
        </r>
        <r>
          <rPr>
            <sz val="9"/>
            <color indexed="81"/>
            <rFont val="Tahoma"/>
            <family val="2"/>
          </rPr>
          <t>These are additions made commencing Jan 1 of the commissioning year (Year 1), but can include costs between Jan 1 and the commission date.
Capital Additions that are less than 10% of CCC are deemed to be Operating Costs
 OSACR 12.7</t>
        </r>
      </text>
    </comment>
    <comment ref="Y8" authorId="0" shapeId="0">
      <text>
        <r>
          <rPr>
            <sz val="9"/>
            <color indexed="81"/>
            <rFont val="Tahoma"/>
            <family val="2"/>
          </rPr>
          <t xml:space="preserve">
Enter any values in the relevant row, from the computed NBV in the box below</t>
        </r>
      </text>
    </comment>
    <comment ref="AA8" authorId="0" shapeId="0">
      <text>
        <r>
          <rPr>
            <sz val="9"/>
            <color indexed="81"/>
            <rFont val="Tahoma"/>
            <family val="2"/>
          </rPr>
          <t xml:space="preserve">
Rename Cell with OSR #</t>
        </r>
      </text>
    </comment>
    <comment ref="AB8" authorId="0" shapeId="0">
      <text>
        <r>
          <rPr>
            <sz val="9"/>
            <color indexed="81"/>
            <rFont val="Tahoma"/>
            <family val="2"/>
          </rPr>
          <t xml:space="preserve">
Rename Cell with OSR #</t>
        </r>
      </text>
    </comment>
    <comment ref="AC8" authorId="0" shapeId="0">
      <text>
        <r>
          <rPr>
            <sz val="9"/>
            <color indexed="81"/>
            <rFont val="Tahoma"/>
            <family val="2"/>
          </rPr>
          <t xml:space="preserve">
Rename Cell with OSR #</t>
        </r>
      </text>
    </comment>
    <comment ref="AF8" authorId="0" shapeId="0">
      <text>
        <r>
          <rPr>
            <sz val="9"/>
            <color indexed="81"/>
            <rFont val="Tahoma"/>
            <family val="2"/>
          </rPr>
          <t xml:space="preserve">
If "Error" displays, then the Total Throughput in this allocation section does not match the Total Throughput entered in the calculation section</t>
        </r>
      </text>
    </comment>
    <comment ref="G9" authorId="0" shapeId="0">
      <text>
        <r>
          <rPr>
            <sz val="9"/>
            <color indexed="81"/>
            <rFont val="Tahoma"/>
            <family val="2"/>
          </rPr>
          <t xml:space="preserve">
Enter as a decimal, i.e. .04 for 4%</t>
        </r>
      </text>
    </comment>
    <comment ref="N9" authorId="0" shapeId="0">
      <text>
        <r>
          <rPr>
            <sz val="9"/>
            <color indexed="81"/>
            <rFont val="Tahoma"/>
            <family val="2"/>
          </rPr>
          <t xml:space="preserve">
Calculation reflects rule to use the greater of actual throughput and 75% of capacity.
 OSACR 12.1(1)(n)</t>
        </r>
      </text>
    </comment>
    <comment ref="B10" authorId="1" shapeId="0">
      <text>
        <r>
          <rPr>
            <sz val="9"/>
            <color indexed="81"/>
            <rFont val="Tahoma"/>
            <family val="2"/>
          </rPr>
          <t xml:space="preserve">
It is contemplated that Year 1 is the year of commissioning</t>
        </r>
      </text>
    </comment>
    <comment ref="J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12.6</t>
        </r>
      </text>
    </comment>
    <comment ref="L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12.4</t>
        </r>
      </text>
    </comment>
    <comment ref="Y42" authorId="0" shapeId="0">
      <text>
        <r>
          <rPr>
            <sz val="9"/>
            <color indexed="81"/>
            <rFont val="Tahoma"/>
            <family val="2"/>
          </rPr>
          <t xml:space="preserve">
Change this formula to match the correct row from Column T above</t>
        </r>
      </text>
    </comment>
    <comment ref="R44" authorId="0" shapeId="0">
      <text>
        <r>
          <rPr>
            <sz val="9"/>
            <color indexed="81"/>
            <rFont val="Tahoma"/>
            <family val="2"/>
          </rPr>
          <t xml:space="preserve">
Including year of retirement.</t>
        </r>
      </text>
    </comment>
    <comment ref="U44" authorId="0" shapeId="0">
      <text>
        <r>
          <rPr>
            <sz val="9"/>
            <color indexed="81"/>
            <rFont val="Tahoma"/>
            <family val="2"/>
          </rPr>
          <t xml:space="preserve">
If applicable, rate used before 4% per Regulations - also see Note in Cell G8</t>
        </r>
      </text>
    </comment>
    <comment ref="R45" authorId="0" shapeId="0">
      <text>
        <r>
          <rPr>
            <sz val="9"/>
            <color indexed="81"/>
            <rFont val="Tahoma"/>
            <family val="2"/>
          </rPr>
          <t xml:space="preserve">
Including year of retirement.</t>
        </r>
      </text>
    </comment>
  </commentList>
</comments>
</file>

<file path=xl/comments2.xml><?xml version="1.0" encoding="utf-8"?>
<comments xmlns="http://schemas.openxmlformats.org/spreadsheetml/2006/main">
  <authors>
    <author>Raymond.Suttie</author>
    <author>Raymond Suttie</author>
  </authors>
  <commentList>
    <comment ref="J4" authorId="0" shapeId="0">
      <text>
        <r>
          <rPr>
            <sz val="9"/>
            <color indexed="81"/>
            <rFont val="Tahoma"/>
            <family val="2"/>
          </rPr>
          <t xml:space="preserve">
YYYY/MM/DD</t>
        </r>
      </text>
    </comment>
    <comment ref="C8" authorId="0" shapeId="0">
      <text>
        <r>
          <rPr>
            <sz val="9"/>
            <color indexed="81"/>
            <rFont val="Tahoma"/>
            <family val="2"/>
          </rPr>
          <t xml:space="preserve">
This will populate once the Asset Commission date is entered</t>
        </r>
      </text>
    </comment>
    <comment ref="D8" authorId="1" shapeId="0">
      <text>
        <r>
          <rPr>
            <sz val="9"/>
            <color indexed="81"/>
            <rFont val="Tahoma"/>
            <family val="2"/>
          </rPr>
          <t xml:space="preserve">
</t>
        </r>
        <r>
          <rPr>
            <sz val="10"/>
            <color indexed="81"/>
            <rFont val="Arial"/>
            <family val="2"/>
          </rPr>
          <t>Per LTBR Tab - update as necessary for newer years</t>
        </r>
      </text>
    </comment>
    <comment ref="G8" authorId="1" shapeId="0">
      <text>
        <r>
          <rPr>
            <sz val="9"/>
            <color indexed="81"/>
            <rFont val="Tahoma"/>
            <family val="2"/>
          </rPr>
          <t xml:space="preserve">
</t>
        </r>
        <r>
          <rPr>
            <sz val="10"/>
            <color indexed="81"/>
            <rFont val="Arial"/>
            <family val="2"/>
          </rPr>
          <t>Watch for possible transition rule:
For existing assets (i.e. assets commissioned before January 1, 2011), the original depreciation schedule will remain in place until a capital addition is made (addition of 10% or more of of CCC, or if less than 10% is deemed to be Operating Cost). At that time, the annual depreciation amount will be re-calculated as 4% of the new CCC, with zero salvage value as the default. For assets where the CCC cannot be determined, the depreciation amount in the current schedule, multiplied by an appropriate factor (i.e. 4/5 where the asset was being depreciated over 20 years at 5%/year), will be added to 4% of the new capital addition amount, with this sum being the new annual depreciation amount. A capital retirement will NOT trigger conversion to the new (25 year, 4% of CCC) depreciation schedule.
  OSACR 12.6</t>
        </r>
      </text>
    </comment>
    <comment ref="N8" authorId="1" shapeId="0">
      <text>
        <r>
          <rPr>
            <sz val="9"/>
            <color indexed="81"/>
            <rFont val="Tahoma"/>
            <family val="2"/>
          </rPr>
          <t xml:space="preserve">
For assets which do not have a readily identifiable measure of capacity or throughput, the COS calculation will simply determine an annual amount – Capital Charge + Operating Charge – which will be allocated between Project and non-Project use by the appropriate methodology.
For specified assets which have been oversized as good engineering practice (for integrated Projects these would include: steam generation, raw water treatment, and boiler feed water treatment), the COS calculation will always be determined based on actual throughput and not design capacity.</t>
        </r>
      </text>
    </comment>
    <comment ref="P8" authorId="0" shapeId="0">
      <text>
        <r>
          <rPr>
            <sz val="9"/>
            <color indexed="81"/>
            <rFont val="Tahoma"/>
            <family val="2"/>
          </rPr>
          <t xml:space="preserve">
If the cost of an addition is greater than 10% of the CCC, it will be treated as capital. If the cost is less than or equal to 10% of the CCC, it will be considered an operating cost in the year it is incurred.
True operating costs will not be capitalized even if they exceed 10% of the CCC in any year. Examples of such costs include energy costs, annual taxes including property taxes, chemical costs, annual environmental fees or levies, and maintenance costs. (Note, this list is not all inclusive.)
 OSACR 12.7
</t>
        </r>
      </text>
    </comment>
    <comment ref="T8" authorId="1" shapeId="0">
      <text>
        <r>
          <rPr>
            <sz val="9"/>
            <color indexed="81"/>
            <rFont val="Tahoma"/>
            <family val="2"/>
          </rPr>
          <t xml:space="preserve">
Sum of Operating and Capital Charge per Unit - use this rate to apply to the volumes in your  period</t>
        </r>
      </text>
    </comment>
    <comment ref="U8" authorId="1" shapeId="0">
      <text>
        <r>
          <rPr>
            <sz val="10"/>
            <color indexed="81"/>
            <rFont val="Arial"/>
            <family val="2"/>
          </rPr>
          <t xml:space="preserve">
</t>
        </r>
        <r>
          <rPr>
            <sz val="9"/>
            <color indexed="81"/>
            <rFont val="Tahoma"/>
            <family val="2"/>
          </rPr>
          <t>These are additions made commencing Jan 1 of the commissioning year (Year 1), but can include costs between Jan 1 and the commission date.
Capital Additions that are less than 10% of CCC are deemed to be Operating Costs
 OSACR 12.7</t>
        </r>
      </text>
    </comment>
    <comment ref="Y8" authorId="0" shapeId="0">
      <text>
        <r>
          <rPr>
            <sz val="9"/>
            <color indexed="81"/>
            <rFont val="Tahoma"/>
            <family val="2"/>
          </rPr>
          <t xml:space="preserve">
Enter any values in the relevant row, from the computed NBV in the box below</t>
        </r>
      </text>
    </comment>
    <comment ref="AA8" authorId="0" shapeId="0">
      <text>
        <r>
          <rPr>
            <sz val="9"/>
            <color indexed="81"/>
            <rFont val="Tahoma"/>
            <family val="2"/>
          </rPr>
          <t xml:space="preserve">
Rename Cell with OSR #</t>
        </r>
      </text>
    </comment>
    <comment ref="AB8" authorId="0" shapeId="0">
      <text>
        <r>
          <rPr>
            <sz val="9"/>
            <color indexed="81"/>
            <rFont val="Tahoma"/>
            <family val="2"/>
          </rPr>
          <t xml:space="preserve">
Rename Cell with OSR #</t>
        </r>
      </text>
    </comment>
    <comment ref="AC8" authorId="0" shapeId="0">
      <text>
        <r>
          <rPr>
            <sz val="9"/>
            <color indexed="81"/>
            <rFont val="Tahoma"/>
            <family val="2"/>
          </rPr>
          <t xml:space="preserve">
Rename Cell with OSR #</t>
        </r>
      </text>
    </comment>
    <comment ref="AF8" authorId="0" shapeId="0">
      <text>
        <r>
          <rPr>
            <sz val="9"/>
            <color indexed="81"/>
            <rFont val="Tahoma"/>
            <family val="2"/>
          </rPr>
          <t xml:space="preserve">
If "Error" displays, then the Total Throughput in this allocation section does not match the Total Throughput entered in the calculation section</t>
        </r>
      </text>
    </comment>
    <comment ref="G9" authorId="0" shapeId="0">
      <text>
        <r>
          <rPr>
            <sz val="9"/>
            <color indexed="81"/>
            <rFont val="Tahoma"/>
            <family val="2"/>
          </rPr>
          <t xml:space="preserve">
Enter as a decimal, i.e. .04 for 4%</t>
        </r>
      </text>
    </comment>
    <comment ref="N9" authorId="0" shapeId="0">
      <text>
        <r>
          <rPr>
            <sz val="9"/>
            <color indexed="81"/>
            <rFont val="Tahoma"/>
            <family val="2"/>
          </rPr>
          <t xml:space="preserve">
Calculation reflects rule to use the greater of actual throughput and 75% of capacity.
 OSACR 12.1(1)(n)</t>
        </r>
      </text>
    </comment>
    <comment ref="B10" authorId="1" shapeId="0">
      <text>
        <r>
          <rPr>
            <sz val="9"/>
            <color indexed="81"/>
            <rFont val="Tahoma"/>
            <family val="2"/>
          </rPr>
          <t xml:space="preserve">
It is contemplated that Year 1 is the year of commissioning</t>
        </r>
      </text>
    </comment>
    <comment ref="J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12.6</t>
        </r>
      </text>
    </comment>
    <comment ref="L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12.4</t>
        </r>
      </text>
    </comment>
    <comment ref="Y42" authorId="0" shapeId="0">
      <text>
        <r>
          <rPr>
            <sz val="9"/>
            <color indexed="81"/>
            <rFont val="Tahoma"/>
            <family val="2"/>
          </rPr>
          <t xml:space="preserve">
Change this formula to match the correct row from Column T above</t>
        </r>
      </text>
    </comment>
    <comment ref="R44" authorId="0" shapeId="0">
      <text>
        <r>
          <rPr>
            <sz val="9"/>
            <color indexed="81"/>
            <rFont val="Tahoma"/>
            <family val="2"/>
          </rPr>
          <t xml:space="preserve">
Including year of retirement.</t>
        </r>
      </text>
    </comment>
    <comment ref="U44" authorId="0" shapeId="0">
      <text>
        <r>
          <rPr>
            <sz val="9"/>
            <color indexed="81"/>
            <rFont val="Tahoma"/>
            <family val="2"/>
          </rPr>
          <t xml:space="preserve">
If applicable, rate used before 4% per Regulations - also see Note in Cell G8</t>
        </r>
      </text>
    </comment>
    <comment ref="R45" authorId="0" shapeId="0">
      <text>
        <r>
          <rPr>
            <sz val="9"/>
            <color indexed="81"/>
            <rFont val="Tahoma"/>
            <family val="2"/>
          </rPr>
          <t xml:space="preserve">
Including year of retirement.</t>
        </r>
      </text>
    </comment>
  </commentList>
</comments>
</file>

<file path=xl/comments3.xml><?xml version="1.0" encoding="utf-8"?>
<comments xmlns="http://schemas.openxmlformats.org/spreadsheetml/2006/main">
  <authors>
    <author>Raymond.Suttie</author>
    <author>Raymond Suttie</author>
  </authors>
  <commentList>
    <comment ref="J4" authorId="0" shapeId="0">
      <text>
        <r>
          <rPr>
            <sz val="9"/>
            <color indexed="81"/>
            <rFont val="Tahoma"/>
            <family val="2"/>
          </rPr>
          <t xml:space="preserve">
YYYY/MM/DD</t>
        </r>
      </text>
    </comment>
    <comment ref="AG7" authorId="0" shapeId="0">
      <text>
        <r>
          <rPr>
            <sz val="9"/>
            <color indexed="81"/>
            <rFont val="Tahoma"/>
            <family val="2"/>
          </rPr>
          <t xml:space="preserve">
The costs can be reported by the Projects receiving the services, and the ONP is to be reported by the Project which provides the services (Project in which the asset is included)</t>
        </r>
      </text>
    </comment>
    <comment ref="C8" authorId="0" shapeId="0">
      <text>
        <r>
          <rPr>
            <sz val="9"/>
            <color indexed="81"/>
            <rFont val="Tahoma"/>
            <family val="2"/>
          </rPr>
          <t xml:space="preserve">
This will populate once the Asset Commission date is entered</t>
        </r>
      </text>
    </comment>
    <comment ref="D8" authorId="1" shapeId="0">
      <text>
        <r>
          <rPr>
            <sz val="9"/>
            <color indexed="81"/>
            <rFont val="Tahoma"/>
            <family val="2"/>
          </rPr>
          <t xml:space="preserve">
</t>
        </r>
        <r>
          <rPr>
            <sz val="10"/>
            <color indexed="81"/>
            <rFont val="Arial"/>
            <family val="2"/>
          </rPr>
          <t>Per LTBR Tab - update as necessary for newer years</t>
        </r>
      </text>
    </comment>
    <comment ref="F8" authorId="0" shapeId="0">
      <text>
        <r>
          <rPr>
            <sz val="9"/>
            <color indexed="81"/>
            <rFont val="Tahoma"/>
            <family val="2"/>
          </rPr>
          <t xml:space="preserve">
Total throughput for the asset, including the Project in which the asset is included, as well as the Projects which receive a service from the asset</t>
        </r>
      </text>
    </comment>
    <comment ref="G8" authorId="1" shapeId="0">
      <text>
        <r>
          <rPr>
            <sz val="9"/>
            <color indexed="81"/>
            <rFont val="Tahoma"/>
            <family val="2"/>
          </rPr>
          <t xml:space="preserve">
</t>
        </r>
        <r>
          <rPr>
            <sz val="10"/>
            <color indexed="81"/>
            <rFont val="Arial"/>
            <family val="2"/>
          </rPr>
          <t>Watch for possible transition rule:
For existing assets (i.e. assets commissioned before January 1, 2011), the original depreciation schedule will remain in place until a capital addition is made (addition of 10% or more of of CCC, or if less than 10% is deemed to be Operating Cost). At that time, the annual depreciation amount will be re-calculated as 4% of the new CCC, with zero salvage value as the default. For assets where the CCC cannot be determined, the depreciation amount in the current schedule, multiplied by an appropriate factor (i.e. 4/5 where the asset was being depreciated over 20 years at 5%/year), will be added to 4% of the new capital addition amount, with this sum being the new annual depreciation amount. A capital retirement will NOT trigger conversion to the new (25 year, 4% of CCC) depreciation schedule.
  OSACR 12.6</t>
        </r>
      </text>
    </comment>
    <comment ref="N8" authorId="1" shapeId="0">
      <text>
        <r>
          <rPr>
            <sz val="9"/>
            <color indexed="81"/>
            <rFont val="Tahoma"/>
            <family val="2"/>
          </rPr>
          <t xml:space="preserve">
For assets which do not have a readily identifiable measure of capacity or throughput, the COS calculation will simply determine an annual amount – Capital Charge + Operating Charge – which will be allocated between Project and non-Project use by the appropriate methodology.
For specified assets which have been oversized as good engineering practice (for integrated Projects these would include: steam generation, raw water treatment, and boiler feed water treatment), the COS calculation will always be determined based on actual throughput and not design capacity.</t>
        </r>
      </text>
    </comment>
    <comment ref="P8" authorId="0" shapeId="0">
      <text>
        <r>
          <rPr>
            <sz val="9"/>
            <color indexed="81"/>
            <rFont val="Tahoma"/>
            <family val="2"/>
          </rPr>
          <t xml:space="preserve">
If the cost of an addition is greater than 10% of the CCC, it will be treated as capital. If the cost is less than or equal to 10% of the CCC, it will be considered an operating cost in the year it is incurred.
True operating costs will not be capitalized even if they exceed 10% of the CCC in any year. Examples of such costs include energy costs, annual taxes including property taxes, chemical costs, annual environmental fees or levies, and maintenance costs. (Note, this list is not all inclusive.)
 OSACR 12.7
</t>
        </r>
      </text>
    </comment>
    <comment ref="T8" authorId="1" shapeId="0">
      <text>
        <r>
          <rPr>
            <sz val="9"/>
            <color indexed="81"/>
            <rFont val="Tahoma"/>
            <family val="2"/>
          </rPr>
          <t xml:space="preserve">
Sum of Operating and Capital Charge per Unit - use this rate to apply to the volumes in your  period</t>
        </r>
      </text>
    </comment>
    <comment ref="U8" authorId="1" shapeId="0">
      <text>
        <r>
          <rPr>
            <sz val="10"/>
            <color indexed="81"/>
            <rFont val="Arial"/>
            <family val="2"/>
          </rPr>
          <t xml:space="preserve">
</t>
        </r>
        <r>
          <rPr>
            <sz val="9"/>
            <color indexed="81"/>
            <rFont val="Tahoma"/>
            <family val="2"/>
          </rPr>
          <t>These are additions made commencing Jan 1 of the commissioning year (Year 1), but can include costs between Jan 1 and the commission date.
Capital Additions that are less than 10% of CCC are deemed to be Operating Costs
 OSACR 12.7</t>
        </r>
      </text>
    </comment>
    <comment ref="Y8" authorId="0" shapeId="0">
      <text>
        <r>
          <rPr>
            <sz val="9"/>
            <color indexed="81"/>
            <rFont val="Tahoma"/>
            <family val="2"/>
          </rPr>
          <t xml:space="preserve">
Enter any values in the relevant row, from the computed NBV in the box below</t>
        </r>
      </text>
    </comment>
    <comment ref="AB8" authorId="0" shapeId="0">
      <text>
        <r>
          <rPr>
            <sz val="9"/>
            <color indexed="81"/>
            <rFont val="Tahoma"/>
            <family val="2"/>
          </rPr>
          <t xml:space="preserve">
Rename Cell with OSR #</t>
        </r>
      </text>
    </comment>
    <comment ref="AC8" authorId="0" shapeId="0">
      <text>
        <r>
          <rPr>
            <sz val="9"/>
            <color indexed="81"/>
            <rFont val="Tahoma"/>
            <family val="2"/>
          </rPr>
          <t xml:space="preserve">
Rename Cell with OSR #</t>
        </r>
      </text>
    </comment>
    <comment ref="AD8" authorId="0" shapeId="0">
      <text>
        <r>
          <rPr>
            <sz val="9"/>
            <color indexed="81"/>
            <rFont val="Tahoma"/>
            <family val="2"/>
          </rPr>
          <t xml:space="preserve">
Rename Cell with OSR #</t>
        </r>
      </text>
    </comment>
    <comment ref="AG8" authorId="0" shapeId="0">
      <text>
        <r>
          <rPr>
            <sz val="9"/>
            <color indexed="81"/>
            <rFont val="Tahoma"/>
            <family val="2"/>
          </rPr>
          <t xml:space="preserve">
This column is here as part of the total Asset costs.  However, these costs are already claimed in the OSR Project, and these are NOT additional costs to be claimed.  Rather, the ONP is to be reported by the OSR Project.</t>
        </r>
      </text>
    </comment>
    <comment ref="AH8" authorId="0" shapeId="0">
      <text>
        <r>
          <rPr>
            <sz val="9"/>
            <color indexed="81"/>
            <rFont val="Tahoma"/>
            <family val="2"/>
          </rPr>
          <t xml:space="preserve">
This cost can be claimed by this Project for this service received</t>
        </r>
      </text>
    </comment>
    <comment ref="AI8" authorId="0" shapeId="0">
      <text>
        <r>
          <rPr>
            <sz val="9"/>
            <color indexed="81"/>
            <rFont val="Tahoma"/>
            <family val="2"/>
          </rPr>
          <t xml:space="preserve">
This cost can be claimed by this Project for this service received</t>
        </r>
      </text>
    </comment>
    <comment ref="AJ8" authorId="0" shapeId="0">
      <text>
        <r>
          <rPr>
            <sz val="9"/>
            <color indexed="81"/>
            <rFont val="Tahoma"/>
            <family val="2"/>
          </rPr>
          <t xml:space="preserve">
This cost can be claimed by this Project for this service received</t>
        </r>
      </text>
    </comment>
    <comment ref="AL8" authorId="0" shapeId="0">
      <text>
        <r>
          <rPr>
            <sz val="9"/>
            <color indexed="81"/>
            <rFont val="Tahoma"/>
            <family val="2"/>
          </rPr>
          <t xml:space="preserve">
To be reported as ONP in this Project</t>
        </r>
      </text>
    </comment>
    <comment ref="G9" authorId="0" shapeId="0">
      <text>
        <r>
          <rPr>
            <sz val="9"/>
            <color indexed="81"/>
            <rFont val="Tahoma"/>
            <family val="2"/>
          </rPr>
          <t xml:space="preserve">
Enter as a decimal, i.e. .04 for 4%</t>
        </r>
      </text>
    </comment>
    <comment ref="N9" authorId="0" shapeId="0">
      <text>
        <r>
          <rPr>
            <sz val="9"/>
            <color indexed="81"/>
            <rFont val="Tahoma"/>
            <family val="2"/>
          </rPr>
          <t xml:space="preserve">
Calculation reflects rule to use the greater of actual throughput and 75% of capacity.
 OSACR 12.1(1)(n)</t>
        </r>
      </text>
    </comment>
    <comment ref="B10" authorId="1" shapeId="0">
      <text>
        <r>
          <rPr>
            <sz val="9"/>
            <color indexed="81"/>
            <rFont val="Tahoma"/>
            <family val="2"/>
          </rPr>
          <t xml:space="preserve">
It is contemplated that Year 1 is the year of commissioning</t>
        </r>
      </text>
    </comment>
    <comment ref="J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12.6</t>
        </r>
      </text>
    </comment>
    <comment ref="L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12.4</t>
        </r>
      </text>
    </comment>
    <comment ref="Y42" authorId="0" shapeId="0">
      <text>
        <r>
          <rPr>
            <sz val="9"/>
            <color indexed="81"/>
            <rFont val="Tahoma"/>
            <family val="2"/>
          </rPr>
          <t xml:space="preserve">
Change this formula to match the correct row from Column T above</t>
        </r>
      </text>
    </comment>
    <comment ref="R44" authorId="0" shapeId="0">
      <text>
        <r>
          <rPr>
            <sz val="9"/>
            <color indexed="81"/>
            <rFont val="Tahoma"/>
            <family val="2"/>
          </rPr>
          <t xml:space="preserve">
Including year of retirement.</t>
        </r>
      </text>
    </comment>
    <comment ref="U44" authorId="0" shapeId="0">
      <text>
        <r>
          <rPr>
            <sz val="9"/>
            <color indexed="81"/>
            <rFont val="Tahoma"/>
            <family val="2"/>
          </rPr>
          <t xml:space="preserve">
If applicable, rate used before 4% per Regulations - also see Note in Cell G8</t>
        </r>
      </text>
    </comment>
    <comment ref="R45" authorId="0" shapeId="0">
      <text>
        <r>
          <rPr>
            <sz val="9"/>
            <color indexed="81"/>
            <rFont val="Tahoma"/>
            <family val="2"/>
          </rPr>
          <t xml:space="preserve">
Including year of retirement.</t>
        </r>
      </text>
    </comment>
  </commentList>
</comments>
</file>

<file path=xl/comments4.xml><?xml version="1.0" encoding="utf-8"?>
<comments xmlns="http://schemas.openxmlformats.org/spreadsheetml/2006/main">
  <authors>
    <author>Raymond.Suttie</author>
    <author>Raymond Suttie</author>
  </authors>
  <commentList>
    <comment ref="J4" authorId="0" shapeId="0">
      <text>
        <r>
          <rPr>
            <sz val="9"/>
            <color indexed="81"/>
            <rFont val="Tahoma"/>
            <family val="2"/>
          </rPr>
          <t xml:space="preserve">
YYYY/MM/DD</t>
        </r>
      </text>
    </comment>
    <comment ref="AG7" authorId="0" shapeId="0">
      <text>
        <r>
          <rPr>
            <sz val="9"/>
            <color indexed="81"/>
            <rFont val="Tahoma"/>
            <family val="2"/>
          </rPr>
          <t xml:space="preserve">
The costs can be reported by the Projects receiving the services, and the ONP is to be reported by the Project which provides the services (Project in which the asset is included)</t>
        </r>
      </text>
    </comment>
    <comment ref="C8" authorId="0" shapeId="0">
      <text>
        <r>
          <rPr>
            <sz val="9"/>
            <color indexed="81"/>
            <rFont val="Tahoma"/>
            <family val="2"/>
          </rPr>
          <t xml:space="preserve">
This will populate once the Asset Commission date is entered</t>
        </r>
      </text>
    </comment>
    <comment ref="D8" authorId="1" shapeId="0">
      <text>
        <r>
          <rPr>
            <sz val="9"/>
            <color indexed="81"/>
            <rFont val="Tahoma"/>
            <family val="2"/>
          </rPr>
          <t xml:space="preserve">
</t>
        </r>
        <r>
          <rPr>
            <sz val="10"/>
            <color indexed="81"/>
            <rFont val="Arial"/>
            <family val="2"/>
          </rPr>
          <t>Per LTBR Tab - update as necessary for newer years</t>
        </r>
      </text>
    </comment>
    <comment ref="F8" authorId="0" shapeId="0">
      <text>
        <r>
          <rPr>
            <sz val="9"/>
            <color indexed="81"/>
            <rFont val="Tahoma"/>
            <family val="2"/>
          </rPr>
          <t xml:space="preserve">
Total throughput for the asset, including the Project in which the asset is included, as well as the Projects which receive a service from the asset</t>
        </r>
      </text>
    </comment>
    <comment ref="G8" authorId="1" shapeId="0">
      <text>
        <r>
          <rPr>
            <sz val="9"/>
            <color indexed="81"/>
            <rFont val="Tahoma"/>
            <family val="2"/>
          </rPr>
          <t xml:space="preserve">
</t>
        </r>
        <r>
          <rPr>
            <sz val="10"/>
            <color indexed="81"/>
            <rFont val="Arial"/>
            <family val="2"/>
          </rPr>
          <t>Watch for possible transition rule:
For existing assets (i.e. assets commissioned before January 1, 2011), the original depreciation schedule will remain in place until a capital addition is made (addition of 10% or more of of CCC, or if less than 10% is deemed to be Operating Cost). At that time, the annual depreciation amount will be re-calculated as 4% of the new CCC, with zero salvage value as the default. For assets where the CCC cannot be determined, the depreciation amount in the current schedule, multiplied by an appropriate factor (i.e. 4/5 where the asset was being depreciated over 20 years at 5%/year), will be added to 4% of the new capital addition amount, with this sum being the new annual depreciation amount. A capital retirement will NOT trigger conversion to the new (25 year, 4% of CCC) depreciation schedule.
  OSACR 12.6</t>
        </r>
      </text>
    </comment>
    <comment ref="N8" authorId="1" shapeId="0">
      <text>
        <r>
          <rPr>
            <sz val="9"/>
            <color indexed="81"/>
            <rFont val="Tahoma"/>
            <family val="2"/>
          </rPr>
          <t xml:space="preserve">
For assets which do not have a readily identifiable measure of capacity or throughput, the COS calculation will simply determine an annual amount – Capital Charge + Operating Charge – which will be allocated between Project and non-Project use by the appropriate methodology.
For specified assets which have been oversized as good engineering practice (for integrated Projects these would include: steam generation, raw water treatment, and boiler feed water treatment), the COS calculation will always be determined based on actual throughput and not design capacity.</t>
        </r>
      </text>
    </comment>
    <comment ref="P8" authorId="0" shapeId="0">
      <text>
        <r>
          <rPr>
            <sz val="9"/>
            <color indexed="81"/>
            <rFont val="Tahoma"/>
            <family val="2"/>
          </rPr>
          <t xml:space="preserve">
If the cost of an addition is greater than 10% of the CCC, it will be treated as capital. If the cost is less than or equal to 10% of the CCC, it will be considered an operating cost in the year it is incurred.
True operating costs will not be capitalized even if they exceed 10% of the CCC in any year. Examples of such costs include energy costs, annual taxes including property taxes, chemical costs, annual environmental fees or levies, and maintenance costs. (Note, this list is not all inclusive.)
 OSACR 12.7
</t>
        </r>
      </text>
    </comment>
    <comment ref="T8" authorId="1" shapeId="0">
      <text>
        <r>
          <rPr>
            <sz val="9"/>
            <color indexed="81"/>
            <rFont val="Tahoma"/>
            <family val="2"/>
          </rPr>
          <t xml:space="preserve">
Sum of Operating and Capital Charge per Unit - use this rate to apply to the volumes in your  period</t>
        </r>
      </text>
    </comment>
    <comment ref="U8" authorId="1" shapeId="0">
      <text>
        <r>
          <rPr>
            <sz val="10"/>
            <color indexed="81"/>
            <rFont val="Arial"/>
            <family val="2"/>
          </rPr>
          <t xml:space="preserve">
</t>
        </r>
        <r>
          <rPr>
            <sz val="9"/>
            <color indexed="81"/>
            <rFont val="Tahoma"/>
            <family val="2"/>
          </rPr>
          <t>These are additions made commencing Jan 1 of the commissioning year (Year 1), but can include costs between Jan 1 and the commission date.
Capital Additions that are less than 10% of CCC are deemed to be Operating Costs
 OSACR 12.7</t>
        </r>
      </text>
    </comment>
    <comment ref="Y8" authorId="0" shapeId="0">
      <text>
        <r>
          <rPr>
            <sz val="9"/>
            <color indexed="81"/>
            <rFont val="Tahoma"/>
            <family val="2"/>
          </rPr>
          <t xml:space="preserve">
Enter any values in the relevant row, from the computed NBV in the box below</t>
        </r>
      </text>
    </comment>
    <comment ref="AB8" authorId="0" shapeId="0">
      <text>
        <r>
          <rPr>
            <sz val="9"/>
            <color indexed="81"/>
            <rFont val="Tahoma"/>
            <family val="2"/>
          </rPr>
          <t xml:space="preserve">
Rename Cell with OSR #</t>
        </r>
      </text>
    </comment>
    <comment ref="AC8" authorId="0" shapeId="0">
      <text>
        <r>
          <rPr>
            <sz val="9"/>
            <color indexed="81"/>
            <rFont val="Tahoma"/>
            <family val="2"/>
          </rPr>
          <t xml:space="preserve">
Rename Cell with OSR #</t>
        </r>
      </text>
    </comment>
    <comment ref="AD8" authorId="0" shapeId="0">
      <text>
        <r>
          <rPr>
            <sz val="9"/>
            <color indexed="81"/>
            <rFont val="Tahoma"/>
            <family val="2"/>
          </rPr>
          <t xml:space="preserve">
Rename Cell with OSR #</t>
        </r>
      </text>
    </comment>
    <comment ref="AG8" authorId="0" shapeId="0">
      <text>
        <r>
          <rPr>
            <sz val="9"/>
            <color indexed="81"/>
            <rFont val="Tahoma"/>
            <family val="2"/>
          </rPr>
          <t xml:space="preserve">
This column is here as part of the total Asset costs.  However, these costs are already claimed in the OSR Project, and these are NOT additional costs to be claimed.  Rather, the ONP is to be reported by the OSR Project.</t>
        </r>
      </text>
    </comment>
    <comment ref="AH8" authorId="0" shapeId="0">
      <text>
        <r>
          <rPr>
            <b/>
            <sz val="9"/>
            <color indexed="81"/>
            <rFont val="Tahoma"/>
            <family val="2"/>
          </rPr>
          <t>Raymond.Suttie:</t>
        </r>
        <r>
          <rPr>
            <sz val="9"/>
            <color indexed="81"/>
            <rFont val="Tahoma"/>
            <family val="2"/>
          </rPr>
          <t xml:space="preserve">
This cost can be claimed by this Project for this service received</t>
        </r>
      </text>
    </comment>
    <comment ref="AI8" authorId="0" shapeId="0">
      <text>
        <r>
          <rPr>
            <sz val="9"/>
            <color indexed="81"/>
            <rFont val="Tahoma"/>
            <family val="2"/>
          </rPr>
          <t xml:space="preserve">
This cost can be claimed by this Project for this service received</t>
        </r>
      </text>
    </comment>
    <comment ref="AJ8" authorId="0" shapeId="0">
      <text>
        <r>
          <rPr>
            <sz val="9"/>
            <color indexed="81"/>
            <rFont val="Tahoma"/>
            <family val="2"/>
          </rPr>
          <t xml:space="preserve">
This cost can be claimed by this Project for this service received</t>
        </r>
      </text>
    </comment>
    <comment ref="AL8" authorId="0" shapeId="0">
      <text>
        <r>
          <rPr>
            <sz val="9"/>
            <color indexed="81"/>
            <rFont val="Tahoma"/>
            <family val="2"/>
          </rPr>
          <t xml:space="preserve">
To be reported as ONP in this Project</t>
        </r>
      </text>
    </comment>
    <comment ref="G9" authorId="0" shapeId="0">
      <text>
        <r>
          <rPr>
            <b/>
            <sz val="9"/>
            <color indexed="81"/>
            <rFont val="Tahoma"/>
            <family val="2"/>
          </rPr>
          <t>Raymond.Suttie:</t>
        </r>
        <r>
          <rPr>
            <sz val="9"/>
            <color indexed="81"/>
            <rFont val="Tahoma"/>
            <family val="2"/>
          </rPr>
          <t xml:space="preserve">
Enter as a decimal, i.e. .04 for 4%</t>
        </r>
      </text>
    </comment>
    <comment ref="N9" authorId="0" shapeId="0">
      <text>
        <r>
          <rPr>
            <sz val="9"/>
            <color indexed="81"/>
            <rFont val="Tahoma"/>
            <family val="2"/>
          </rPr>
          <t xml:space="preserve">
Calculation reflects rule to use the greater of actual throughput and 75% of capacity.
 OSACR 12.1(1)(n)</t>
        </r>
      </text>
    </comment>
    <comment ref="B10" authorId="1" shapeId="0">
      <text>
        <r>
          <rPr>
            <sz val="9"/>
            <color indexed="81"/>
            <rFont val="Tahoma"/>
            <family val="2"/>
          </rPr>
          <t xml:space="preserve">
It is contemplated that Year 1 is the year of commissioning</t>
        </r>
      </text>
    </comment>
    <comment ref="J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12.6</t>
        </r>
      </text>
    </comment>
    <comment ref="L10" authorId="1" shapeId="0">
      <text>
        <r>
          <rPr>
            <sz val="9"/>
            <color indexed="81"/>
            <rFont val="Tahoma"/>
            <family val="2"/>
          </rPr>
          <t xml:space="preserve">
This cell adjusted for First year rule:
In the year in which a capital or engineering system is first commissioned, pro-rating is required to calculate the annual depreciation and ROC amounts. They are pro-rated by the ratio of: the remaining number of days in the calendar year following the commissioning date to 365.
 OSACR 12.4</t>
        </r>
      </text>
    </comment>
    <comment ref="Y42" authorId="0" shapeId="0">
      <text>
        <r>
          <rPr>
            <sz val="9"/>
            <color indexed="81"/>
            <rFont val="Tahoma"/>
            <family val="2"/>
          </rPr>
          <t xml:space="preserve">
Change this formula to match the correct row from Column T above</t>
        </r>
      </text>
    </comment>
    <comment ref="R44" authorId="0" shapeId="0">
      <text>
        <r>
          <rPr>
            <sz val="9"/>
            <color indexed="81"/>
            <rFont val="Tahoma"/>
            <family val="2"/>
          </rPr>
          <t xml:space="preserve">
Including year of retirement.</t>
        </r>
      </text>
    </comment>
    <comment ref="U44" authorId="0" shapeId="0">
      <text>
        <r>
          <rPr>
            <sz val="9"/>
            <color indexed="81"/>
            <rFont val="Tahoma"/>
            <family val="2"/>
          </rPr>
          <t xml:space="preserve">
If applicable, rate used before 4% per Regulations - also see Note in Cell G8</t>
        </r>
      </text>
    </comment>
    <comment ref="R45" authorId="0" shapeId="0">
      <text>
        <r>
          <rPr>
            <sz val="9"/>
            <color indexed="81"/>
            <rFont val="Tahoma"/>
            <family val="2"/>
          </rPr>
          <t xml:space="preserve">
Including year of retirement.</t>
        </r>
      </text>
    </comment>
  </commentList>
</comments>
</file>

<file path=xl/comments5.xml><?xml version="1.0" encoding="utf-8"?>
<comments xmlns="http://schemas.openxmlformats.org/spreadsheetml/2006/main">
  <authors>
    <author>Raymond.Suttie</author>
    <author>Raymond Suttie</author>
  </authors>
  <commentList>
    <comment ref="K8" authorId="0" shapeId="0">
      <text>
        <r>
          <rPr>
            <sz val="9"/>
            <color indexed="81"/>
            <rFont val="Tahoma"/>
            <family val="2"/>
          </rPr>
          <t xml:space="preserve">
Typically there is Project use and the remainder</t>
        </r>
      </text>
    </comment>
    <comment ref="C9" authorId="0" shapeId="0">
      <text>
        <r>
          <rPr>
            <sz val="9"/>
            <color indexed="81"/>
            <rFont val="Tahoma"/>
            <family val="2"/>
          </rPr>
          <t xml:space="preserve">
This will populate once the Asset Commission date is entered</t>
        </r>
      </text>
    </comment>
    <comment ref="I9" authorId="0" shapeId="0">
      <text>
        <r>
          <rPr>
            <sz val="9"/>
            <color indexed="81"/>
            <rFont val="Tahoma"/>
            <family val="2"/>
          </rPr>
          <t xml:space="preserve">
Enter any values in the relevant row, from the computed NBV in the box below</t>
        </r>
      </text>
    </comment>
    <comment ref="K9" authorId="0" shapeId="0">
      <text>
        <r>
          <rPr>
            <sz val="9"/>
            <color indexed="81"/>
            <rFont val="Tahoma"/>
            <family val="2"/>
          </rPr>
          <t xml:space="preserve">
Enter the agreed upon % Project use</t>
        </r>
      </text>
    </comment>
    <comment ref="P9" authorId="0" shapeId="0">
      <text>
        <r>
          <rPr>
            <sz val="9"/>
            <color indexed="81"/>
            <rFont val="Tahoma"/>
            <family val="2"/>
          </rPr>
          <t xml:space="preserve">
To be reported as ONP in this Project</t>
        </r>
      </text>
    </comment>
    <comment ref="B11" authorId="1" shapeId="0">
      <text>
        <r>
          <rPr>
            <sz val="9"/>
            <color indexed="81"/>
            <rFont val="Tahoma"/>
            <family val="2"/>
          </rPr>
          <t xml:space="preserve">
It is contemplated that Year 1 is the year of commissioning</t>
        </r>
      </text>
    </comment>
    <comment ref="S43" authorId="0" shapeId="0">
      <text>
        <r>
          <rPr>
            <sz val="9"/>
            <color indexed="81"/>
            <rFont val="Tahoma"/>
            <family val="2"/>
          </rPr>
          <t xml:space="preserve">
Change this formula to match the correct row from Column T above</t>
        </r>
      </text>
    </comment>
    <comment ref="L45" authorId="0" shapeId="0">
      <text>
        <r>
          <rPr>
            <sz val="9"/>
            <color indexed="81"/>
            <rFont val="Tahoma"/>
            <family val="2"/>
          </rPr>
          <t xml:space="preserve">
Including year of retirement.</t>
        </r>
      </text>
    </comment>
    <comment ref="O45" authorId="0" shapeId="0">
      <text>
        <r>
          <rPr>
            <sz val="9"/>
            <color indexed="81"/>
            <rFont val="Tahoma"/>
            <family val="2"/>
          </rPr>
          <t xml:space="preserve">
If applicable, rate used before 4% per Regulations - also see Note in Cell E9</t>
        </r>
      </text>
    </comment>
    <comment ref="L46" authorId="0" shapeId="0">
      <text>
        <r>
          <rPr>
            <sz val="9"/>
            <color indexed="81"/>
            <rFont val="Tahoma"/>
            <family val="2"/>
          </rPr>
          <t xml:space="preserve">
Including year of retirement.</t>
        </r>
      </text>
    </comment>
  </commentList>
</comments>
</file>

<file path=xl/comments6.xml><?xml version="1.0" encoding="utf-8"?>
<comments xmlns="http://schemas.openxmlformats.org/spreadsheetml/2006/main">
  <authors>
    <author>Raymond.Suttie</author>
    <author>Raymond Suttie</author>
  </authors>
  <commentList>
    <comment ref="K8" authorId="0" shapeId="0">
      <text>
        <r>
          <rPr>
            <sz val="9"/>
            <color indexed="81"/>
            <rFont val="Tahoma"/>
            <family val="2"/>
          </rPr>
          <t xml:space="preserve">
Typically there is Project use and the remainder</t>
        </r>
      </text>
    </comment>
    <comment ref="C9" authorId="0" shapeId="0">
      <text>
        <r>
          <rPr>
            <sz val="9"/>
            <color indexed="81"/>
            <rFont val="Tahoma"/>
            <family val="2"/>
          </rPr>
          <t xml:space="preserve">
This will populate once the Asset Commission date is entered</t>
        </r>
      </text>
    </comment>
    <comment ref="I9" authorId="0" shapeId="0">
      <text>
        <r>
          <rPr>
            <sz val="9"/>
            <color indexed="81"/>
            <rFont val="Tahoma"/>
            <family val="2"/>
          </rPr>
          <t xml:space="preserve">
Enter any values in the relevant row, from the computed NBV in the box below</t>
        </r>
      </text>
    </comment>
    <comment ref="K9" authorId="0" shapeId="0">
      <text>
        <r>
          <rPr>
            <sz val="9"/>
            <color indexed="81"/>
            <rFont val="Tahoma"/>
            <family val="2"/>
          </rPr>
          <t xml:space="preserve">
Enter the agreed upon % Project use</t>
        </r>
      </text>
    </comment>
    <comment ref="P9" authorId="0" shapeId="0">
      <text>
        <r>
          <rPr>
            <sz val="9"/>
            <color indexed="81"/>
            <rFont val="Tahoma"/>
            <family val="2"/>
          </rPr>
          <t xml:space="preserve">
To be reported as ONP in this Project</t>
        </r>
      </text>
    </comment>
    <comment ref="B11" authorId="1" shapeId="0">
      <text>
        <r>
          <rPr>
            <sz val="9"/>
            <color indexed="81"/>
            <rFont val="Tahoma"/>
            <family val="2"/>
          </rPr>
          <t xml:space="preserve">
It is contemplated that Year 1 is the year of commissioning</t>
        </r>
      </text>
    </comment>
    <comment ref="S43" authorId="0" shapeId="0">
      <text>
        <r>
          <rPr>
            <sz val="9"/>
            <color indexed="81"/>
            <rFont val="Tahoma"/>
            <family val="2"/>
          </rPr>
          <t xml:space="preserve">
Change this formula to match the correct row from Column T above</t>
        </r>
      </text>
    </comment>
    <comment ref="L45" authorId="0" shapeId="0">
      <text>
        <r>
          <rPr>
            <sz val="9"/>
            <color indexed="81"/>
            <rFont val="Tahoma"/>
            <family val="2"/>
          </rPr>
          <t xml:space="preserve">
Including year of retirement.</t>
        </r>
      </text>
    </comment>
    <comment ref="O45" authorId="0" shapeId="0">
      <text>
        <r>
          <rPr>
            <sz val="9"/>
            <color indexed="81"/>
            <rFont val="Tahoma"/>
            <family val="2"/>
          </rPr>
          <t xml:space="preserve">
If applicable, rate used before 4% per Regulations - also see Note in Cell E9</t>
        </r>
      </text>
    </comment>
    <comment ref="L46" authorId="0" shapeId="0">
      <text>
        <r>
          <rPr>
            <sz val="9"/>
            <color indexed="81"/>
            <rFont val="Tahoma"/>
            <family val="2"/>
          </rPr>
          <t xml:space="preserve">
Including year of retirement.</t>
        </r>
      </text>
    </comment>
  </commentList>
</comments>
</file>

<file path=xl/comments7.xml><?xml version="1.0" encoding="utf-8"?>
<comments xmlns="http://schemas.openxmlformats.org/spreadsheetml/2006/main">
  <authors>
    <author>Raymond Suttie</author>
    <author>Raymond.Suttie</author>
  </authors>
  <commentList>
    <comment ref="M9" authorId="0" shapeId="0">
      <text>
        <r>
          <rPr>
            <sz val="9"/>
            <color indexed="81"/>
            <rFont val="Tahoma"/>
            <family val="2"/>
          </rPr>
          <t xml:space="preserve">
</t>
        </r>
        <r>
          <rPr>
            <sz val="10"/>
            <color indexed="81"/>
            <rFont val="Arial"/>
            <family val="2"/>
          </rPr>
          <t>Watch for possible transition rule, where 5% previously used:
For existing assets (i.e. assets commissioned before January 1, 2011), the original depreciation schedule will remain in place until a capital addition is made. At that time, the annual depreciation amount will be re-calculated as 4% of the new CCC, with zero salvage value as the default. For assets where the CCC cannot be determined, the depreciation amount in the current schedule, multiplied by an appropriate factor (i.e. 4/5 where the asset was being depreciated over 20 years at 5%/year), will be added to 4% of the new capital addition amount, with this sum being the new annual depreciation amount. A capital retirement will NOT trigger conversion to the new (25 year, 4% of CCC) depreciation schedule.</t>
        </r>
      </text>
    </comment>
    <comment ref="D13" authorId="0" shapeId="0">
      <text>
        <r>
          <rPr>
            <sz val="9"/>
            <color indexed="81"/>
            <rFont val="Tahoma"/>
            <family val="2"/>
          </rPr>
          <t xml:space="preserve">
</t>
        </r>
        <r>
          <rPr>
            <sz val="10"/>
            <color indexed="81"/>
            <rFont val="Arial"/>
            <family val="2"/>
          </rPr>
          <t>Normally is fed from LTBR Tab - in this case 4% was used to match the Guidelines Appendix example</t>
        </r>
      </text>
    </comment>
    <comment ref="M13" authorId="0" shapeId="0">
      <text>
        <r>
          <rPr>
            <sz val="9"/>
            <color indexed="81"/>
            <rFont val="Tahoma"/>
            <family val="2"/>
          </rPr>
          <t xml:space="preserve">
</t>
        </r>
        <r>
          <rPr>
            <sz val="10"/>
            <color indexed="81"/>
            <rFont val="Arial"/>
            <family val="2"/>
          </rPr>
          <t>For assets which do not have a readily identifiable measure of capacity or throughput, the COS calculation will simply determine an annual amount – Capital Charge + Operating Charge – which will be allocated between Project and non-Project use by the appropriate methodology.
For specified assets which have been oversized as good engineering practice (for integrated Projects these would include: steam generation, raw water treatment, and boiler feed water treatment), the COS calculation will always be determined based on actual throughput and not design capacity.</t>
        </r>
      </text>
    </comment>
    <comment ref="Q13" authorId="0" shapeId="0">
      <text>
        <r>
          <rPr>
            <sz val="9"/>
            <color indexed="81"/>
            <rFont val="Tahoma"/>
            <family val="2"/>
          </rPr>
          <t xml:space="preserve">
</t>
        </r>
        <r>
          <rPr>
            <sz val="10"/>
            <color indexed="81"/>
            <rFont val="Arial"/>
            <family val="2"/>
          </rPr>
          <t>This is the product of this Worksheet - use this rate to apply to the volumes in your  period</t>
        </r>
      </text>
    </comment>
    <comment ref="R13" authorId="0" shapeId="0">
      <text>
        <r>
          <rPr>
            <sz val="10"/>
            <color indexed="81"/>
            <rFont val="Arial"/>
            <family val="2"/>
          </rPr>
          <t xml:space="preserve">
These are additions made commencing Jan 1 of the commissioning year (Year 1), but can include costs between Jan 1 and the commission date</t>
        </r>
      </text>
    </comment>
    <comment ref="S13" authorId="0" shapeId="0">
      <text>
        <r>
          <rPr>
            <sz val="9"/>
            <color indexed="81"/>
            <rFont val="Tahoma"/>
            <family val="2"/>
          </rPr>
          <t xml:space="preserve">
Enter as negative cost amounts</t>
        </r>
      </text>
    </comment>
    <comment ref="R14" authorId="0" shapeId="0">
      <text>
        <r>
          <rPr>
            <sz val="9"/>
            <color indexed="81"/>
            <rFont val="Tahoma"/>
            <family val="2"/>
          </rPr>
          <t xml:space="preserve">
</t>
        </r>
        <r>
          <rPr>
            <sz val="10"/>
            <color indexed="81"/>
            <rFont val="Arial"/>
            <family val="2"/>
          </rPr>
          <t>If the cost of an addition is greater than 10% of the CCC, it will be treated as capital. If the cost is less than or equal to 10% of the CCC, it will be considered an operating cost in the year it is incurred.
True operating costs will not be capitalized even if they exceed 10% of the CCC in any year. Examples of such costs include energy costs, annual taxes including property taxes, chemical costs, annual environmental fees or levies, and maintenance costs. (Note, this list is not all inclusive.)</t>
        </r>
      </text>
    </comment>
    <comment ref="B15" authorId="0" shapeId="0">
      <text>
        <r>
          <rPr>
            <sz val="9"/>
            <color indexed="81"/>
            <rFont val="Tahoma"/>
            <family val="2"/>
          </rPr>
          <t xml:space="preserve">
It is contemplated that Year 1 is the year of commissioning</t>
        </r>
      </text>
    </comment>
    <comment ref="I15" authorId="1" shapeId="0">
      <text>
        <r>
          <rPr>
            <sz val="9"/>
            <color indexed="81"/>
            <rFont val="Tahoma"/>
            <family val="2"/>
          </rPr>
          <t xml:space="preserve">
Ignores the "First year rule" requiring pro-ration of annual depreciation and ROC amounts in year of commission.</t>
        </r>
      </text>
    </comment>
    <comment ref="K15" authorId="1" shapeId="0">
      <text>
        <r>
          <rPr>
            <sz val="9"/>
            <color indexed="81"/>
            <rFont val="Tahoma"/>
            <family val="2"/>
          </rPr>
          <t xml:space="preserve">
Ignores the "First year rule" requiring pro-ration of annual depreciation and ROC amounts in year of commission.</t>
        </r>
      </text>
    </comment>
    <comment ref="N49" authorId="1" shapeId="0">
      <text>
        <r>
          <rPr>
            <sz val="9"/>
            <color indexed="81"/>
            <rFont val="Tahoma"/>
            <family val="2"/>
          </rPr>
          <t xml:space="preserve">
Including year of retirement.</t>
        </r>
      </text>
    </comment>
    <comment ref="Q49" authorId="1" shapeId="0">
      <text>
        <r>
          <rPr>
            <sz val="9"/>
            <color indexed="81"/>
            <rFont val="Tahoma"/>
            <family val="2"/>
          </rPr>
          <t xml:space="preserve">
If applicable, rate used before 4% per Regulations - also see Note in Cell L8</t>
        </r>
      </text>
    </comment>
    <comment ref="N50" authorId="1" shapeId="0">
      <text>
        <r>
          <rPr>
            <sz val="9"/>
            <color indexed="81"/>
            <rFont val="Tahoma"/>
            <family val="2"/>
          </rPr>
          <t xml:space="preserve">
Including year of retirement.</t>
        </r>
      </text>
    </comment>
  </commentList>
</comments>
</file>

<file path=xl/sharedStrings.xml><?xml version="1.0" encoding="utf-8"?>
<sst xmlns="http://schemas.openxmlformats.org/spreadsheetml/2006/main" count="443" uniqueCount="105">
  <si>
    <t>Capital Charge</t>
  </si>
  <si>
    <t>+</t>
  </si>
  <si>
    <t>Operating Charge</t>
  </si>
  <si>
    <t>Throughput</t>
  </si>
  <si>
    <t xml:space="preserve"> * </t>
  </si>
  <si>
    <t># Units used in the royalty Project (Allowed Cost) or # of units for non project use (ONP)</t>
  </si>
  <si>
    <t>Year</t>
  </si>
  <si>
    <t>Straight Line Dep'n</t>
  </si>
  <si>
    <t>Annual Capital Charge</t>
  </si>
  <si>
    <t>Annual Capital Charge per unit</t>
  </si>
  <si>
    <t>Annual Operating Charge</t>
  </si>
  <si>
    <t>Annual Operating Charge per Unit</t>
  </si>
  <si>
    <t>Annual COS per unit</t>
  </si>
  <si>
    <t>Cumulative Capital Cost</t>
  </si>
  <si>
    <t>Initial Capital</t>
  </si>
  <si>
    <t>End Capital</t>
  </si>
  <si>
    <t>Asset Commission Date</t>
  </si>
  <si>
    <t xml:space="preserve">Return on Capital </t>
  </si>
  <si>
    <t>Capacity</t>
  </si>
  <si>
    <t>LTBR</t>
  </si>
  <si>
    <t>Capital Additions</t>
  </si>
  <si>
    <t>Capital Retirements</t>
  </si>
  <si>
    <t>Retirements NBV</t>
  </si>
  <si>
    <t>Cal Year</t>
  </si>
  <si>
    <t>Denotes entry required</t>
  </si>
  <si>
    <t>Asset costs prior to Jan 1 of Commission year</t>
  </si>
  <si>
    <t>Days in Year 1 after Commission date</t>
  </si>
  <si>
    <t>FOR OSRR GUIDELINES FOR COS:</t>
  </si>
  <si>
    <t>THEORY OF FORMULA IS:</t>
  </si>
  <si>
    <t>Note</t>
  </si>
  <si>
    <t>ALLOCATED COSTS</t>
  </si>
  <si>
    <t>OSR Project 1</t>
  </si>
  <si>
    <t>OSR Project 2</t>
  </si>
  <si>
    <t>OSR Project 3</t>
  </si>
  <si>
    <t>Non OSR Use</t>
  </si>
  <si>
    <t xml:space="preserve">USAGE </t>
  </si>
  <si>
    <t>Total Throughput %</t>
  </si>
  <si>
    <t>Total Costs %</t>
  </si>
  <si>
    <t>Alberta Energy: Oil Sands Rates of Return</t>
  </si>
  <si>
    <t>Depreciation; after 2010</t>
  </si>
  <si>
    <t>Total Costs $</t>
  </si>
  <si>
    <t>Original Cost:</t>
  </si>
  <si>
    <t>Years depreciated:</t>
  </si>
  <si>
    <t>Rate</t>
  </si>
  <si>
    <t>Depreciation:</t>
  </si>
  <si>
    <t>Deduct:</t>
  </si>
  <si>
    <t>Net Book Value</t>
  </si>
  <si>
    <t>Enter this NBV in Retirements Column above</t>
  </si>
  <si>
    <t>Capital Retirement NBV:</t>
  </si>
  <si>
    <t>Total Operating &amp; Capital Costs</t>
  </si>
  <si>
    <t>Instructions:</t>
  </si>
  <si>
    <t>Fill in all applicable cells that are highlighted for input</t>
  </si>
  <si>
    <t>Note - additional columns may need to be added if there are more than 3 OSR Projects</t>
  </si>
  <si>
    <t>Repeat the above calculations if there is more than 1 capital retirement</t>
  </si>
  <si>
    <t>Note - additional Retirement calculations may need to be added if there is more than one retirement</t>
  </si>
  <si>
    <t>Review the cell notes for additional tips and instructions</t>
  </si>
  <si>
    <t>THIS SCHEDULE IS SHOWING THE EXAMPLE FROM THE GUIDELINES, APPENDIX J, PAGE 84 (BUT AS REVISED IN THE CORRECTION NOTICE)</t>
  </si>
  <si>
    <t xml:space="preserve"> - WITH LTBR AT CONSTANT 4% (vs actual LTBR)</t>
  </si>
  <si>
    <t>Depr Rate</t>
  </si>
  <si>
    <t>Through Put</t>
  </si>
  <si>
    <t>For the original asset acquisition/construction:</t>
  </si>
  <si>
    <t>Note - additional rows may need to be added if the amortization period is extended due to additions</t>
  </si>
  <si>
    <t>Total Depreciation</t>
  </si>
  <si>
    <t>Through put Check</t>
  </si>
  <si>
    <t>ALLOCATED COSTS AND ONP</t>
  </si>
  <si>
    <t>ONP for Project</t>
  </si>
  <si>
    <t>OSR Project the Asset is included in</t>
  </si>
  <si>
    <t>Total Throughput</t>
  </si>
  <si>
    <t>% USAGE OF PROJECT &amp; NON-PROJECT</t>
  </si>
  <si>
    <t>Total Usage %</t>
  </si>
  <si>
    <t>OSR Project Usage</t>
  </si>
  <si>
    <t>Non OSR Usage</t>
  </si>
  <si>
    <t xml:space="preserve">Total </t>
  </si>
  <si>
    <t>USAGE OF PROJECTS</t>
  </si>
  <si>
    <t>OSR Project Usage (RP Alloc Factor)</t>
  </si>
  <si>
    <t>Non OSR Usage (NRP Alloc Factor)</t>
  </si>
  <si>
    <t>Cap Addn &lt; 10% ?</t>
  </si>
  <si>
    <t>Total Opex</t>
  </si>
  <si>
    <t>Re-classed Capex to Opex</t>
  </si>
  <si>
    <t>Net Capital Additions</t>
  </si>
  <si>
    <t>`</t>
  </si>
  <si>
    <t>Enter negative amounts</t>
  </si>
  <si>
    <t>Design Capacity</t>
  </si>
  <si>
    <t>Units of Capacity</t>
  </si>
  <si>
    <t>Units of Capacity = the greater of 75% of Design Capacity and Throughput</t>
  </si>
  <si>
    <t>Enter the negative of this NBV in Retirements NBV Column above</t>
  </si>
  <si>
    <t>Enter the positive of the cost of the Retirement from the relevant row of Column T above</t>
  </si>
  <si>
    <t>Capital Retirements Cost</t>
  </si>
  <si>
    <t>Capital Retirements NBV</t>
  </si>
  <si>
    <t>Capital Additions / Completion Costs</t>
  </si>
  <si>
    <t>OSR 500</t>
  </si>
  <si>
    <t>Sustaining Capital Costs</t>
  </si>
  <si>
    <t>Annual Operating Costs</t>
  </si>
  <si>
    <t>Allowed Costs</t>
  </si>
  <si>
    <t>Enter the positive of the cost of the Retirement from the relevant Year</t>
  </si>
  <si>
    <t>OSR Project the Asset is partially included in</t>
  </si>
  <si>
    <t>OSR Project the Asset is paritially included in</t>
  </si>
  <si>
    <t xml:space="preserve"> Year</t>
  </si>
  <si>
    <t>THIS SHEET OF THE COS TEMPLATE IS INTENDED FOR ASSETS NOT INCLUDED IN A PROJECT</t>
  </si>
  <si>
    <t>THIS SHEET OF THE COS TEMPLATE IS INTENDED FOR ASSETS INCLUDED IN A PROJECT, WHERE ONP NEEDS TO BE DETERMINED</t>
  </si>
  <si>
    <t>Alberta Energy: Long Term Bond Rates</t>
  </si>
  <si>
    <t>Oil sands royalty guidelines | Alberta.ca</t>
  </si>
  <si>
    <t>THIS SHEET OF THE COS TEMPLATE IS INTENDED FOR ASSETS THAT ARE PARTIALLY INCLUDED IN A PROJECT</t>
  </si>
  <si>
    <t>Rate of Return on Capital (RORC)</t>
  </si>
  <si>
    <t>Long Term Bond Rate (LTBR)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</si>
</sst>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_);[Red]\(&quot;$&quot;#,##0\)"/>
    <numFmt numFmtId="165" formatCode="_(&quot;$&quot;* #,##0_);_(&quot;$&quot;* \(#,##0\);_(&quot;$&quot;* &quot;-&quot;_);_(@_)"/>
    <numFmt numFmtId="166" formatCode="_(&quot;$&quot;* #,##0.00_);_(&quot;$&quot;* \(#,##0.00\);_(&quot;$&quot;* &quot;-&quot;??_);_(@_)"/>
    <numFmt numFmtId="167" formatCode="_(* #,##0.00_);_(* \(#,##0.00\);_(* &quot;-&quot;??_);_(@_)"/>
    <numFmt numFmtId="168" formatCode="_-&quot;$&quot;* #,##0_-;\-&quot;$&quot;* #,##0_-;_-&quot;$&quot;* &quot;-&quot;??_-;_-@_-"/>
    <numFmt numFmtId="169" formatCode="#,##0.00_ ;\-#,##0.00\ "/>
    <numFmt numFmtId="170" formatCode="_-* #,##0_-;\-* #,##0_-;_-* &quot;-&quot;??_-;_-@_-"/>
    <numFmt numFmtId="171" formatCode="#,##0_ ;\-#,##0\ "/>
    <numFmt numFmtId="172" formatCode="_(* #,##0_);_(* \(#,##0\);_(* &quot;-&quot;??_);_(@_)"/>
    <numFmt numFmtId="173" formatCode="_(&quot;$&quot;* #,##0_);_(&quot;$&quot;* \(#,##0\);_(&quot;$&quot;* &quot;-&quot;??_);_(@_)"/>
    <numFmt numFmtId="174" formatCode="0.0%"/>
  </numFmts>
  <fonts count="20" x14ac:knownFonts="1">
    <font>
      <sz val="10"/>
      <color theme="1"/>
      <name val="Arial"/>
      <family val="2"/>
    </font>
    <font>
      <sz val="10"/>
      <color theme="1"/>
      <name val="Arial"/>
      <family val="2"/>
    </font>
    <font>
      <sz val="10"/>
      <name val="Arial"/>
      <family val="2"/>
    </font>
    <font>
      <sz val="10"/>
      <color rgb="FFFF0000"/>
      <name val="Arial"/>
      <family val="2"/>
    </font>
    <font>
      <b/>
      <sz val="10"/>
      <color theme="1"/>
      <name val="Arial"/>
      <family val="2"/>
    </font>
    <font>
      <u/>
      <sz val="10"/>
      <color theme="1"/>
      <name val="Arial"/>
      <family val="2"/>
    </font>
    <font>
      <i/>
      <sz val="10"/>
      <name val="Arial"/>
      <family val="2"/>
    </font>
    <font>
      <sz val="9"/>
      <color indexed="81"/>
      <name val="Tahoma"/>
      <family val="2"/>
    </font>
    <font>
      <b/>
      <sz val="9"/>
      <color indexed="81"/>
      <name val="Tahoma"/>
      <family val="2"/>
    </font>
    <font>
      <sz val="10"/>
      <color indexed="81"/>
      <name val="Arial"/>
      <family val="2"/>
    </font>
    <font>
      <b/>
      <sz val="10"/>
      <name val="Arial"/>
      <family val="2"/>
    </font>
    <font>
      <u/>
      <sz val="10"/>
      <color theme="10"/>
      <name val="Arial"/>
      <family val="2"/>
    </font>
    <font>
      <b/>
      <u/>
      <sz val="10"/>
      <color theme="1"/>
      <name val="Arial"/>
      <family val="2"/>
    </font>
    <font>
      <sz val="10"/>
      <color indexed="8"/>
      <name val="Arial"/>
      <family val="2"/>
    </font>
    <font>
      <b/>
      <i/>
      <sz val="10"/>
      <name val="Arial"/>
      <family val="2"/>
    </font>
    <font>
      <i/>
      <sz val="10"/>
      <color theme="1"/>
      <name val="Arial"/>
      <family val="2"/>
    </font>
    <font>
      <b/>
      <sz val="10"/>
      <color rgb="FF7030A0"/>
      <name val="Arial"/>
      <family val="2"/>
    </font>
    <font>
      <b/>
      <sz val="12"/>
      <color rgb="FFC00000"/>
      <name val="Arial"/>
      <family val="2"/>
    </font>
    <font>
      <u/>
      <sz val="12"/>
      <color theme="1"/>
      <name val="Arial"/>
      <family val="2"/>
    </font>
    <font>
      <sz val="12"/>
      <color theme="1"/>
      <name val="Arial"/>
      <family val="2"/>
    </font>
  </fonts>
  <fills count="15">
    <fill>
      <patternFill patternType="none"/>
    </fill>
    <fill>
      <patternFill patternType="gray125"/>
    </fill>
    <fill>
      <gradientFill degree="90">
        <stop position="0">
          <color theme="0"/>
        </stop>
        <stop position="1">
          <color theme="0"/>
        </stop>
      </gradientFill>
    </fill>
    <fill>
      <patternFill patternType="solid">
        <fgColor theme="9" tint="0.59999389629810485"/>
        <bgColor auto="1"/>
      </patternFill>
    </fill>
    <fill>
      <patternFill patternType="solid">
        <fgColor theme="6" tint="0.59999389629810485"/>
        <bgColor auto="1"/>
      </patternFill>
    </fill>
    <fill>
      <patternFill patternType="solid">
        <fgColor theme="6" tint="0.59999389629810485"/>
        <bgColor indexed="64"/>
      </patternFill>
    </fill>
    <fill>
      <patternFill patternType="solid">
        <fgColor theme="2" tint="-9.9978637043366805E-2"/>
        <bgColor auto="1"/>
      </patternFill>
    </fill>
    <fill>
      <patternFill patternType="solid">
        <fgColor theme="2"/>
        <bgColor auto="1"/>
      </patternFill>
    </fill>
    <fill>
      <patternFill patternType="solid">
        <fgColor rgb="FFFFC000"/>
        <bgColor auto="1"/>
      </patternFill>
    </fill>
    <fill>
      <patternFill patternType="solid">
        <fgColor rgb="FFFFC000"/>
        <bgColor indexed="64"/>
      </patternFill>
    </fill>
    <fill>
      <patternFill patternType="solid">
        <fgColor theme="0" tint="-4.9989318521683403E-2"/>
        <bgColor auto="1"/>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bgColor auto="1"/>
      </patternFill>
    </fill>
  </fills>
  <borders count="55">
    <border>
      <left/>
      <right/>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8">
    <xf numFmtId="0" fontId="0" fillId="0" borderId="0"/>
    <xf numFmtId="166" fontId="1" fillId="0" borderId="0" applyFont="0" applyFill="0" applyBorder="0" applyAlignment="0" applyProtection="0"/>
    <xf numFmtId="0" fontId="2" fillId="0" borderId="0"/>
    <xf numFmtId="167"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3" fillId="0" borderId="0">
      <alignment vertical="top"/>
    </xf>
    <xf numFmtId="0" fontId="1" fillId="0" borderId="0"/>
  </cellStyleXfs>
  <cellXfs count="460">
    <xf numFmtId="0" fontId="0" fillId="0" borderId="0" xfId="0"/>
    <xf numFmtId="0" fontId="0" fillId="2" borderId="1" xfId="0" applyFont="1" applyFill="1" applyBorder="1" applyAlignment="1">
      <alignment horizontal="center"/>
    </xf>
    <xf numFmtId="0" fontId="0" fillId="2" borderId="0" xfId="0" quotePrefix="1" applyFont="1" applyFill="1" applyAlignment="1">
      <alignment horizontal="center"/>
    </xf>
    <xf numFmtId="0" fontId="5" fillId="2" borderId="0" xfId="0" applyFont="1" applyFill="1" applyAlignment="1">
      <alignment horizontal="center"/>
    </xf>
    <xf numFmtId="0" fontId="0" fillId="2" borderId="0" xfId="0" applyFont="1" applyFill="1" applyAlignment="1">
      <alignment horizontal="center"/>
    </xf>
    <xf numFmtId="168" fontId="2" fillId="2" borderId="0" xfId="1" applyNumberFormat="1" applyFont="1" applyFill="1" applyBorder="1" applyAlignment="1">
      <alignment horizontal="center"/>
    </xf>
    <xf numFmtId="165" fontId="2" fillId="2" borderId="0" xfId="2" applyNumberFormat="1" applyFont="1" applyFill="1" applyBorder="1"/>
    <xf numFmtId="165" fontId="3" fillId="2" borderId="0" xfId="2" applyNumberFormat="1" applyFont="1" applyFill="1" applyBorder="1"/>
    <xf numFmtId="0" fontId="0" fillId="2" borderId="0" xfId="0" applyFont="1" applyFill="1" applyBorder="1"/>
    <xf numFmtId="0" fontId="2" fillId="2" borderId="5" xfId="2" applyFont="1" applyFill="1" applyBorder="1" applyAlignment="1">
      <alignment horizontal="center"/>
    </xf>
    <xf numFmtId="168" fontId="2" fillId="2" borderId="4" xfId="1" applyNumberFormat="1" applyFont="1" applyFill="1" applyBorder="1" applyAlignment="1">
      <alignment horizontal="center"/>
    </xf>
    <xf numFmtId="165" fontId="2" fillId="2" borderId="4" xfId="0" applyNumberFormat="1" applyFont="1" applyFill="1" applyBorder="1"/>
    <xf numFmtId="165" fontId="2" fillId="2" borderId="4" xfId="2" applyNumberFormat="1" applyFont="1" applyFill="1" applyBorder="1"/>
    <xf numFmtId="0" fontId="0" fillId="2" borderId="4" xfId="0" applyFont="1" applyFill="1" applyBorder="1"/>
    <xf numFmtId="0" fontId="2" fillId="2" borderId="0" xfId="2" applyFont="1" applyFill="1" applyBorder="1" applyAlignment="1">
      <alignment horizontal="center"/>
    </xf>
    <xf numFmtId="168" fontId="2" fillId="2" borderId="7" xfId="1" applyNumberFormat="1" applyFont="1" applyFill="1" applyBorder="1" applyAlignment="1">
      <alignment horizontal="center"/>
    </xf>
    <xf numFmtId="165" fontId="2" fillId="2" borderId="7" xfId="2" applyNumberFormat="1" applyFont="1" applyFill="1" applyBorder="1"/>
    <xf numFmtId="165" fontId="2" fillId="2" borderId="7" xfId="0" applyNumberFormat="1" applyFont="1" applyFill="1" applyBorder="1"/>
    <xf numFmtId="0" fontId="0" fillId="0" borderId="0" xfId="0" applyAlignment="1">
      <alignment horizontal="center"/>
    </xf>
    <xf numFmtId="168" fontId="0" fillId="2" borderId="0" xfId="1" applyNumberFormat="1" applyFont="1" applyFill="1"/>
    <xf numFmtId="10" fontId="0" fillId="0" borderId="0" xfId="4" applyNumberFormat="1" applyFont="1"/>
    <xf numFmtId="0" fontId="4" fillId="2" borderId="0" xfId="0" applyFont="1" applyFill="1"/>
    <xf numFmtId="168" fontId="2" fillId="0" borderId="3" xfId="1" applyNumberFormat="1" applyFont="1" applyFill="1" applyBorder="1"/>
    <xf numFmtId="168" fontId="2" fillId="2" borderId="8" xfId="1" applyNumberFormat="1" applyFont="1" applyFill="1" applyBorder="1" applyAlignment="1">
      <alignment horizontal="center"/>
    </xf>
    <xf numFmtId="165" fontId="2" fillId="2" borderId="8" xfId="0" applyNumberFormat="1" applyFont="1" applyFill="1" applyBorder="1"/>
    <xf numFmtId="165" fontId="2" fillId="2" borderId="8" xfId="2" applyNumberFormat="1" applyFont="1" applyFill="1" applyBorder="1"/>
    <xf numFmtId="169" fontId="2" fillId="2" borderId="8" xfId="2" applyNumberFormat="1" applyFont="1" applyFill="1" applyBorder="1"/>
    <xf numFmtId="168" fontId="0" fillId="2" borderId="8" xfId="1" applyNumberFormat="1" applyFont="1" applyFill="1" applyBorder="1"/>
    <xf numFmtId="165" fontId="2" fillId="0" borderId="7" xfId="2" applyNumberFormat="1" applyFont="1" applyFill="1" applyBorder="1"/>
    <xf numFmtId="165" fontId="2" fillId="0" borderId="7" xfId="0" applyNumberFormat="1" applyFont="1" applyFill="1" applyBorder="1"/>
    <xf numFmtId="0" fontId="0" fillId="0" borderId="7" xfId="0" applyFont="1" applyFill="1" applyBorder="1"/>
    <xf numFmtId="168" fontId="0" fillId="2" borderId="6" xfId="1" applyNumberFormat="1" applyFont="1" applyFill="1" applyBorder="1"/>
    <xf numFmtId="0" fontId="10" fillId="2" borderId="7" xfId="0" applyFont="1" applyFill="1" applyBorder="1" applyAlignment="1">
      <alignment horizontal="center"/>
    </xf>
    <xf numFmtId="0" fontId="10" fillId="2" borderId="7" xfId="0" applyFont="1" applyFill="1" applyBorder="1" applyAlignment="1">
      <alignment horizontal="center" wrapText="1"/>
    </xf>
    <xf numFmtId="168" fontId="10" fillId="2" borderId="3" xfId="1" applyNumberFormat="1" applyFont="1" applyFill="1" applyBorder="1" applyAlignment="1">
      <alignment horizontal="center" wrapText="1"/>
    </xf>
    <xf numFmtId="170" fontId="2" fillId="3" borderId="8" xfId="3" applyNumberFormat="1" applyFont="1" applyFill="1" applyBorder="1" applyAlignment="1">
      <alignment horizontal="center"/>
    </xf>
    <xf numFmtId="168" fontId="0" fillId="3" borderId="8" xfId="1" applyNumberFormat="1" applyFont="1" applyFill="1" applyBorder="1"/>
    <xf numFmtId="168" fontId="2" fillId="3" borderId="7" xfId="1" applyNumberFormat="1" applyFont="1" applyFill="1" applyBorder="1" applyAlignment="1">
      <alignment wrapText="1"/>
    </xf>
    <xf numFmtId="0" fontId="0" fillId="2" borderId="0" xfId="0" applyFont="1" applyFill="1" applyBorder="1" applyAlignment="1">
      <alignment vertical="center"/>
    </xf>
    <xf numFmtId="164" fontId="2" fillId="2" borderId="0" xfId="1" applyNumberFormat="1" applyFont="1" applyFill="1" applyBorder="1" applyAlignment="1">
      <alignment horizontal="center" vertical="center"/>
    </xf>
    <xf numFmtId="164" fontId="2" fillId="3" borderId="15" xfId="1" applyNumberFormat="1" applyFont="1" applyFill="1" applyBorder="1" applyAlignment="1">
      <alignment horizontal="center" vertical="center"/>
    </xf>
    <xf numFmtId="0" fontId="0" fillId="3" borderId="0" xfId="0" applyFont="1" applyFill="1"/>
    <xf numFmtId="0" fontId="4" fillId="0" borderId="4" xfId="0" applyFont="1" applyFill="1" applyBorder="1"/>
    <xf numFmtId="0" fontId="2" fillId="0" borderId="6" xfId="2" applyFont="1" applyFill="1" applyBorder="1" applyAlignment="1">
      <alignment horizontal="center"/>
    </xf>
    <xf numFmtId="165" fontId="2" fillId="0" borderId="6" xfId="2" applyNumberFormat="1" applyFont="1" applyFill="1" applyBorder="1"/>
    <xf numFmtId="0" fontId="4" fillId="0" borderId="10" xfId="0" applyFont="1" applyFill="1" applyBorder="1"/>
    <xf numFmtId="0" fontId="4" fillId="3" borderId="14" xfId="0" applyFont="1" applyFill="1" applyBorder="1" applyAlignment="1">
      <alignment horizontal="center" vertical="center"/>
    </xf>
    <xf numFmtId="15" fontId="4" fillId="3" borderId="14" xfId="0" applyNumberFormat="1" applyFont="1" applyFill="1" applyBorder="1" applyAlignment="1">
      <alignment horizontal="center" vertical="center"/>
    </xf>
    <xf numFmtId="0" fontId="0" fillId="3" borderId="8" xfId="0" applyFont="1" applyFill="1" applyBorder="1"/>
    <xf numFmtId="165" fontId="0" fillId="2" borderId="0" xfId="0" applyNumberFormat="1" applyFont="1" applyFill="1"/>
    <xf numFmtId="0" fontId="4" fillId="2" borderId="0" xfId="0" applyFont="1" applyFill="1" applyAlignment="1">
      <alignment horizontal="right"/>
    </xf>
    <xf numFmtId="0" fontId="0" fillId="2" borderId="0" xfId="0" applyFont="1" applyFill="1"/>
    <xf numFmtId="171" fontId="2" fillId="3" borderId="8" xfId="2" applyNumberFormat="1" applyFont="1" applyFill="1" applyBorder="1"/>
    <xf numFmtId="0" fontId="0" fillId="2" borderId="4" xfId="0" applyFont="1" applyFill="1" applyBorder="1" applyAlignment="1">
      <alignment horizontal="center"/>
    </xf>
    <xf numFmtId="0" fontId="12" fillId="2" borderId="0" xfId="0" applyFont="1" applyFill="1"/>
    <xf numFmtId="0" fontId="0" fillId="2" borderId="4" xfId="0" applyFont="1" applyFill="1" applyBorder="1" applyAlignment="1">
      <alignment wrapText="1"/>
    </xf>
    <xf numFmtId="10" fontId="0" fillId="0" borderId="0" xfId="4" applyNumberFormat="1" applyFont="1" applyAlignment="1">
      <alignment horizontal="center"/>
    </xf>
    <xf numFmtId="0" fontId="10" fillId="4" borderId="2" xfId="0" applyFont="1" applyFill="1" applyBorder="1" applyAlignment="1">
      <alignment horizontal="center" wrapText="1"/>
    </xf>
    <xf numFmtId="0" fontId="2" fillId="5" borderId="10" xfId="2" applyFont="1" applyFill="1" applyBorder="1" applyAlignment="1">
      <alignment horizontal="center"/>
    </xf>
    <xf numFmtId="169" fontId="6" fillId="4" borderId="9" xfId="2" applyNumberFormat="1" applyFont="1" applyFill="1" applyBorder="1"/>
    <xf numFmtId="169" fontId="6" fillId="4" borderId="7" xfId="2" applyNumberFormat="1" applyFont="1" applyFill="1" applyBorder="1"/>
    <xf numFmtId="169" fontId="6" fillId="5" borderId="7" xfId="2" applyNumberFormat="1" applyFont="1" applyFill="1" applyBorder="1"/>
    <xf numFmtId="0" fontId="0" fillId="2" borderId="8" xfId="0" applyFont="1" applyFill="1" applyBorder="1" applyAlignment="1">
      <alignment horizontal="center"/>
    </xf>
    <xf numFmtId="0" fontId="0" fillId="2" borderId="7" xfId="0" applyFont="1" applyFill="1" applyBorder="1" applyAlignment="1">
      <alignment horizontal="center"/>
    </xf>
    <xf numFmtId="168" fontId="2" fillId="0" borderId="3" xfId="1" applyNumberFormat="1" applyFont="1" applyFill="1" applyBorder="1" applyAlignment="1">
      <alignment horizontal="center"/>
    </xf>
    <xf numFmtId="172" fontId="0" fillId="2" borderId="8" xfId="3" applyNumberFormat="1" applyFont="1" applyFill="1" applyBorder="1"/>
    <xf numFmtId="168" fontId="10" fillId="2" borderId="16" xfId="1" applyNumberFormat="1" applyFont="1" applyFill="1" applyBorder="1" applyAlignment="1">
      <alignment horizontal="center" wrapText="1"/>
    </xf>
    <xf numFmtId="168" fontId="10" fillId="2" borderId="17" xfId="1" applyNumberFormat="1" applyFont="1" applyFill="1" applyBorder="1" applyAlignment="1">
      <alignment horizontal="center" wrapText="1"/>
    </xf>
    <xf numFmtId="168" fontId="2" fillId="0" borderId="16" xfId="1" applyNumberFormat="1" applyFont="1" applyFill="1" applyBorder="1"/>
    <xf numFmtId="168" fontId="0" fillId="2" borderId="22" xfId="1" applyNumberFormat="1" applyFont="1" applyFill="1" applyBorder="1"/>
    <xf numFmtId="172" fontId="0" fillId="2" borderId="20" xfId="3" applyNumberFormat="1" applyFont="1" applyFill="1" applyBorder="1"/>
    <xf numFmtId="171" fontId="2" fillId="3" borderId="20" xfId="2" applyNumberFormat="1" applyFont="1" applyFill="1" applyBorder="1"/>
    <xf numFmtId="0" fontId="11" fillId="0" borderId="0" xfId="5"/>
    <xf numFmtId="0" fontId="4" fillId="0" borderId="6" xfId="0" applyFont="1" applyFill="1" applyBorder="1"/>
    <xf numFmtId="0" fontId="10" fillId="2" borderId="7" xfId="7" applyFont="1" applyFill="1" applyBorder="1" applyAlignment="1">
      <alignment horizontal="center"/>
    </xf>
    <xf numFmtId="0" fontId="11" fillId="2" borderId="0" xfId="5" applyFill="1" applyAlignment="1">
      <alignment horizontal="left" indent="2"/>
    </xf>
    <xf numFmtId="168" fontId="14" fillId="2" borderId="26" xfId="1" applyNumberFormat="1" applyFont="1" applyFill="1" applyBorder="1" applyAlignment="1">
      <alignment horizontal="center" wrapText="1"/>
    </xf>
    <xf numFmtId="168" fontId="6" fillId="0" borderId="26" xfId="1" applyNumberFormat="1" applyFont="1" applyFill="1" applyBorder="1"/>
    <xf numFmtId="172" fontId="15" fillId="2" borderId="8" xfId="3" applyNumberFormat="1" applyFont="1" applyFill="1" applyBorder="1"/>
    <xf numFmtId="168" fontId="15" fillId="2" borderId="5" xfId="1" applyNumberFormat="1" applyFont="1" applyFill="1" applyBorder="1"/>
    <xf numFmtId="0" fontId="0" fillId="2" borderId="28" xfId="0" applyFont="1" applyFill="1" applyBorder="1"/>
    <xf numFmtId="168" fontId="0" fillId="2" borderId="29" xfId="1" applyNumberFormat="1" applyFont="1" applyFill="1" applyBorder="1" applyAlignment="1">
      <alignment horizontal="right"/>
    </xf>
    <xf numFmtId="168" fontId="0" fillId="2" borderId="28" xfId="1" applyNumberFormat="1" applyFont="1" applyFill="1" applyBorder="1" applyAlignment="1">
      <alignment horizontal="right"/>
    </xf>
    <xf numFmtId="9" fontId="0" fillId="3" borderId="30" xfId="4" applyFont="1" applyFill="1" applyBorder="1"/>
    <xf numFmtId="9" fontId="0" fillId="2" borderId="30" xfId="4" applyFont="1" applyFill="1" applyBorder="1"/>
    <xf numFmtId="0" fontId="0" fillId="3" borderId="30" xfId="0" applyFont="1" applyFill="1" applyBorder="1"/>
    <xf numFmtId="173" fontId="0" fillId="2" borderId="1" xfId="1" applyNumberFormat="1" applyFont="1" applyFill="1" applyBorder="1"/>
    <xf numFmtId="168" fontId="0" fillId="2" borderId="27" xfId="1" applyNumberFormat="1" applyFont="1" applyFill="1" applyBorder="1"/>
    <xf numFmtId="168" fontId="0" fillId="6" borderId="8" xfId="1" applyNumberFormat="1" applyFont="1" applyFill="1" applyBorder="1"/>
    <xf numFmtId="0" fontId="0" fillId="2" borderId="32" xfId="0" applyFont="1" applyFill="1" applyBorder="1"/>
    <xf numFmtId="168" fontId="0" fillId="2" borderId="32" xfId="1" applyNumberFormat="1" applyFont="1" applyFill="1" applyBorder="1"/>
    <xf numFmtId="173" fontId="0" fillId="2" borderId="32" xfId="1" applyNumberFormat="1" applyFont="1" applyFill="1" applyBorder="1"/>
    <xf numFmtId="0" fontId="0" fillId="2" borderId="33" xfId="0" applyFont="1" applyFill="1" applyBorder="1"/>
    <xf numFmtId="0" fontId="0" fillId="2" borderId="34" xfId="0" applyFont="1" applyFill="1" applyBorder="1"/>
    <xf numFmtId="168" fontId="0" fillId="2" borderId="0" xfId="1" applyNumberFormat="1" applyFont="1" applyFill="1" applyBorder="1" applyAlignment="1">
      <alignment horizontal="right"/>
    </xf>
    <xf numFmtId="173" fontId="0" fillId="2" borderId="35" xfId="1" applyNumberFormat="1" applyFont="1" applyFill="1" applyBorder="1"/>
    <xf numFmtId="168" fontId="0" fillId="2" borderId="0" xfId="1" applyNumberFormat="1" applyFont="1" applyFill="1" applyBorder="1"/>
    <xf numFmtId="173" fontId="0" fillId="2" borderId="0" xfId="0" applyNumberFormat="1" applyFont="1" applyFill="1" applyBorder="1"/>
    <xf numFmtId="0" fontId="0" fillId="2" borderId="35" xfId="0" applyFont="1" applyFill="1" applyBorder="1"/>
    <xf numFmtId="173" fontId="0" fillId="2" borderId="9" xfId="0" applyNumberFormat="1" applyFont="1" applyFill="1" applyBorder="1"/>
    <xf numFmtId="173" fontId="0" fillId="2" borderId="0" xfId="1" applyNumberFormat="1" applyFont="1" applyFill="1" applyBorder="1"/>
    <xf numFmtId="173" fontId="0" fillId="6" borderId="35" xfId="0" applyNumberFormat="1" applyFont="1" applyFill="1" applyBorder="1"/>
    <xf numFmtId="0" fontId="0" fillId="2" borderId="27" xfId="0" applyFont="1" applyFill="1" applyBorder="1"/>
    <xf numFmtId="0" fontId="0" fillId="2" borderId="1" xfId="0" applyFont="1" applyFill="1" applyBorder="1"/>
    <xf numFmtId="168" fontId="0" fillId="2" borderId="1" xfId="1" applyNumberFormat="1" applyFont="1" applyFill="1" applyBorder="1"/>
    <xf numFmtId="0" fontId="0" fillId="2" borderId="9" xfId="0" applyFont="1" applyFill="1" applyBorder="1"/>
    <xf numFmtId="168" fontId="4" fillId="2" borderId="31" xfId="1" applyNumberFormat="1" applyFont="1" applyFill="1" applyBorder="1"/>
    <xf numFmtId="173" fontId="2" fillId="2" borderId="8" xfId="1" applyNumberFormat="1" applyFont="1" applyFill="1" applyBorder="1"/>
    <xf numFmtId="0" fontId="0" fillId="2" borderId="0" xfId="0" applyFont="1" applyFill="1" applyAlignment="1">
      <alignment horizontal="center" wrapText="1"/>
    </xf>
    <xf numFmtId="168" fontId="2" fillId="0" borderId="17" xfId="1" applyNumberFormat="1" applyFont="1" applyFill="1" applyBorder="1" applyAlignment="1">
      <alignment horizontal="center"/>
    </xf>
    <xf numFmtId="9" fontId="0" fillId="2" borderId="21" xfId="4" applyFont="1" applyFill="1" applyBorder="1" applyAlignment="1">
      <alignment horizontal="center"/>
    </xf>
    <xf numFmtId="168" fontId="0" fillId="2" borderId="23" xfId="1" applyNumberFormat="1" applyFont="1" applyFill="1" applyBorder="1" applyAlignment="1">
      <alignment horizontal="center"/>
    </xf>
    <xf numFmtId="0" fontId="15" fillId="2" borderId="0" xfId="0" applyFont="1" applyFill="1"/>
    <xf numFmtId="0" fontId="5" fillId="2" borderId="0" xfId="0" applyFont="1" applyFill="1"/>
    <xf numFmtId="10" fontId="15" fillId="2" borderId="8" xfId="0" applyNumberFormat="1" applyFont="1" applyFill="1" applyBorder="1"/>
    <xf numFmtId="0" fontId="16" fillId="2" borderId="0" xfId="0" applyFont="1" applyFill="1"/>
    <xf numFmtId="0" fontId="17" fillId="2" borderId="0" xfId="0" applyFont="1" applyFill="1" applyAlignment="1">
      <alignment horizontal="left"/>
    </xf>
    <xf numFmtId="0" fontId="0" fillId="2" borderId="0" xfId="0" applyFont="1" applyFill="1" applyAlignment="1">
      <alignment wrapText="1"/>
    </xf>
    <xf numFmtId="0" fontId="0" fillId="2" borderId="0" xfId="0" applyFont="1" applyFill="1" applyAlignment="1">
      <alignment horizontal="left"/>
    </xf>
    <xf numFmtId="0" fontId="0" fillId="2" borderId="0" xfId="0" applyFont="1" applyFill="1" applyAlignment="1">
      <alignment horizontal="right"/>
    </xf>
    <xf numFmtId="0" fontId="0" fillId="2" borderId="0" xfId="0" applyFont="1" applyFill="1" applyAlignment="1">
      <alignment wrapText="1"/>
    </xf>
    <xf numFmtId="168" fontId="10" fillId="2" borderId="2" xfId="1" applyNumberFormat="1" applyFont="1" applyFill="1" applyBorder="1" applyAlignment="1">
      <alignment horizontal="center" wrapText="1"/>
    </xf>
    <xf numFmtId="168" fontId="0" fillId="2" borderId="4" xfId="1" applyNumberFormat="1" applyFont="1" applyFill="1" applyBorder="1" applyAlignment="1">
      <alignment horizontal="center"/>
    </xf>
    <xf numFmtId="0" fontId="0" fillId="2" borderId="0" xfId="0" applyFont="1" applyFill="1" applyAlignment="1">
      <alignment wrapText="1"/>
    </xf>
    <xf numFmtId="168" fontId="15" fillId="2" borderId="23" xfId="1" applyNumberFormat="1" applyFont="1" applyFill="1" applyBorder="1"/>
    <xf numFmtId="165" fontId="0" fillId="2" borderId="30" xfId="0" applyNumberFormat="1" applyFont="1" applyFill="1" applyBorder="1" applyAlignment="1">
      <alignment horizontal="center"/>
    </xf>
    <xf numFmtId="168" fontId="10" fillId="8" borderId="17" xfId="1" applyNumberFormat="1" applyFont="1" applyFill="1" applyBorder="1" applyAlignment="1">
      <alignment horizontal="center" wrapText="1"/>
    </xf>
    <xf numFmtId="172" fontId="0" fillId="8" borderId="21" xfId="4" applyNumberFormat="1" applyFont="1" applyFill="1" applyBorder="1" applyAlignment="1">
      <alignment horizontal="center"/>
    </xf>
    <xf numFmtId="0" fontId="17" fillId="2" borderId="0" xfId="0" applyFont="1" applyFill="1"/>
    <xf numFmtId="172" fontId="0" fillId="2" borderId="11" xfId="3" applyNumberFormat="1" applyFont="1" applyFill="1" applyBorder="1"/>
    <xf numFmtId="172" fontId="0" fillId="2" borderId="12" xfId="3" applyNumberFormat="1" applyFont="1" applyFill="1" applyBorder="1"/>
    <xf numFmtId="172" fontId="15" fillId="2" borderId="14" xfId="3" applyNumberFormat="1" applyFont="1" applyFill="1" applyBorder="1"/>
    <xf numFmtId="172" fontId="15" fillId="2" borderId="21" xfId="3" applyNumberFormat="1" applyFont="1" applyFill="1" applyBorder="1"/>
    <xf numFmtId="0" fontId="0" fillId="2" borderId="0" xfId="0" applyFont="1" applyFill="1" applyAlignment="1">
      <alignment wrapText="1"/>
    </xf>
    <xf numFmtId="49" fontId="10" fillId="0" borderId="16" xfId="1" applyNumberFormat="1" applyFont="1" applyFill="1" applyBorder="1" applyAlignment="1">
      <alignment horizontal="center"/>
    </xf>
    <xf numFmtId="49" fontId="10" fillId="9" borderId="17" xfId="1" applyNumberFormat="1" applyFont="1" applyFill="1" applyBorder="1" applyAlignment="1">
      <alignment horizontal="center"/>
    </xf>
    <xf numFmtId="168" fontId="2" fillId="0" borderId="46" xfId="1" applyNumberFormat="1" applyFont="1" applyFill="1" applyBorder="1"/>
    <xf numFmtId="172" fontId="4" fillId="8" borderId="21" xfId="4" applyNumberFormat="1" applyFont="1" applyFill="1" applyBorder="1" applyAlignment="1">
      <alignment horizontal="center"/>
    </xf>
    <xf numFmtId="168" fontId="10" fillId="0" borderId="42" xfId="1" applyNumberFormat="1" applyFont="1" applyFill="1" applyBorder="1" applyAlignment="1">
      <alignment horizontal="center" wrapText="1"/>
    </xf>
    <xf numFmtId="168" fontId="2" fillId="0" borderId="42" xfId="1" applyNumberFormat="1" applyFont="1" applyFill="1" applyBorder="1"/>
    <xf numFmtId="168" fontId="0" fillId="2" borderId="45" xfId="1" applyNumberFormat="1" applyFont="1" applyFill="1" applyBorder="1"/>
    <xf numFmtId="1" fontId="0" fillId="2" borderId="41" xfId="4" applyNumberFormat="1" applyFont="1" applyFill="1" applyBorder="1" applyAlignment="1">
      <alignment horizontal="center"/>
    </xf>
    <xf numFmtId="1" fontId="0" fillId="2" borderId="48" xfId="4" applyNumberFormat="1" applyFont="1" applyFill="1" applyBorder="1" applyAlignment="1">
      <alignment horizontal="center"/>
    </xf>
    <xf numFmtId="168" fontId="0" fillId="2" borderId="49" xfId="1" applyNumberFormat="1" applyFont="1" applyFill="1" applyBorder="1" applyAlignment="1">
      <alignment horizontal="center"/>
    </xf>
    <xf numFmtId="168" fontId="2" fillId="0" borderId="24" xfId="1" applyNumberFormat="1" applyFont="1" applyFill="1" applyBorder="1"/>
    <xf numFmtId="168" fontId="2" fillId="0" borderId="50" xfId="1" applyNumberFormat="1" applyFont="1" applyFill="1" applyBorder="1"/>
    <xf numFmtId="0" fontId="4" fillId="0" borderId="0" xfId="0" applyFont="1"/>
    <xf numFmtId="168" fontId="14" fillId="10" borderId="16" xfId="1" applyNumberFormat="1" applyFont="1" applyFill="1" applyBorder="1" applyAlignment="1">
      <alignment horizontal="center" wrapText="1"/>
    </xf>
    <xf numFmtId="168" fontId="6" fillId="10" borderId="16" xfId="1" applyNumberFormat="1" applyFont="1" applyFill="1" applyBorder="1"/>
    <xf numFmtId="172" fontId="15" fillId="10" borderId="47" xfId="3" applyNumberFormat="1" applyFont="1" applyFill="1" applyBorder="1"/>
    <xf numFmtId="172" fontId="15" fillId="10" borderId="43" xfId="3" applyNumberFormat="1" applyFont="1" applyFill="1" applyBorder="1"/>
    <xf numFmtId="168" fontId="15" fillId="10" borderId="45" xfId="1" applyNumberFormat="1" applyFont="1" applyFill="1" applyBorder="1"/>
    <xf numFmtId="10" fontId="0" fillId="2" borderId="14" xfId="4" applyNumberFormat="1" applyFont="1" applyFill="1" applyBorder="1" applyAlignment="1">
      <alignment horizontal="center"/>
    </xf>
    <xf numFmtId="10" fontId="0" fillId="2" borderId="51" xfId="4" applyNumberFormat="1" applyFont="1" applyFill="1" applyBorder="1" applyAlignment="1">
      <alignment horizontal="center"/>
    </xf>
    <xf numFmtId="0" fontId="0" fillId="2" borderId="0" xfId="0" applyFont="1" applyFill="1"/>
    <xf numFmtId="0" fontId="0" fillId="0" borderId="0" xfId="0"/>
    <xf numFmtId="0" fontId="0" fillId="0" borderId="0" xfId="0"/>
    <xf numFmtId="168" fontId="0" fillId="11" borderId="8" xfId="1" applyNumberFormat="1" applyFont="1" applyFill="1" applyBorder="1"/>
    <xf numFmtId="173" fontId="0" fillId="11" borderId="35" xfId="0" applyNumberFormat="1" applyFont="1" applyFill="1" applyBorder="1"/>
    <xf numFmtId="0" fontId="0" fillId="0" borderId="0" xfId="0" applyFont="1" applyFill="1"/>
    <xf numFmtId="0" fontId="0" fillId="2" borderId="1" xfId="0" applyFont="1" applyFill="1" applyBorder="1" applyAlignment="1">
      <alignment horizontal="center"/>
    </xf>
    <xf numFmtId="0" fontId="0" fillId="2" borderId="0" xfId="0" quotePrefix="1" applyFont="1" applyFill="1" applyAlignment="1">
      <alignment horizontal="center"/>
    </xf>
    <xf numFmtId="0" fontId="5" fillId="2" borderId="0" xfId="0" applyFont="1" applyFill="1" applyAlignment="1">
      <alignment horizontal="center"/>
    </xf>
    <xf numFmtId="0" fontId="0" fillId="2" borderId="0" xfId="0" applyFont="1" applyFill="1" applyAlignment="1">
      <alignment horizontal="center"/>
    </xf>
    <xf numFmtId="168" fontId="2" fillId="2" borderId="0" xfId="1" applyNumberFormat="1" applyFont="1" applyFill="1" applyBorder="1" applyAlignment="1">
      <alignment horizontal="center"/>
    </xf>
    <xf numFmtId="165" fontId="2" fillId="2" borderId="0" xfId="2" applyNumberFormat="1" applyFont="1" applyFill="1" applyBorder="1"/>
    <xf numFmtId="165" fontId="3" fillId="2" borderId="0" xfId="2" applyNumberFormat="1" applyFont="1" applyFill="1" applyBorder="1"/>
    <xf numFmtId="0" fontId="0" fillId="2" borderId="0" xfId="0" applyFont="1" applyFill="1" applyBorder="1"/>
    <xf numFmtId="0" fontId="2" fillId="2" borderId="0" xfId="2" applyFont="1" applyFill="1" applyBorder="1" applyAlignment="1">
      <alignment horizontal="center"/>
    </xf>
    <xf numFmtId="168" fontId="0" fillId="2" borderId="0" xfId="1" applyNumberFormat="1" applyFont="1" applyFill="1"/>
    <xf numFmtId="0" fontId="4" fillId="2" borderId="0" xfId="0" applyFont="1" applyFill="1"/>
    <xf numFmtId="168" fontId="2" fillId="0" borderId="3" xfId="1" applyNumberFormat="1" applyFont="1" applyFill="1" applyBorder="1"/>
    <xf numFmtId="168" fontId="0" fillId="2" borderId="6" xfId="1" applyNumberFormat="1" applyFont="1" applyFill="1" applyBorder="1"/>
    <xf numFmtId="168" fontId="10" fillId="2" borderId="3" xfId="1" applyNumberFormat="1" applyFont="1" applyFill="1" applyBorder="1" applyAlignment="1">
      <alignment horizontal="center" wrapText="1"/>
    </xf>
    <xf numFmtId="164" fontId="2" fillId="2" borderId="0" xfId="1" applyNumberFormat="1" applyFont="1" applyFill="1" applyBorder="1" applyAlignment="1">
      <alignment horizontal="center" vertical="center"/>
    </xf>
    <xf numFmtId="0" fontId="0" fillId="3" borderId="0" xfId="0" applyFont="1" applyFill="1"/>
    <xf numFmtId="165" fontId="0" fillId="2" borderId="0" xfId="0" applyNumberFormat="1" applyFont="1" applyFill="1"/>
    <xf numFmtId="0" fontId="0" fillId="2" borderId="0" xfId="0" applyFont="1" applyFill="1"/>
    <xf numFmtId="0" fontId="12" fillId="2" borderId="0" xfId="0" applyFont="1" applyFill="1"/>
    <xf numFmtId="172" fontId="0" fillId="2" borderId="8" xfId="3" applyNumberFormat="1" applyFont="1" applyFill="1" applyBorder="1"/>
    <xf numFmtId="168" fontId="10" fillId="2" borderId="16" xfId="1" applyNumberFormat="1" applyFont="1" applyFill="1" applyBorder="1" applyAlignment="1">
      <alignment horizontal="center" wrapText="1"/>
    </xf>
    <xf numFmtId="168" fontId="10" fillId="2" borderId="17" xfId="1" applyNumberFormat="1" applyFont="1" applyFill="1" applyBorder="1" applyAlignment="1">
      <alignment horizontal="center" wrapText="1"/>
    </xf>
    <xf numFmtId="168" fontId="2" fillId="0" borderId="16" xfId="1" applyNumberFormat="1" applyFont="1" applyFill="1" applyBorder="1"/>
    <xf numFmtId="168" fontId="0" fillId="2" borderId="22" xfId="1" applyNumberFormat="1" applyFont="1" applyFill="1" applyBorder="1"/>
    <xf numFmtId="172" fontId="0" fillId="2" borderId="20" xfId="3" applyNumberFormat="1" applyFont="1" applyFill="1" applyBorder="1"/>
    <xf numFmtId="173" fontId="2" fillId="2" borderId="8" xfId="1" applyNumberFormat="1" applyFont="1" applyFill="1" applyBorder="1"/>
    <xf numFmtId="0" fontId="0" fillId="2" borderId="0" xfId="0" applyFont="1" applyFill="1" applyAlignment="1">
      <alignment horizontal="center" wrapText="1"/>
    </xf>
    <xf numFmtId="168" fontId="2" fillId="0" borderId="17" xfId="1" applyNumberFormat="1" applyFont="1" applyFill="1" applyBorder="1" applyAlignment="1">
      <alignment horizontal="center"/>
    </xf>
    <xf numFmtId="168" fontId="0" fillId="2" borderId="23" xfId="1" applyNumberFormat="1" applyFont="1" applyFill="1" applyBorder="1" applyAlignment="1">
      <alignment horizontal="center"/>
    </xf>
    <xf numFmtId="0" fontId="5" fillId="2" borderId="0" xfId="0" applyFont="1" applyFill="1"/>
    <xf numFmtId="0" fontId="0" fillId="2" borderId="0" xfId="0" applyFont="1" applyFill="1" applyAlignment="1">
      <alignment wrapText="1"/>
    </xf>
    <xf numFmtId="0" fontId="0" fillId="2" borderId="0" xfId="0" applyFont="1" applyFill="1" applyAlignment="1">
      <alignment horizontal="left"/>
    </xf>
    <xf numFmtId="0" fontId="0" fillId="2" borderId="0" xfId="0" applyFont="1" applyFill="1" applyAlignment="1">
      <alignment horizontal="right"/>
    </xf>
    <xf numFmtId="0" fontId="4" fillId="2" borderId="2" xfId="0" applyFont="1" applyFill="1" applyBorder="1" applyAlignment="1">
      <alignment horizontal="center" vertical="center"/>
    </xf>
    <xf numFmtId="168" fontId="10" fillId="2" borderId="2" xfId="1" applyNumberFormat="1" applyFont="1" applyFill="1" applyBorder="1" applyAlignment="1">
      <alignment horizontal="center" wrapText="1"/>
    </xf>
    <xf numFmtId="1" fontId="0" fillId="2" borderId="21" xfId="4" applyNumberFormat="1" applyFont="1" applyFill="1" applyBorder="1" applyAlignment="1">
      <alignment horizontal="center"/>
    </xf>
    <xf numFmtId="168" fontId="15" fillId="2" borderId="23" xfId="1" applyNumberFormat="1" applyFont="1" applyFill="1" applyBorder="1"/>
    <xf numFmtId="0" fontId="17" fillId="2" borderId="0" xfId="0" applyFont="1" applyFill="1"/>
    <xf numFmtId="172" fontId="0" fillId="2" borderId="11" xfId="3" applyNumberFormat="1" applyFont="1" applyFill="1" applyBorder="1"/>
    <xf numFmtId="172" fontId="0" fillId="2" borderId="12" xfId="3" applyNumberFormat="1" applyFont="1" applyFill="1" applyBorder="1"/>
    <xf numFmtId="168" fontId="2" fillId="0" borderId="42" xfId="1" applyNumberFormat="1" applyFont="1" applyFill="1" applyBorder="1" applyAlignment="1">
      <alignment horizontal="center"/>
    </xf>
    <xf numFmtId="168" fontId="6" fillId="0" borderId="17" xfId="1" applyNumberFormat="1" applyFont="1" applyFill="1" applyBorder="1"/>
    <xf numFmtId="165" fontId="0" fillId="2" borderId="43" xfId="0" applyNumberFormat="1" applyFont="1" applyFill="1" applyBorder="1" applyAlignment="1">
      <alignment horizontal="center"/>
    </xf>
    <xf numFmtId="172" fontId="15" fillId="2" borderId="14" xfId="3" applyNumberFormat="1" applyFont="1" applyFill="1" applyBorder="1"/>
    <xf numFmtId="165" fontId="0" fillId="2" borderId="44" xfId="0" applyNumberFormat="1" applyFont="1" applyFill="1" applyBorder="1" applyAlignment="1">
      <alignment horizontal="center"/>
    </xf>
    <xf numFmtId="172" fontId="15" fillId="2" borderId="21" xfId="3" applyNumberFormat="1" applyFont="1" applyFill="1" applyBorder="1"/>
    <xf numFmtId="168" fontId="0" fillId="2" borderId="45" xfId="1" applyNumberFormat="1" applyFont="1" applyFill="1" applyBorder="1" applyAlignment="1">
      <alignment horizontal="center"/>
    </xf>
    <xf numFmtId="0" fontId="0" fillId="2" borderId="0" xfId="0" applyFont="1" applyFill="1" applyBorder="1" applyAlignment="1">
      <alignment horizontal="center"/>
    </xf>
    <xf numFmtId="0" fontId="0" fillId="2" borderId="0" xfId="0" applyFont="1" applyFill="1" applyAlignment="1">
      <alignment horizontal="center"/>
    </xf>
    <xf numFmtId="0" fontId="0" fillId="2" borderId="0" xfId="0" applyFont="1" applyFill="1" applyBorder="1"/>
    <xf numFmtId="168" fontId="0" fillId="2" borderId="0" xfId="1" applyNumberFormat="1" applyFont="1" applyFill="1"/>
    <xf numFmtId="168" fontId="2" fillId="0" borderId="3" xfId="1" applyNumberFormat="1" applyFont="1" applyFill="1" applyBorder="1"/>
    <xf numFmtId="0" fontId="0" fillId="2" borderId="0" xfId="0" applyFont="1" applyFill="1"/>
    <xf numFmtId="168" fontId="0" fillId="2" borderId="28" xfId="1" applyNumberFormat="1" applyFont="1" applyFill="1" applyBorder="1" applyAlignment="1">
      <alignment horizontal="right"/>
    </xf>
    <xf numFmtId="9" fontId="0" fillId="2" borderId="30" xfId="4" applyFont="1" applyFill="1" applyBorder="1"/>
    <xf numFmtId="173" fontId="0" fillId="2" borderId="1" xfId="1" applyNumberFormat="1" applyFont="1" applyFill="1" applyBorder="1"/>
    <xf numFmtId="0" fontId="0" fillId="2" borderId="32" xfId="0" applyFont="1" applyFill="1" applyBorder="1"/>
    <xf numFmtId="168" fontId="0" fillId="2" borderId="32" xfId="1" applyNumberFormat="1" applyFont="1" applyFill="1" applyBorder="1"/>
    <xf numFmtId="173" fontId="0" fillId="2" borderId="32" xfId="1" applyNumberFormat="1" applyFont="1" applyFill="1" applyBorder="1"/>
    <xf numFmtId="0" fontId="0" fillId="2" borderId="33" xfId="0" applyFont="1" applyFill="1" applyBorder="1"/>
    <xf numFmtId="0" fontId="0" fillId="2" borderId="34" xfId="0" applyFont="1" applyFill="1" applyBorder="1"/>
    <xf numFmtId="168" fontId="0" fillId="2" borderId="0" xfId="1" applyNumberFormat="1" applyFont="1" applyFill="1" applyBorder="1" applyAlignment="1">
      <alignment horizontal="right"/>
    </xf>
    <xf numFmtId="168" fontId="0" fillId="2" borderId="0" xfId="1" applyNumberFormat="1" applyFont="1" applyFill="1" applyBorder="1"/>
    <xf numFmtId="173" fontId="0" fillId="2" borderId="0" xfId="0" applyNumberFormat="1" applyFont="1" applyFill="1" applyBorder="1"/>
    <xf numFmtId="0" fontId="0" fillId="2" borderId="35" xfId="0" applyFont="1" applyFill="1" applyBorder="1"/>
    <xf numFmtId="173" fontId="0" fillId="2" borderId="9" xfId="0" applyNumberFormat="1" applyFont="1" applyFill="1" applyBorder="1"/>
    <xf numFmtId="173" fontId="0" fillId="2" borderId="0" xfId="1" applyNumberFormat="1" applyFont="1" applyFill="1" applyBorder="1"/>
    <xf numFmtId="0" fontId="0" fillId="2" borderId="27" xfId="0" applyFont="1" applyFill="1" applyBorder="1"/>
    <xf numFmtId="0" fontId="0" fillId="2" borderId="1" xfId="0" applyFont="1" applyFill="1" applyBorder="1"/>
    <xf numFmtId="168" fontId="0" fillId="2" borderId="1" xfId="1" applyNumberFormat="1" applyFont="1" applyFill="1" applyBorder="1"/>
    <xf numFmtId="0" fontId="0" fillId="2" borderId="9" xfId="0" applyFont="1" applyFill="1" applyBorder="1"/>
    <xf numFmtId="168" fontId="4" fillId="2" borderId="31" xfId="1" applyNumberFormat="1" applyFont="1" applyFill="1" applyBorder="1"/>
    <xf numFmtId="0" fontId="15" fillId="2" borderId="0" xfId="0" applyFont="1" applyFill="1"/>
    <xf numFmtId="168" fontId="0" fillId="7" borderId="8" xfId="1" applyNumberFormat="1" applyFont="1" applyFill="1" applyBorder="1"/>
    <xf numFmtId="0" fontId="17" fillId="2" borderId="0" xfId="0" applyFont="1" applyFill="1"/>
    <xf numFmtId="168" fontId="0" fillId="2" borderId="0" xfId="1" applyNumberFormat="1" applyFont="1" applyFill="1" applyAlignment="1">
      <alignment horizontal="center"/>
    </xf>
    <xf numFmtId="0" fontId="0" fillId="2" borderId="0" xfId="0" applyFont="1" applyFill="1" applyAlignment="1">
      <alignment horizontal="center"/>
    </xf>
    <xf numFmtId="0" fontId="4" fillId="2" borderId="0" xfId="0" applyFont="1" applyFill="1"/>
    <xf numFmtId="0" fontId="0" fillId="3" borderId="0" xfId="0" applyFont="1" applyFill="1"/>
    <xf numFmtId="0" fontId="0" fillId="2" borderId="0" xfId="0" applyFont="1" applyFill="1"/>
    <xf numFmtId="173" fontId="0" fillId="2" borderId="35" xfId="1" applyNumberFormat="1" applyFont="1" applyFill="1" applyBorder="1"/>
    <xf numFmtId="168" fontId="0" fillId="2" borderId="0" xfId="1" applyNumberFormat="1" applyFont="1" applyFill="1"/>
    <xf numFmtId="0" fontId="0" fillId="2" borderId="0" xfId="0" applyFont="1" applyFill="1"/>
    <xf numFmtId="168" fontId="0" fillId="0" borderId="8" xfId="1" applyNumberFormat="1" applyFont="1" applyFill="1" applyBorder="1"/>
    <xf numFmtId="168" fontId="2" fillId="0" borderId="7" xfId="1" applyNumberFormat="1" applyFont="1" applyFill="1" applyBorder="1" applyAlignment="1">
      <alignment wrapText="1"/>
    </xf>
    <xf numFmtId="0" fontId="11" fillId="2" borderId="0" xfId="5" applyFill="1" applyAlignment="1">
      <alignment horizontal="left"/>
    </xf>
    <xf numFmtId="168" fontId="0" fillId="2" borderId="27" xfId="1" applyNumberFormat="1" applyFont="1" applyFill="1" applyBorder="1" applyAlignment="1">
      <alignment horizontal="left" indent="3"/>
    </xf>
    <xf numFmtId="168" fontId="0" fillId="2" borderId="0" xfId="1" applyNumberFormat="1" applyFont="1" applyFill="1" applyBorder="1" applyAlignment="1">
      <alignment horizontal="left" indent="3"/>
    </xf>
    <xf numFmtId="0" fontId="0" fillId="0" borderId="0" xfId="0"/>
    <xf numFmtId="0" fontId="0" fillId="2" borderId="1" xfId="0" applyFont="1" applyFill="1" applyBorder="1" applyAlignment="1">
      <alignment horizontal="center"/>
    </xf>
    <xf numFmtId="0" fontId="0" fillId="2" borderId="0" xfId="0" quotePrefix="1" applyFont="1" applyFill="1" applyAlignment="1">
      <alignment horizontal="center"/>
    </xf>
    <xf numFmtId="0" fontId="5" fillId="2" borderId="0" xfId="0" applyFont="1" applyFill="1" applyAlignment="1">
      <alignment horizontal="center"/>
    </xf>
    <xf numFmtId="0" fontId="0" fillId="2" borderId="0" xfId="0" applyFont="1" applyFill="1" applyAlignment="1">
      <alignment horizontal="center"/>
    </xf>
    <xf numFmtId="168" fontId="2" fillId="2" borderId="0" xfId="1" applyNumberFormat="1" applyFont="1" applyFill="1" applyBorder="1" applyAlignment="1">
      <alignment horizontal="center"/>
    </xf>
    <xf numFmtId="165" fontId="2" fillId="2" borderId="0" xfId="2" applyNumberFormat="1" applyFont="1" applyFill="1" applyBorder="1"/>
    <xf numFmtId="165" fontId="3" fillId="2" borderId="0" xfId="2" applyNumberFormat="1" applyFont="1" applyFill="1" applyBorder="1"/>
    <xf numFmtId="0" fontId="0" fillId="2" borderId="0" xfId="0" applyFont="1" applyFill="1" applyBorder="1"/>
    <xf numFmtId="168" fontId="2" fillId="2" borderId="4" xfId="1" applyNumberFormat="1" applyFont="1" applyFill="1" applyBorder="1" applyAlignment="1">
      <alignment horizontal="center"/>
    </xf>
    <xf numFmtId="165" fontId="2" fillId="2" borderId="4" xfId="0" applyNumberFormat="1" applyFont="1" applyFill="1" applyBorder="1"/>
    <xf numFmtId="165" fontId="2" fillId="2" borderId="4" xfId="2" applyNumberFormat="1" applyFont="1" applyFill="1" applyBorder="1"/>
    <xf numFmtId="0" fontId="0" fillId="2" borderId="4" xfId="0" applyFont="1" applyFill="1" applyBorder="1"/>
    <xf numFmtId="0" fontId="2" fillId="2" borderId="0" xfId="2" applyFont="1" applyFill="1" applyBorder="1" applyAlignment="1">
      <alignment horizontal="center"/>
    </xf>
    <xf numFmtId="165" fontId="2" fillId="2" borderId="7" xfId="2" applyNumberFormat="1" applyFont="1" applyFill="1" applyBorder="1"/>
    <xf numFmtId="165" fontId="2" fillId="2" borderId="7" xfId="0" applyNumberFormat="1" applyFont="1" applyFill="1" applyBorder="1"/>
    <xf numFmtId="168" fontId="0" fillId="2" borderId="0" xfId="1" applyNumberFormat="1" applyFont="1" applyFill="1"/>
    <xf numFmtId="0" fontId="4" fillId="2" borderId="0" xfId="0" applyFont="1" applyFill="1"/>
    <xf numFmtId="168" fontId="2" fillId="0" borderId="3" xfId="1" applyNumberFormat="1" applyFont="1" applyFill="1" applyBorder="1"/>
    <xf numFmtId="165" fontId="2" fillId="0" borderId="7" xfId="2" applyNumberFormat="1" applyFont="1" applyFill="1" applyBorder="1"/>
    <xf numFmtId="165" fontId="2" fillId="0" borderId="7" xfId="0" applyNumberFormat="1" applyFont="1" applyFill="1" applyBorder="1"/>
    <xf numFmtId="0" fontId="0" fillId="0" borderId="7" xfId="0" applyFont="1" applyFill="1" applyBorder="1"/>
    <xf numFmtId="168" fontId="0" fillId="2" borderId="6" xfId="1" applyNumberFormat="1" applyFont="1" applyFill="1" applyBorder="1"/>
    <xf numFmtId="0" fontId="10" fillId="2" borderId="7" xfId="0" applyFont="1" applyFill="1" applyBorder="1" applyAlignment="1">
      <alignment horizontal="center" wrapText="1"/>
    </xf>
    <xf numFmtId="168" fontId="10" fillId="2" borderId="3" xfId="1" applyNumberFormat="1" applyFont="1" applyFill="1" applyBorder="1" applyAlignment="1">
      <alignment horizontal="center" wrapText="1"/>
    </xf>
    <xf numFmtId="10" fontId="0" fillId="2" borderId="8" xfId="0" applyNumberFormat="1" applyFont="1" applyFill="1" applyBorder="1"/>
    <xf numFmtId="164" fontId="2" fillId="2" borderId="0" xfId="1" applyNumberFormat="1" applyFont="1" applyFill="1" applyBorder="1" applyAlignment="1">
      <alignment horizontal="center" vertical="center"/>
    </xf>
    <xf numFmtId="0" fontId="0" fillId="3" borderId="0" xfId="0" applyFont="1" applyFill="1"/>
    <xf numFmtId="0" fontId="4" fillId="0" borderId="4" xfId="0" applyFont="1" applyFill="1" applyBorder="1"/>
    <xf numFmtId="0" fontId="2" fillId="0" borderId="6" xfId="2" applyFont="1" applyFill="1" applyBorder="1" applyAlignment="1">
      <alignment horizontal="center"/>
    </xf>
    <xf numFmtId="165" fontId="2" fillId="0" borderId="6" xfId="2" applyNumberFormat="1" applyFont="1" applyFill="1" applyBorder="1"/>
    <xf numFmtId="0" fontId="4" fillId="0" borderId="10" xfId="0" applyFont="1" applyFill="1" applyBorder="1"/>
    <xf numFmtId="165" fontId="0" fillId="2" borderId="0" xfId="0" applyNumberFormat="1" applyFont="1" applyFill="1"/>
    <xf numFmtId="0" fontId="0" fillId="2" borderId="0" xfId="0" applyFont="1" applyFill="1"/>
    <xf numFmtId="0" fontId="12" fillId="2" borderId="0" xfId="0" applyFont="1" applyFill="1"/>
    <xf numFmtId="0" fontId="10" fillId="4" borderId="2" xfId="0" applyFont="1" applyFill="1" applyBorder="1" applyAlignment="1">
      <alignment horizontal="center" wrapText="1"/>
    </xf>
    <xf numFmtId="0" fontId="2" fillId="5" borderId="10" xfId="2" applyFont="1" applyFill="1" applyBorder="1" applyAlignment="1">
      <alignment horizontal="center"/>
    </xf>
    <xf numFmtId="169" fontId="6" fillId="4" borderId="9" xfId="2" applyNumberFormat="1" applyFont="1" applyFill="1" applyBorder="1"/>
    <xf numFmtId="0" fontId="0" fillId="2" borderId="8" xfId="0" applyFont="1" applyFill="1" applyBorder="1" applyAlignment="1">
      <alignment horizontal="center"/>
    </xf>
    <xf numFmtId="0" fontId="0" fillId="2" borderId="7" xfId="0" applyFont="1" applyFill="1" applyBorder="1" applyAlignment="1">
      <alignment horizontal="center"/>
    </xf>
    <xf numFmtId="168" fontId="2" fillId="0" borderId="3" xfId="1" applyNumberFormat="1" applyFont="1" applyFill="1" applyBorder="1" applyAlignment="1">
      <alignment horizontal="center"/>
    </xf>
    <xf numFmtId="172" fontId="0" fillId="2" borderId="8" xfId="3" applyNumberFormat="1" applyFont="1" applyFill="1" applyBorder="1"/>
    <xf numFmtId="168" fontId="10" fillId="2" borderId="16" xfId="1" applyNumberFormat="1" applyFont="1" applyFill="1" applyBorder="1" applyAlignment="1">
      <alignment horizontal="center" wrapText="1"/>
    </xf>
    <xf numFmtId="168" fontId="10" fillId="2" borderId="17" xfId="1" applyNumberFormat="1" applyFont="1" applyFill="1" applyBorder="1" applyAlignment="1">
      <alignment horizontal="center" wrapText="1"/>
    </xf>
    <xf numFmtId="168" fontId="2" fillId="0" borderId="16" xfId="1" applyNumberFormat="1" applyFont="1" applyFill="1" applyBorder="1"/>
    <xf numFmtId="168" fontId="0" fillId="2" borderId="22" xfId="1" applyNumberFormat="1" applyFont="1" applyFill="1" applyBorder="1"/>
    <xf numFmtId="172" fontId="0" fillId="2" borderId="20" xfId="3" applyNumberFormat="1" applyFont="1" applyFill="1" applyBorder="1"/>
    <xf numFmtId="0" fontId="4" fillId="0" borderId="6" xfId="0" applyFont="1" applyFill="1" applyBorder="1"/>
    <xf numFmtId="168" fontId="6" fillId="0" borderId="26" xfId="1" applyNumberFormat="1" applyFont="1" applyFill="1" applyBorder="1"/>
    <xf numFmtId="0" fontId="0" fillId="2" borderId="28" xfId="0" applyFont="1" applyFill="1" applyBorder="1"/>
    <xf numFmtId="168" fontId="0" fillId="2" borderId="29" xfId="1" applyNumberFormat="1" applyFont="1" applyFill="1" applyBorder="1" applyAlignment="1">
      <alignment horizontal="right"/>
    </xf>
    <xf numFmtId="168" fontId="0" fillId="2" borderId="28" xfId="1" applyNumberFormat="1" applyFont="1" applyFill="1" applyBorder="1" applyAlignment="1">
      <alignment horizontal="right"/>
    </xf>
    <xf numFmtId="9" fontId="0" fillId="2" borderId="30" xfId="4" applyFont="1" applyFill="1" applyBorder="1"/>
    <xf numFmtId="173" fontId="0" fillId="2" borderId="1" xfId="1" applyNumberFormat="1" applyFont="1" applyFill="1" applyBorder="1"/>
    <xf numFmtId="0" fontId="0" fillId="2" borderId="32" xfId="0" applyFont="1" applyFill="1" applyBorder="1"/>
    <xf numFmtId="168" fontId="0" fillId="2" borderId="32" xfId="1" applyNumberFormat="1" applyFont="1" applyFill="1" applyBorder="1"/>
    <xf numFmtId="173" fontId="0" fillId="2" borderId="32" xfId="1" applyNumberFormat="1" applyFont="1" applyFill="1" applyBorder="1"/>
    <xf numFmtId="0" fontId="0" fillId="2" borderId="33" xfId="0" applyFont="1" applyFill="1" applyBorder="1"/>
    <xf numFmtId="0" fontId="0" fillId="2" borderId="34" xfId="0" applyFont="1" applyFill="1" applyBorder="1"/>
    <xf numFmtId="168" fontId="0" fillId="2" borderId="0" xfId="1" applyNumberFormat="1" applyFont="1" applyFill="1" applyBorder="1" applyAlignment="1">
      <alignment horizontal="right"/>
    </xf>
    <xf numFmtId="173" fontId="0" fillId="2" borderId="35" xfId="1" applyNumberFormat="1" applyFont="1" applyFill="1" applyBorder="1"/>
    <xf numFmtId="168" fontId="0" fillId="2" borderId="0" xfId="1" applyNumberFormat="1" applyFont="1" applyFill="1" applyBorder="1"/>
    <xf numFmtId="173" fontId="0" fillId="2" borderId="0" xfId="0" applyNumberFormat="1" applyFont="1" applyFill="1" applyBorder="1"/>
    <xf numFmtId="0" fontId="0" fillId="2" borderId="35" xfId="0" applyFont="1" applyFill="1" applyBorder="1"/>
    <xf numFmtId="173" fontId="0" fillId="2" borderId="9" xfId="0" applyNumberFormat="1" applyFont="1" applyFill="1" applyBorder="1"/>
    <xf numFmtId="173" fontId="0" fillId="2" borderId="0" xfId="1" applyNumberFormat="1" applyFont="1" applyFill="1" applyBorder="1"/>
    <xf numFmtId="0" fontId="0" fillId="2" borderId="27" xfId="0" applyFont="1" applyFill="1" applyBorder="1"/>
    <xf numFmtId="0" fontId="0" fillId="2" borderId="1" xfId="0" applyFont="1" applyFill="1" applyBorder="1"/>
    <xf numFmtId="168" fontId="0" fillId="2" borderId="1" xfId="1" applyNumberFormat="1" applyFont="1" applyFill="1" applyBorder="1"/>
    <xf numFmtId="0" fontId="0" fillId="2" borderId="9" xfId="0" applyFont="1" applyFill="1" applyBorder="1"/>
    <xf numFmtId="168" fontId="4" fillId="2" borderId="31" xfId="1" applyNumberFormat="1" applyFont="1" applyFill="1" applyBorder="1"/>
    <xf numFmtId="173" fontId="2" fillId="2" borderId="8" xfId="1" applyNumberFormat="1" applyFont="1" applyFill="1" applyBorder="1"/>
    <xf numFmtId="0" fontId="0" fillId="2" borderId="0" xfId="0" applyFont="1" applyFill="1" applyAlignment="1">
      <alignment horizontal="center" wrapText="1"/>
    </xf>
    <xf numFmtId="168" fontId="2" fillId="0" borderId="17" xfId="1" applyNumberFormat="1" applyFont="1" applyFill="1" applyBorder="1" applyAlignment="1">
      <alignment horizontal="center"/>
    </xf>
    <xf numFmtId="168" fontId="0" fillId="2" borderId="23" xfId="1" applyNumberFormat="1" applyFont="1" applyFill="1" applyBorder="1" applyAlignment="1">
      <alignment horizontal="center"/>
    </xf>
    <xf numFmtId="0" fontId="15" fillId="2" borderId="0" xfId="0" applyFont="1" applyFill="1"/>
    <xf numFmtId="0" fontId="5" fillId="2" borderId="0" xfId="0" applyFont="1" applyFill="1"/>
    <xf numFmtId="0" fontId="0" fillId="2" borderId="0" xfId="0" applyFont="1" applyFill="1" applyAlignment="1">
      <alignment wrapText="1"/>
    </xf>
    <xf numFmtId="0" fontId="2" fillId="2" borderId="4" xfId="2" applyFont="1" applyFill="1" applyBorder="1" applyAlignment="1">
      <alignment horizontal="center"/>
    </xf>
    <xf numFmtId="168" fontId="0" fillId="7" borderId="8" xfId="1" applyNumberFormat="1" applyFont="1" applyFill="1" applyBorder="1"/>
    <xf numFmtId="0" fontId="0" fillId="2" borderId="0" xfId="0" applyFont="1" applyFill="1" applyAlignment="1">
      <alignment horizontal="left"/>
    </xf>
    <xf numFmtId="0" fontId="0" fillId="2" borderId="0" xfId="0" applyFont="1" applyFill="1" applyAlignment="1">
      <alignment horizontal="right"/>
    </xf>
    <xf numFmtId="0" fontId="4" fillId="2" borderId="2" xfId="0" applyFont="1" applyFill="1" applyBorder="1" applyAlignment="1">
      <alignment horizontal="center" vertical="center"/>
    </xf>
    <xf numFmtId="168" fontId="10" fillId="2" borderId="2" xfId="1" applyNumberFormat="1" applyFont="1" applyFill="1" applyBorder="1" applyAlignment="1">
      <alignment horizontal="center" wrapText="1"/>
    </xf>
    <xf numFmtId="168" fontId="0" fillId="2" borderId="4" xfId="1" applyNumberFormat="1" applyFont="1" applyFill="1" applyBorder="1" applyAlignment="1">
      <alignment horizontal="center"/>
    </xf>
    <xf numFmtId="1" fontId="0" fillId="2" borderId="21" xfId="4" applyNumberFormat="1" applyFont="1" applyFill="1" applyBorder="1" applyAlignment="1">
      <alignment horizontal="center"/>
    </xf>
    <xf numFmtId="168" fontId="15" fillId="2" borderId="23" xfId="1" applyNumberFormat="1" applyFont="1" applyFill="1" applyBorder="1"/>
    <xf numFmtId="165" fontId="0" fillId="2" borderId="30" xfId="0" applyNumberFormat="1" applyFont="1" applyFill="1" applyBorder="1" applyAlignment="1">
      <alignment horizontal="center"/>
    </xf>
    <xf numFmtId="168" fontId="10" fillId="8" borderId="17" xfId="1" applyNumberFormat="1" applyFont="1" applyFill="1" applyBorder="1" applyAlignment="1">
      <alignment horizontal="center" wrapText="1"/>
    </xf>
    <xf numFmtId="172" fontId="0" fillId="8" borderId="21" xfId="4" applyNumberFormat="1" applyFont="1" applyFill="1" applyBorder="1" applyAlignment="1">
      <alignment horizontal="center"/>
    </xf>
    <xf numFmtId="0" fontId="17" fillId="2" borderId="0" xfId="0" applyFont="1" applyFill="1"/>
    <xf numFmtId="172" fontId="0" fillId="2" borderId="11" xfId="3" applyNumberFormat="1" applyFont="1" applyFill="1" applyBorder="1"/>
    <xf numFmtId="172" fontId="0" fillId="2" borderId="12" xfId="3" applyNumberFormat="1" applyFont="1" applyFill="1" applyBorder="1"/>
    <xf numFmtId="168" fontId="2" fillId="0" borderId="42" xfId="1" applyNumberFormat="1" applyFont="1" applyFill="1" applyBorder="1" applyAlignment="1">
      <alignment horizontal="center"/>
    </xf>
    <xf numFmtId="168" fontId="6" fillId="0" borderId="17" xfId="1" applyNumberFormat="1" applyFont="1" applyFill="1" applyBorder="1"/>
    <xf numFmtId="165" fontId="0" fillId="2" borderId="43" xfId="0" applyNumberFormat="1" applyFont="1" applyFill="1" applyBorder="1" applyAlignment="1">
      <alignment horizontal="center"/>
    </xf>
    <xf numFmtId="172" fontId="15" fillId="2" borderId="14" xfId="3" applyNumberFormat="1" applyFont="1" applyFill="1" applyBorder="1"/>
    <xf numFmtId="165" fontId="0" fillId="2" borderId="44" xfId="0" applyNumberFormat="1" applyFont="1" applyFill="1" applyBorder="1" applyAlignment="1">
      <alignment horizontal="center"/>
    </xf>
    <xf numFmtId="172" fontId="15" fillId="2" borderId="21" xfId="3" applyNumberFormat="1" applyFont="1" applyFill="1" applyBorder="1"/>
    <xf numFmtId="168" fontId="0" fillId="2" borderId="45" xfId="1" applyNumberFormat="1" applyFont="1" applyFill="1" applyBorder="1" applyAlignment="1">
      <alignment horizontal="center"/>
    </xf>
    <xf numFmtId="0" fontId="0" fillId="2" borderId="0" xfId="0" applyFont="1" applyFill="1" applyBorder="1" applyAlignment="1">
      <alignment horizontal="center"/>
    </xf>
    <xf numFmtId="49" fontId="10" fillId="0" borderId="16" xfId="1" applyNumberFormat="1" applyFont="1" applyFill="1" applyBorder="1" applyAlignment="1">
      <alignment horizontal="center"/>
    </xf>
    <xf numFmtId="49" fontId="10" fillId="9" borderId="17" xfId="1" applyNumberFormat="1" applyFont="1" applyFill="1" applyBorder="1" applyAlignment="1">
      <alignment horizontal="center"/>
    </xf>
    <xf numFmtId="168" fontId="2" fillId="0" borderId="46" xfId="1" applyNumberFormat="1" applyFont="1" applyFill="1" applyBorder="1"/>
    <xf numFmtId="172" fontId="4" fillId="8" borderId="21" xfId="4" applyNumberFormat="1" applyFont="1" applyFill="1" applyBorder="1" applyAlignment="1">
      <alignment horizontal="center"/>
    </xf>
    <xf numFmtId="168" fontId="10" fillId="0" borderId="42" xfId="1" applyNumberFormat="1" applyFont="1" applyFill="1" applyBorder="1" applyAlignment="1">
      <alignment horizontal="center" wrapText="1"/>
    </xf>
    <xf numFmtId="168" fontId="2" fillId="0" borderId="42" xfId="1" applyNumberFormat="1" applyFont="1" applyFill="1" applyBorder="1"/>
    <xf numFmtId="168" fontId="0" fillId="2" borderId="45" xfId="1" applyNumberFormat="1" applyFont="1" applyFill="1" applyBorder="1"/>
    <xf numFmtId="1" fontId="0" fillId="2" borderId="41" xfId="4" applyNumberFormat="1" applyFont="1" applyFill="1" applyBorder="1" applyAlignment="1">
      <alignment horizontal="center"/>
    </xf>
    <xf numFmtId="1" fontId="0" fillId="2" borderId="48" xfId="4" applyNumberFormat="1" applyFont="1" applyFill="1" applyBorder="1" applyAlignment="1">
      <alignment horizontal="center"/>
    </xf>
    <xf numFmtId="168" fontId="0" fillId="2" borderId="49" xfId="1" applyNumberFormat="1" applyFont="1" applyFill="1" applyBorder="1" applyAlignment="1">
      <alignment horizontal="center"/>
    </xf>
    <xf numFmtId="168" fontId="2" fillId="0" borderId="24" xfId="1" applyNumberFormat="1" applyFont="1" applyFill="1" applyBorder="1"/>
    <xf numFmtId="168" fontId="2" fillId="0" borderId="50" xfId="1" applyNumberFormat="1" applyFont="1" applyFill="1" applyBorder="1"/>
    <xf numFmtId="172" fontId="0" fillId="2" borderId="7" xfId="3" applyNumberFormat="1" applyFont="1" applyFill="1" applyBorder="1"/>
    <xf numFmtId="168" fontId="0" fillId="2" borderId="10" xfId="1" applyNumberFormat="1" applyFont="1" applyFill="1" applyBorder="1"/>
    <xf numFmtId="168" fontId="14" fillId="10" borderId="16" xfId="1" applyNumberFormat="1" applyFont="1" applyFill="1" applyBorder="1" applyAlignment="1">
      <alignment horizontal="center" wrapText="1"/>
    </xf>
    <xf numFmtId="168" fontId="6" fillId="10" borderId="16" xfId="1" applyNumberFormat="1" applyFont="1" applyFill="1" applyBorder="1"/>
    <xf numFmtId="172" fontId="15" fillId="10" borderId="47" xfId="3" applyNumberFormat="1" applyFont="1" applyFill="1" applyBorder="1"/>
    <xf numFmtId="172" fontId="15" fillId="10" borderId="43" xfId="3" applyNumberFormat="1" applyFont="1" applyFill="1" applyBorder="1"/>
    <xf numFmtId="168" fontId="15" fillId="10" borderId="45" xfId="1" applyNumberFormat="1" applyFont="1" applyFill="1" applyBorder="1"/>
    <xf numFmtId="10" fontId="2" fillId="0" borderId="7" xfId="2" applyNumberFormat="1" applyFont="1" applyFill="1" applyBorder="1"/>
    <xf numFmtId="10" fontId="2" fillId="0" borderId="12" xfId="2" applyNumberFormat="1" applyFont="1" applyFill="1" applyBorder="1"/>
    <xf numFmtId="10" fontId="0" fillId="2" borderId="14" xfId="4" applyNumberFormat="1" applyFont="1" applyFill="1" applyBorder="1" applyAlignment="1">
      <alignment horizontal="center"/>
    </xf>
    <xf numFmtId="10" fontId="0" fillId="2" borderId="51" xfId="4" applyNumberFormat="1" applyFont="1" applyFill="1" applyBorder="1" applyAlignment="1">
      <alignment horizontal="center"/>
    </xf>
    <xf numFmtId="173" fontId="0" fillId="11" borderId="35" xfId="0" applyNumberFormat="1" applyFont="1" applyFill="1" applyBorder="1"/>
    <xf numFmtId="0" fontId="0" fillId="0" borderId="0" xfId="0" applyFont="1" applyFill="1"/>
    <xf numFmtId="165" fontId="2" fillId="2" borderId="9" xfId="0" applyNumberFormat="1" applyFont="1" applyFill="1" applyBorder="1"/>
    <xf numFmtId="165" fontId="2" fillId="2" borderId="30" xfId="0" applyNumberFormat="1" applyFont="1" applyFill="1" applyBorder="1"/>
    <xf numFmtId="165" fontId="2" fillId="0" borderId="30" xfId="0" applyNumberFormat="1" applyFont="1" applyFill="1" applyBorder="1"/>
    <xf numFmtId="0" fontId="10" fillId="2" borderId="11" xfId="0" applyFont="1" applyFill="1" applyBorder="1" applyAlignment="1">
      <alignment horizontal="center" wrapText="1"/>
    </xf>
    <xf numFmtId="0" fontId="10" fillId="2" borderId="12" xfId="0" applyFont="1" applyFill="1" applyBorder="1" applyAlignment="1">
      <alignment horizontal="center" wrapText="1"/>
    </xf>
    <xf numFmtId="168" fontId="0" fillId="2" borderId="0" xfId="1" applyNumberFormat="1" applyFont="1" applyFill="1" applyAlignment="1">
      <alignment horizontal="center"/>
    </xf>
    <xf numFmtId="168" fontId="0" fillId="2" borderId="6" xfId="1" applyNumberFormat="1" applyFont="1" applyFill="1" applyBorder="1" applyAlignment="1">
      <alignment horizontal="center"/>
    </xf>
    <xf numFmtId="173" fontId="2" fillId="2" borderId="9" xfId="1" applyNumberFormat="1" applyFont="1" applyFill="1" applyBorder="1"/>
    <xf numFmtId="165" fontId="6" fillId="2" borderId="7" xfId="2" applyNumberFormat="1" applyFont="1" applyFill="1" applyBorder="1"/>
    <xf numFmtId="0" fontId="0" fillId="2" borderId="0" xfId="0" applyFont="1" applyFill="1" applyBorder="1" applyAlignment="1">
      <alignment wrapText="1"/>
    </xf>
    <xf numFmtId="0" fontId="0" fillId="2" borderId="0" xfId="0" applyFont="1" applyFill="1" applyBorder="1" applyAlignment="1">
      <alignment horizontal="center" wrapText="1"/>
    </xf>
    <xf numFmtId="0" fontId="4" fillId="0" borderId="52" xfId="0" applyFont="1" applyFill="1" applyBorder="1"/>
    <xf numFmtId="0" fontId="10" fillId="2" borderId="12" xfId="0" applyFont="1" applyFill="1" applyBorder="1" applyAlignment="1">
      <alignment horizontal="center"/>
    </xf>
    <xf numFmtId="0" fontId="10" fillId="2" borderId="12" xfId="7" applyFont="1" applyFill="1" applyBorder="1" applyAlignment="1">
      <alignment horizontal="center" wrapText="1"/>
    </xf>
    <xf numFmtId="0" fontId="10" fillId="2" borderId="36" xfId="0" applyFont="1" applyFill="1" applyBorder="1" applyAlignment="1">
      <alignment horizontal="center" wrapText="1"/>
    </xf>
    <xf numFmtId="168" fontId="2" fillId="0" borderId="17" xfId="1" applyNumberFormat="1" applyFont="1" applyFill="1" applyBorder="1"/>
    <xf numFmtId="0" fontId="0" fillId="2" borderId="20" xfId="0" applyFont="1" applyFill="1" applyBorder="1" applyAlignment="1">
      <alignment horizontal="center"/>
    </xf>
    <xf numFmtId="168" fontId="0" fillId="7" borderId="21" xfId="1" applyNumberFormat="1" applyFont="1" applyFill="1" applyBorder="1"/>
    <xf numFmtId="0" fontId="0" fillId="2" borderId="53" xfId="0" applyFont="1" applyFill="1" applyBorder="1" applyAlignment="1">
      <alignment horizontal="center"/>
    </xf>
    <xf numFmtId="168" fontId="0" fillId="11" borderId="21" xfId="1" applyNumberFormat="1" applyFont="1" applyFill="1" applyBorder="1"/>
    <xf numFmtId="0" fontId="2" fillId="2" borderId="54" xfId="2" applyFont="1" applyFill="1" applyBorder="1" applyAlignment="1">
      <alignment horizontal="center"/>
    </xf>
    <xf numFmtId="168" fontId="0" fillId="0" borderId="23" xfId="1" applyNumberFormat="1" applyFont="1" applyFill="1" applyBorder="1"/>
    <xf numFmtId="0" fontId="4" fillId="0" borderId="54" xfId="0" applyFont="1" applyFill="1" applyBorder="1"/>
    <xf numFmtId="0" fontId="2" fillId="2" borderId="0" xfId="1" applyNumberFormat="1" applyFont="1" applyFill="1" applyBorder="1" applyAlignment="1">
      <alignment horizontal="center" vertical="center"/>
    </xf>
    <xf numFmtId="10" fontId="0" fillId="0" borderId="8" xfId="0" applyNumberFormat="1" applyFont="1" applyFill="1" applyBorder="1"/>
    <xf numFmtId="168" fontId="0" fillId="0" borderId="8" xfId="1" applyNumberFormat="1" applyFont="1" applyFill="1" applyBorder="1" applyAlignment="1">
      <alignment horizontal="center"/>
    </xf>
    <xf numFmtId="168" fontId="2" fillId="0" borderId="7" xfId="1" applyNumberFormat="1" applyFont="1" applyFill="1" applyBorder="1" applyAlignment="1">
      <alignment horizontal="center" wrapText="1"/>
    </xf>
    <xf numFmtId="170" fontId="2" fillId="3" borderId="8" xfId="3" applyNumberFormat="1" applyFont="1" applyFill="1" applyBorder="1" applyAlignment="1" applyProtection="1">
      <alignment horizontal="center"/>
      <protection locked="0"/>
    </xf>
    <xf numFmtId="10" fontId="2" fillId="3" borderId="27" xfId="3" applyNumberFormat="1" applyFont="1" applyFill="1" applyBorder="1" applyAlignment="1" applyProtection="1">
      <alignment horizontal="center"/>
      <protection locked="0"/>
    </xf>
    <xf numFmtId="14" fontId="0" fillId="3" borderId="14" xfId="0" applyNumberFormat="1" applyFont="1" applyFill="1" applyBorder="1" applyAlignment="1" applyProtection="1">
      <alignment horizontal="center" vertical="center"/>
      <protection locked="0"/>
    </xf>
    <xf numFmtId="164" fontId="2" fillId="3" borderId="15" xfId="1" applyNumberFormat="1" applyFont="1" applyFill="1" applyBorder="1" applyAlignment="1" applyProtection="1">
      <alignment horizontal="center" vertical="center"/>
      <protection locked="0"/>
    </xf>
    <xf numFmtId="171" fontId="2" fillId="3" borderId="8" xfId="2" applyNumberFormat="1" applyFont="1" applyFill="1" applyBorder="1" applyProtection="1">
      <protection locked="0"/>
    </xf>
    <xf numFmtId="168" fontId="0" fillId="3" borderId="8" xfId="1" applyNumberFormat="1" applyFont="1" applyFill="1" applyBorder="1" applyProtection="1">
      <protection locked="0"/>
    </xf>
    <xf numFmtId="168" fontId="2" fillId="3" borderId="7" xfId="1" applyNumberFormat="1" applyFont="1" applyFill="1" applyBorder="1" applyAlignment="1" applyProtection="1">
      <alignment wrapText="1"/>
      <protection locked="0"/>
    </xf>
    <xf numFmtId="0" fontId="0" fillId="3" borderId="30" xfId="0" applyFont="1" applyFill="1" applyBorder="1" applyProtection="1">
      <protection locked="0"/>
    </xf>
    <xf numFmtId="9" fontId="0" fillId="3" borderId="30" xfId="4" applyFont="1" applyFill="1" applyBorder="1" applyProtection="1">
      <protection locked="0"/>
    </xf>
    <xf numFmtId="168" fontId="10" fillId="3" borderId="16" xfId="1" applyNumberFormat="1" applyFont="1" applyFill="1" applyBorder="1" applyAlignment="1" applyProtection="1">
      <alignment horizontal="center" wrapText="1"/>
      <protection locked="0"/>
    </xf>
    <xf numFmtId="171" fontId="2" fillId="3" borderId="20" xfId="2" applyNumberFormat="1" applyFont="1" applyFill="1" applyBorder="1" applyProtection="1">
      <protection locked="0"/>
    </xf>
    <xf numFmtId="0" fontId="0" fillId="0" borderId="14" xfId="0" applyFont="1" applyFill="1" applyBorder="1" applyAlignment="1" applyProtection="1">
      <alignment horizontal="center" vertical="center"/>
    </xf>
    <xf numFmtId="168" fontId="10" fillId="3" borderId="46" xfId="1" applyNumberFormat="1" applyFont="1" applyFill="1" applyBorder="1" applyAlignment="1" applyProtection="1">
      <alignment horizontal="center" wrapText="1"/>
      <protection locked="0"/>
    </xf>
    <xf numFmtId="171" fontId="2" fillId="3" borderId="43" xfId="2" applyNumberFormat="1" applyFont="1" applyFill="1" applyBorder="1" applyProtection="1">
      <protection locked="0"/>
    </xf>
    <xf numFmtId="10" fontId="2" fillId="3" borderId="11" xfId="2" applyNumberFormat="1" applyFont="1" applyFill="1" applyBorder="1" applyProtection="1">
      <protection locked="0"/>
    </xf>
    <xf numFmtId="168" fontId="10" fillId="0" borderId="16" xfId="1" applyNumberFormat="1" applyFont="1" applyFill="1" applyBorder="1" applyAlignment="1" applyProtection="1">
      <alignment horizontal="center" wrapText="1"/>
    </xf>
    <xf numFmtId="0" fontId="4" fillId="2" borderId="2" xfId="0" applyFont="1" applyFill="1" applyBorder="1" applyAlignment="1">
      <alignment horizontal="center" vertical="center"/>
    </xf>
    <xf numFmtId="0" fontId="0" fillId="2" borderId="0" xfId="0" applyFont="1" applyFill="1" applyAlignment="1">
      <alignment wrapText="1"/>
    </xf>
    <xf numFmtId="0" fontId="0" fillId="12" borderId="0" xfId="0" applyFont="1" applyFill="1"/>
    <xf numFmtId="165" fontId="2" fillId="3" borderId="8" xfId="0" applyNumberFormat="1" applyFont="1" applyFill="1" applyBorder="1"/>
    <xf numFmtId="165" fontId="2" fillId="3" borderId="7" xfId="0" applyNumberFormat="1" applyFont="1" applyFill="1" applyBorder="1"/>
    <xf numFmtId="172" fontId="0" fillId="2" borderId="53" xfId="3" applyNumberFormat="1" applyFont="1" applyFill="1" applyBorder="1"/>
    <xf numFmtId="168" fontId="0" fillId="2" borderId="13" xfId="1" applyNumberFormat="1" applyFont="1" applyFill="1" applyBorder="1"/>
    <xf numFmtId="10" fontId="2" fillId="3" borderId="53" xfId="2" applyNumberFormat="1" applyFont="1" applyFill="1" applyBorder="1" applyProtection="1">
      <protection locked="0"/>
    </xf>
    <xf numFmtId="168" fontId="0" fillId="3" borderId="8" xfId="1" applyNumberFormat="1" applyFont="1" applyFill="1" applyBorder="1" applyAlignment="1" applyProtection="1">
      <alignment wrapText="1"/>
      <protection locked="0"/>
    </xf>
    <xf numFmtId="168" fontId="0" fillId="0" borderId="8" xfId="1" applyNumberFormat="1" applyFont="1" applyFill="1" applyBorder="1" applyAlignment="1">
      <alignment horizontal="center" wrapText="1"/>
    </xf>
    <xf numFmtId="168" fontId="0" fillId="0" borderId="8" xfId="1" applyNumberFormat="1" applyFont="1" applyFill="1" applyBorder="1" applyAlignment="1">
      <alignment wrapText="1"/>
    </xf>
    <xf numFmtId="9" fontId="0" fillId="0" borderId="0" xfId="4" applyFont="1"/>
    <xf numFmtId="174" fontId="0" fillId="0" borderId="0" xfId="4" applyNumberFormat="1" applyFont="1"/>
    <xf numFmtId="0" fontId="0" fillId="13" borderId="0" xfId="0" applyFill="1"/>
    <xf numFmtId="0" fontId="0" fillId="14" borderId="0" xfId="0" applyFont="1" applyFill="1"/>
    <xf numFmtId="168" fontId="0" fillId="14" borderId="0" xfId="1" applyNumberFormat="1" applyFont="1" applyFill="1"/>
    <xf numFmtId="0" fontId="18" fillId="0" borderId="0" xfId="0" applyFont="1" applyAlignment="1">
      <alignment horizontal="center"/>
    </xf>
    <xf numFmtId="0" fontId="19" fillId="0" borderId="0" xfId="0" applyFont="1" applyAlignment="1">
      <alignment wrapText="1"/>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0" xfId="0" applyFont="1" applyFill="1" applyAlignment="1">
      <alignment wrapText="1"/>
    </xf>
    <xf numFmtId="0" fontId="4" fillId="2" borderId="11"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2" borderId="28" xfId="0" applyFont="1" applyFill="1" applyBorder="1" applyAlignment="1">
      <alignment horizontal="center"/>
    </xf>
    <xf numFmtId="0" fontId="0" fillId="2" borderId="30" xfId="0" applyFont="1" applyFill="1" applyBorder="1" applyAlignment="1">
      <alignment horizont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49" fontId="4" fillId="3" borderId="40" xfId="0" applyNumberFormat="1" applyFont="1" applyFill="1" applyBorder="1" applyAlignment="1" applyProtection="1">
      <alignment horizontal="center" vertical="center"/>
      <protection locked="0"/>
    </xf>
    <xf numFmtId="49" fontId="4" fillId="3" borderId="39"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horizontal="center" vertical="center"/>
      <protection locked="0"/>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 fillId="0" borderId="24" xfId="7" applyFont="1" applyFill="1" applyBorder="1" applyAlignment="1">
      <alignment horizontal="center" vertical="center" wrapText="1"/>
    </xf>
    <xf numFmtId="0" fontId="1" fillId="0" borderId="22" xfId="7" applyFont="1" applyFill="1" applyBorder="1" applyAlignment="1">
      <alignment horizontal="center" vertical="center" wrapText="1"/>
    </xf>
    <xf numFmtId="9" fontId="1" fillId="0" borderId="25" xfId="7" applyNumberFormat="1" applyFont="1" applyFill="1" applyBorder="1" applyAlignment="1">
      <alignment horizontal="center" vertical="center"/>
    </xf>
    <xf numFmtId="9" fontId="1" fillId="0" borderId="23" xfId="7" applyNumberFormat="1" applyFont="1" applyFill="1" applyBorder="1" applyAlignment="1">
      <alignment horizontal="center" vertical="center"/>
    </xf>
    <xf numFmtId="0" fontId="0" fillId="0" borderId="0" xfId="0" applyAlignment="1">
      <alignment horizontal="center"/>
    </xf>
  </cellXfs>
  <cellStyles count="8">
    <cellStyle name="À‰" xfId="2"/>
    <cellStyle name="Comma" xfId="3" builtinId="3"/>
    <cellStyle name="Currency" xfId="1" builtinId="4"/>
    <cellStyle name="Hyperlink" xfId="5" builtinId="8"/>
    <cellStyle name="Normal" xfId="0" builtinId="0"/>
    <cellStyle name="Normal 3" xfId="7"/>
    <cellStyle name="Normal 51" xfId="6"/>
    <cellStyle name="Percent" xfId="4" builtinId="5"/>
  </cellStyles>
  <dxfs count="6">
    <dxf>
      <font>
        <b val="0"/>
        <i val="0"/>
        <strike val="0"/>
        <condense val="0"/>
        <extend val="0"/>
        <outline val="0"/>
        <shadow val="0"/>
        <u val="none"/>
        <vertAlign val="baseline"/>
        <sz val="10"/>
        <color theme="1"/>
        <name val="Arial"/>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vertAlign val="baseline"/>
        <sz val="12"/>
        <color theme="1"/>
        <name val="Arial"/>
        <scheme val="none"/>
      </font>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84666</xdr:colOff>
      <xdr:row>53</xdr:row>
      <xdr:rowOff>10583</xdr:rowOff>
    </xdr:from>
    <xdr:to>
      <xdr:col>9</xdr:col>
      <xdr:colOff>243413</xdr:colOff>
      <xdr:row>54</xdr:row>
      <xdr:rowOff>127000</xdr:rowOff>
    </xdr:to>
    <xdr:sp macro="" textlink="">
      <xdr:nvSpPr>
        <xdr:cNvPr id="2" name="Left Brace 1"/>
        <xdr:cNvSpPr/>
      </xdr:nvSpPr>
      <xdr:spPr>
        <a:xfrm flipH="1">
          <a:off x="5552016" y="9268883"/>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9</xdr:col>
      <xdr:colOff>84666</xdr:colOff>
      <xdr:row>53</xdr:row>
      <xdr:rowOff>10583</xdr:rowOff>
    </xdr:from>
    <xdr:to>
      <xdr:col>9</xdr:col>
      <xdr:colOff>243413</xdr:colOff>
      <xdr:row>54</xdr:row>
      <xdr:rowOff>127000</xdr:rowOff>
    </xdr:to>
    <xdr:sp macro="" textlink="">
      <xdr:nvSpPr>
        <xdr:cNvPr id="3" name="Left Brace 2"/>
        <xdr:cNvSpPr/>
      </xdr:nvSpPr>
      <xdr:spPr>
        <a:xfrm flipH="1">
          <a:off x="5552016" y="9268883"/>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11</xdr:col>
      <xdr:colOff>84666</xdr:colOff>
      <xdr:row>53</xdr:row>
      <xdr:rowOff>10583</xdr:rowOff>
    </xdr:from>
    <xdr:to>
      <xdr:col>11</xdr:col>
      <xdr:colOff>243413</xdr:colOff>
      <xdr:row>54</xdr:row>
      <xdr:rowOff>127000</xdr:rowOff>
    </xdr:to>
    <xdr:sp macro="" textlink="">
      <xdr:nvSpPr>
        <xdr:cNvPr id="4" name="Left Brace 3"/>
        <xdr:cNvSpPr/>
      </xdr:nvSpPr>
      <xdr:spPr>
        <a:xfrm flipH="1">
          <a:off x="7590366" y="9268883"/>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7</xdr:col>
      <xdr:colOff>666750</xdr:colOff>
      <xdr:row>53</xdr:row>
      <xdr:rowOff>0</xdr:rowOff>
    </xdr:from>
    <xdr:to>
      <xdr:col>7</xdr:col>
      <xdr:colOff>996949</xdr:colOff>
      <xdr:row>54</xdr:row>
      <xdr:rowOff>137583</xdr:rowOff>
    </xdr:to>
    <xdr:sp macro="" textlink="">
      <xdr:nvSpPr>
        <xdr:cNvPr id="5" name="Left Brace 4"/>
        <xdr:cNvSpPr/>
      </xdr:nvSpPr>
      <xdr:spPr>
        <a:xfrm>
          <a:off x="4124325" y="9258300"/>
          <a:ext cx="330199" cy="299508"/>
        </a:xfrm>
        <a:prstGeom prst="leftBrace">
          <a:avLst>
            <a:gd name="adj1" fmla="val 8333"/>
            <a:gd name="adj2" fmla="val 470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23</xdr:col>
      <xdr:colOff>11906</xdr:colOff>
      <xdr:row>6</xdr:row>
      <xdr:rowOff>59530</xdr:rowOff>
    </xdr:from>
    <xdr:to>
      <xdr:col>25</xdr:col>
      <xdr:colOff>11907</xdr:colOff>
      <xdr:row>6</xdr:row>
      <xdr:rowOff>202401</xdr:rowOff>
    </xdr:to>
    <xdr:sp macro="" textlink="">
      <xdr:nvSpPr>
        <xdr:cNvPr id="6" name="Right Brace 5"/>
        <xdr:cNvSpPr/>
      </xdr:nvSpPr>
      <xdr:spPr>
        <a:xfrm rot="16200000">
          <a:off x="18485646" y="273840"/>
          <a:ext cx="142871" cy="17716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1</xdr:col>
      <xdr:colOff>0</xdr:colOff>
      <xdr:row>1</xdr:row>
      <xdr:rowOff>0</xdr:rowOff>
    </xdr:from>
    <xdr:to>
      <xdr:col>4</xdr:col>
      <xdr:colOff>175895</xdr:colOff>
      <xdr:row>3</xdr:row>
      <xdr:rowOff>135890</xdr:rowOff>
    </xdr:to>
    <xdr:pic>
      <xdr:nvPicPr>
        <xdr:cNvPr id="7" name="Picture 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1925"/>
          <a:ext cx="1642745" cy="4692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84666</xdr:colOff>
      <xdr:row>53</xdr:row>
      <xdr:rowOff>10583</xdr:rowOff>
    </xdr:from>
    <xdr:to>
      <xdr:col>9</xdr:col>
      <xdr:colOff>243413</xdr:colOff>
      <xdr:row>54</xdr:row>
      <xdr:rowOff>127000</xdr:rowOff>
    </xdr:to>
    <xdr:sp macro="" textlink="">
      <xdr:nvSpPr>
        <xdr:cNvPr id="2" name="Left Brace 1"/>
        <xdr:cNvSpPr/>
      </xdr:nvSpPr>
      <xdr:spPr>
        <a:xfrm flipH="1">
          <a:off x="5552016" y="9278408"/>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9</xdr:col>
      <xdr:colOff>84666</xdr:colOff>
      <xdr:row>53</xdr:row>
      <xdr:rowOff>10583</xdr:rowOff>
    </xdr:from>
    <xdr:to>
      <xdr:col>9</xdr:col>
      <xdr:colOff>243413</xdr:colOff>
      <xdr:row>54</xdr:row>
      <xdr:rowOff>127000</xdr:rowOff>
    </xdr:to>
    <xdr:sp macro="" textlink="">
      <xdr:nvSpPr>
        <xdr:cNvPr id="3" name="Left Brace 2"/>
        <xdr:cNvSpPr/>
      </xdr:nvSpPr>
      <xdr:spPr>
        <a:xfrm flipH="1">
          <a:off x="5552016" y="9278408"/>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11</xdr:col>
      <xdr:colOff>84666</xdr:colOff>
      <xdr:row>53</xdr:row>
      <xdr:rowOff>10583</xdr:rowOff>
    </xdr:from>
    <xdr:to>
      <xdr:col>11</xdr:col>
      <xdr:colOff>243413</xdr:colOff>
      <xdr:row>54</xdr:row>
      <xdr:rowOff>127000</xdr:rowOff>
    </xdr:to>
    <xdr:sp macro="" textlink="">
      <xdr:nvSpPr>
        <xdr:cNvPr id="4" name="Left Brace 3"/>
        <xdr:cNvSpPr/>
      </xdr:nvSpPr>
      <xdr:spPr>
        <a:xfrm flipH="1">
          <a:off x="7590366" y="9278408"/>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7</xdr:col>
      <xdr:colOff>666750</xdr:colOff>
      <xdr:row>53</xdr:row>
      <xdr:rowOff>0</xdr:rowOff>
    </xdr:from>
    <xdr:to>
      <xdr:col>7</xdr:col>
      <xdr:colOff>996949</xdr:colOff>
      <xdr:row>54</xdr:row>
      <xdr:rowOff>137583</xdr:rowOff>
    </xdr:to>
    <xdr:sp macro="" textlink="">
      <xdr:nvSpPr>
        <xdr:cNvPr id="5" name="Left Brace 4"/>
        <xdr:cNvSpPr/>
      </xdr:nvSpPr>
      <xdr:spPr>
        <a:xfrm>
          <a:off x="4152900" y="9715500"/>
          <a:ext cx="330199" cy="309033"/>
        </a:xfrm>
        <a:prstGeom prst="leftBrace">
          <a:avLst>
            <a:gd name="adj1" fmla="val 8333"/>
            <a:gd name="adj2" fmla="val 470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23</xdr:col>
      <xdr:colOff>11906</xdr:colOff>
      <xdr:row>6</xdr:row>
      <xdr:rowOff>59530</xdr:rowOff>
    </xdr:from>
    <xdr:to>
      <xdr:col>25</xdr:col>
      <xdr:colOff>11907</xdr:colOff>
      <xdr:row>6</xdr:row>
      <xdr:rowOff>202401</xdr:rowOff>
    </xdr:to>
    <xdr:sp macro="" textlink="">
      <xdr:nvSpPr>
        <xdr:cNvPr id="6" name="Right Brace 5"/>
        <xdr:cNvSpPr/>
      </xdr:nvSpPr>
      <xdr:spPr>
        <a:xfrm rot="16200000">
          <a:off x="18472549" y="267888"/>
          <a:ext cx="142871" cy="177403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1</xdr:col>
      <xdr:colOff>0</xdr:colOff>
      <xdr:row>1</xdr:row>
      <xdr:rowOff>0</xdr:rowOff>
    </xdr:from>
    <xdr:to>
      <xdr:col>4</xdr:col>
      <xdr:colOff>175895</xdr:colOff>
      <xdr:row>3</xdr:row>
      <xdr:rowOff>135890</xdr:rowOff>
    </xdr:to>
    <xdr:pic>
      <xdr:nvPicPr>
        <xdr:cNvPr id="13" name="Picture 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6688"/>
          <a:ext cx="1652270" cy="4692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84666</xdr:colOff>
      <xdr:row>54</xdr:row>
      <xdr:rowOff>10583</xdr:rowOff>
    </xdr:from>
    <xdr:to>
      <xdr:col>11</xdr:col>
      <xdr:colOff>243413</xdr:colOff>
      <xdr:row>55</xdr:row>
      <xdr:rowOff>127000</xdr:rowOff>
    </xdr:to>
    <xdr:sp macro="" textlink="">
      <xdr:nvSpPr>
        <xdr:cNvPr id="2" name="Left Brace 1"/>
        <xdr:cNvSpPr/>
      </xdr:nvSpPr>
      <xdr:spPr>
        <a:xfrm flipH="1">
          <a:off x="7666566" y="9516533"/>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7</xdr:col>
      <xdr:colOff>666750</xdr:colOff>
      <xdr:row>54</xdr:row>
      <xdr:rowOff>0</xdr:rowOff>
    </xdr:from>
    <xdr:to>
      <xdr:col>7</xdr:col>
      <xdr:colOff>996949</xdr:colOff>
      <xdr:row>55</xdr:row>
      <xdr:rowOff>137583</xdr:rowOff>
    </xdr:to>
    <xdr:sp macro="" textlink="">
      <xdr:nvSpPr>
        <xdr:cNvPr id="3" name="Left Brace 2"/>
        <xdr:cNvSpPr/>
      </xdr:nvSpPr>
      <xdr:spPr>
        <a:xfrm>
          <a:off x="4200525" y="9505950"/>
          <a:ext cx="330199" cy="299508"/>
        </a:xfrm>
        <a:prstGeom prst="leftBrace">
          <a:avLst>
            <a:gd name="adj1" fmla="val 8333"/>
            <a:gd name="adj2" fmla="val 470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23</xdr:col>
      <xdr:colOff>11906</xdr:colOff>
      <xdr:row>6</xdr:row>
      <xdr:rowOff>59530</xdr:rowOff>
    </xdr:from>
    <xdr:to>
      <xdr:col>25</xdr:col>
      <xdr:colOff>11907</xdr:colOff>
      <xdr:row>6</xdr:row>
      <xdr:rowOff>202401</xdr:rowOff>
    </xdr:to>
    <xdr:sp macro="" textlink="">
      <xdr:nvSpPr>
        <xdr:cNvPr id="4" name="Right Brace 3"/>
        <xdr:cNvSpPr/>
      </xdr:nvSpPr>
      <xdr:spPr>
        <a:xfrm rot="16200000">
          <a:off x="18761871" y="273840"/>
          <a:ext cx="142871" cy="17716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1</xdr:col>
      <xdr:colOff>0</xdr:colOff>
      <xdr:row>1</xdr:row>
      <xdr:rowOff>0</xdr:rowOff>
    </xdr:from>
    <xdr:to>
      <xdr:col>4</xdr:col>
      <xdr:colOff>175895</xdr:colOff>
      <xdr:row>3</xdr:row>
      <xdr:rowOff>135890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1925"/>
          <a:ext cx="1642745" cy="46926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84666</xdr:colOff>
      <xdr:row>54</xdr:row>
      <xdr:rowOff>10583</xdr:rowOff>
    </xdr:from>
    <xdr:to>
      <xdr:col>11</xdr:col>
      <xdr:colOff>243413</xdr:colOff>
      <xdr:row>55</xdr:row>
      <xdr:rowOff>127000</xdr:rowOff>
    </xdr:to>
    <xdr:sp macro="" textlink="">
      <xdr:nvSpPr>
        <xdr:cNvPr id="4" name="Left Brace 3"/>
        <xdr:cNvSpPr/>
      </xdr:nvSpPr>
      <xdr:spPr>
        <a:xfrm flipH="1">
          <a:off x="7668947" y="713052"/>
          <a:ext cx="158747" cy="283104"/>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7</xdr:col>
      <xdr:colOff>666750</xdr:colOff>
      <xdr:row>54</xdr:row>
      <xdr:rowOff>0</xdr:rowOff>
    </xdr:from>
    <xdr:to>
      <xdr:col>7</xdr:col>
      <xdr:colOff>996949</xdr:colOff>
      <xdr:row>55</xdr:row>
      <xdr:rowOff>137583</xdr:rowOff>
    </xdr:to>
    <xdr:sp macro="" textlink="">
      <xdr:nvSpPr>
        <xdr:cNvPr id="5" name="Left Brace 4"/>
        <xdr:cNvSpPr/>
      </xdr:nvSpPr>
      <xdr:spPr>
        <a:xfrm>
          <a:off x="4214813" y="702469"/>
          <a:ext cx="330199" cy="304270"/>
        </a:xfrm>
        <a:prstGeom prst="leftBrace">
          <a:avLst>
            <a:gd name="adj1" fmla="val 8333"/>
            <a:gd name="adj2" fmla="val 470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23</xdr:col>
      <xdr:colOff>11906</xdr:colOff>
      <xdr:row>6</xdr:row>
      <xdr:rowOff>59530</xdr:rowOff>
    </xdr:from>
    <xdr:to>
      <xdr:col>25</xdr:col>
      <xdr:colOff>11907</xdr:colOff>
      <xdr:row>6</xdr:row>
      <xdr:rowOff>202401</xdr:rowOff>
    </xdr:to>
    <xdr:sp macro="" textlink="">
      <xdr:nvSpPr>
        <xdr:cNvPr id="7" name="Right Brace 6"/>
        <xdr:cNvSpPr/>
      </xdr:nvSpPr>
      <xdr:spPr>
        <a:xfrm rot="16200000">
          <a:off x="15256671" y="283365"/>
          <a:ext cx="142871" cy="17716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1</xdr:col>
      <xdr:colOff>0</xdr:colOff>
      <xdr:row>1</xdr:row>
      <xdr:rowOff>0</xdr:rowOff>
    </xdr:from>
    <xdr:to>
      <xdr:col>4</xdr:col>
      <xdr:colOff>175895</xdr:colOff>
      <xdr:row>3</xdr:row>
      <xdr:rowOff>135890</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6688"/>
          <a:ext cx="1652270" cy="4692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11906</xdr:colOff>
      <xdr:row>7</xdr:row>
      <xdr:rowOff>59530</xdr:rowOff>
    </xdr:from>
    <xdr:to>
      <xdr:col>9</xdr:col>
      <xdr:colOff>11907</xdr:colOff>
      <xdr:row>7</xdr:row>
      <xdr:rowOff>202401</xdr:rowOff>
    </xdr:to>
    <xdr:sp macro="" textlink="">
      <xdr:nvSpPr>
        <xdr:cNvPr id="2" name="Right Brace 1"/>
        <xdr:cNvSpPr/>
      </xdr:nvSpPr>
      <xdr:spPr>
        <a:xfrm rot="16200000">
          <a:off x="6288883" y="335753"/>
          <a:ext cx="142871" cy="1971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1</xdr:col>
      <xdr:colOff>0</xdr:colOff>
      <xdr:row>1</xdr:row>
      <xdr:rowOff>0</xdr:rowOff>
    </xdr:from>
    <xdr:to>
      <xdr:col>3</xdr:col>
      <xdr:colOff>711676</xdr:colOff>
      <xdr:row>3</xdr:row>
      <xdr:rowOff>135890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1925"/>
          <a:ext cx="1645126" cy="4597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11906</xdr:colOff>
      <xdr:row>7</xdr:row>
      <xdr:rowOff>59530</xdr:rowOff>
    </xdr:from>
    <xdr:to>
      <xdr:col>9</xdr:col>
      <xdr:colOff>11907</xdr:colOff>
      <xdr:row>7</xdr:row>
      <xdr:rowOff>202401</xdr:rowOff>
    </xdr:to>
    <xdr:sp macro="" textlink="">
      <xdr:nvSpPr>
        <xdr:cNvPr id="5" name="Right Brace 4"/>
        <xdr:cNvSpPr/>
      </xdr:nvSpPr>
      <xdr:spPr>
        <a:xfrm rot="16200000">
          <a:off x="11780046" y="454815"/>
          <a:ext cx="142871" cy="17716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1</xdr:col>
      <xdr:colOff>0</xdr:colOff>
      <xdr:row>1</xdr:row>
      <xdr:rowOff>0</xdr:rowOff>
    </xdr:from>
    <xdr:to>
      <xdr:col>3</xdr:col>
      <xdr:colOff>711676</xdr:colOff>
      <xdr:row>3</xdr:row>
      <xdr:rowOff>135890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6688"/>
          <a:ext cx="1652270" cy="46926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84666</xdr:colOff>
      <xdr:row>4</xdr:row>
      <xdr:rowOff>10583</xdr:rowOff>
    </xdr:from>
    <xdr:to>
      <xdr:col>10</xdr:col>
      <xdr:colOff>243413</xdr:colOff>
      <xdr:row>5</xdr:row>
      <xdr:rowOff>127000</xdr:rowOff>
    </xdr:to>
    <xdr:sp macro="" textlink="">
      <xdr:nvSpPr>
        <xdr:cNvPr id="2" name="Left Brace 1"/>
        <xdr:cNvSpPr/>
      </xdr:nvSpPr>
      <xdr:spPr>
        <a:xfrm flipH="1">
          <a:off x="7323666" y="696383"/>
          <a:ext cx="158747" cy="278342"/>
        </a:xfrm>
        <a:prstGeom prst="leftBrace">
          <a:avLst>
            <a:gd name="adj1" fmla="val 8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6</xdr:col>
      <xdr:colOff>666750</xdr:colOff>
      <xdr:row>4</xdr:row>
      <xdr:rowOff>0</xdr:rowOff>
    </xdr:from>
    <xdr:to>
      <xdr:col>6</xdr:col>
      <xdr:colOff>996949</xdr:colOff>
      <xdr:row>5</xdr:row>
      <xdr:rowOff>137583</xdr:rowOff>
    </xdr:to>
    <xdr:sp macro="" textlink="">
      <xdr:nvSpPr>
        <xdr:cNvPr id="3" name="Left Brace 2"/>
        <xdr:cNvSpPr/>
      </xdr:nvSpPr>
      <xdr:spPr>
        <a:xfrm>
          <a:off x="3857625" y="685800"/>
          <a:ext cx="330199" cy="299508"/>
        </a:xfrm>
        <a:prstGeom prst="leftBrace">
          <a:avLst>
            <a:gd name="adj1" fmla="val 8333"/>
            <a:gd name="adj2" fmla="val 470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editAs="oneCell">
    <xdr:from>
      <xdr:col>0</xdr:col>
      <xdr:colOff>130969</xdr:colOff>
      <xdr:row>1</xdr:row>
      <xdr:rowOff>11907</xdr:rowOff>
    </xdr:from>
    <xdr:to>
      <xdr:col>4</xdr:col>
      <xdr:colOff>163989</xdr:colOff>
      <xdr:row>3</xdr:row>
      <xdr:rowOff>112079</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178595"/>
          <a:ext cx="1652270" cy="4692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52917</xdr:colOff>
      <xdr:row>0</xdr:row>
      <xdr:rowOff>84667</xdr:rowOff>
    </xdr:from>
    <xdr:to>
      <xdr:col>2</xdr:col>
      <xdr:colOff>1091354</xdr:colOff>
      <xdr:row>3</xdr:row>
      <xdr:rowOff>77682</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917" y="84667"/>
          <a:ext cx="1652270" cy="469265"/>
        </a:xfrm>
        <a:prstGeom prst="rect">
          <a:avLst/>
        </a:prstGeom>
        <a:noFill/>
      </xdr:spPr>
    </xdr:pic>
    <xdr:clientData/>
  </xdr:twoCellAnchor>
</xdr:wsDr>
</file>

<file path=xl/tables/table1.xml><?xml version="1.0" encoding="utf-8"?>
<table xmlns="http://schemas.openxmlformats.org/spreadsheetml/2006/main" id="2" name="Table2" displayName="Table2" ref="B5:D46" totalsRowShown="0" headerRowDxfId="3">
  <tableColumns count="3">
    <tableColumn id="1" name="Year" dataDxfId="2"/>
    <tableColumn id="2" name="Long Term Bond Rate (LTBR)" dataDxfId="1" dataCellStyle="Percent"/>
    <tableColumn id="3" name="Rate of Return on Capital (RORC)" dataDxfId="0" dataCellStyle="Percent"/>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berta.ca/oil-sands-royalty-guidelines.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lberta.ca/oil-sands-royalty-guidelines.asp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lberta.ca/oil-sands-royalty-guidelines.asp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lberta.ca/oil-sands-royalty-guidelines.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lberta.ca/oil-sands-royalty-guidelines.aspx"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lberta.ca/oil-sands-royalty-guidelines.asp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lberta.ca/oil-sands-royalty-guidelines.aspx"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open.alberta.ca/publications/ltbr-and-return-allowance-rate" TargetMode="External"/><Relationship Id="rId1" Type="http://schemas.openxmlformats.org/officeDocument/2006/relationships/hyperlink" Target="https://www.alberta.ca/oil-sands-rates-of-return.aspx" TargetMode="External"/><Relationship Id="rId5" Type="http://schemas.openxmlformats.org/officeDocument/2006/relationships/table" Target="../tables/table1.x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56"/>
  <sheetViews>
    <sheetView tabSelected="1" zoomScale="80" zoomScaleNormal="80" zoomScaleSheetLayoutView="90" workbookViewId="0">
      <selection activeCell="H10" sqref="H10"/>
    </sheetView>
  </sheetViews>
  <sheetFormatPr defaultColWidth="9.109375" defaultRowHeight="13.2" x14ac:dyDescent="0.25"/>
  <cols>
    <col min="1" max="1" width="2.109375" style="281" customWidth="1"/>
    <col min="2" max="2" width="7.44140625" style="281" customWidth="1"/>
    <col min="3" max="3" width="6.5546875" style="281" customWidth="1"/>
    <col min="4" max="4" width="8" style="281" customWidth="1"/>
    <col min="5" max="5" width="9.88671875" style="281" customWidth="1"/>
    <col min="6" max="6" width="9.44140625" style="252" customWidth="1"/>
    <col min="7" max="7" width="8.44140625" style="252" customWidth="1"/>
    <col min="8" max="8" width="15.44140625" style="281" customWidth="1"/>
    <col min="9" max="9" width="14.6640625" style="281" customWidth="1"/>
    <col min="10" max="10" width="14.88671875" style="281" customWidth="1"/>
    <col min="11" max="11" width="15.6640625" style="281" customWidth="1"/>
    <col min="12" max="12" width="13.5546875" style="281" customWidth="1"/>
    <col min="13" max="14" width="14" style="281" customWidth="1"/>
    <col min="15" max="15" width="11.5546875" style="281" customWidth="1"/>
    <col min="16" max="16" width="12.33203125" style="281" bestFit="1" customWidth="1"/>
    <col min="17" max="17" width="13.44140625" style="281" bestFit="1" customWidth="1"/>
    <col min="18" max="18" width="11.33203125" style="281" customWidth="1"/>
    <col min="19" max="19" width="14.44140625" style="281" customWidth="1"/>
    <col min="20" max="20" width="12.5546875" style="281" bestFit="1" customWidth="1"/>
    <col min="21" max="21" width="13" style="264" bestFit="1" customWidth="1"/>
    <col min="22" max="22" width="9" style="379" customWidth="1"/>
    <col min="23" max="23" width="13.109375" style="264" customWidth="1"/>
    <col min="24" max="24" width="13.109375" style="281" customWidth="1"/>
    <col min="25" max="25" width="13.44140625" style="281" customWidth="1"/>
    <col min="26" max="26" width="5" style="281" customWidth="1"/>
    <col min="27" max="30" width="10" style="281" customWidth="1"/>
    <col min="31" max="32" width="10" style="252" customWidth="1"/>
    <col min="33" max="35" width="11.33203125" style="281" bestFit="1" customWidth="1"/>
    <col min="36" max="36" width="10" style="281" customWidth="1"/>
    <col min="37" max="37" width="15" style="281" customWidth="1"/>
    <col min="38" max="38" width="12.33203125" style="281" bestFit="1" customWidth="1"/>
    <col min="39" max="16384" width="9.109375" style="281"/>
  </cols>
  <sheetData>
    <row r="1" spans="1:38" x14ac:dyDescent="0.25">
      <c r="A1" s="256"/>
      <c r="B1" s="256"/>
      <c r="C1" s="256"/>
      <c r="D1" s="256"/>
      <c r="E1" s="256"/>
      <c r="F1" s="348"/>
      <c r="G1" s="348"/>
      <c r="H1" s="256"/>
      <c r="I1" s="348"/>
      <c r="J1" s="348"/>
      <c r="K1" s="348"/>
      <c r="L1" s="348"/>
      <c r="M1" s="383"/>
      <c r="N1" s="383"/>
      <c r="O1" s="383"/>
      <c r="P1" s="383"/>
      <c r="Q1" s="383"/>
      <c r="R1" s="383"/>
      <c r="S1" s="383"/>
      <c r="T1" s="383"/>
      <c r="U1" s="383"/>
      <c r="V1" s="384"/>
      <c r="W1" s="383" t="s">
        <v>80</v>
      </c>
      <c r="X1" s="383"/>
      <c r="Y1" s="383"/>
      <c r="Z1" s="383"/>
      <c r="AA1" s="325"/>
      <c r="AB1" s="325"/>
      <c r="AC1" s="325"/>
      <c r="AD1" s="325"/>
      <c r="AE1" s="320"/>
      <c r="AF1" s="320"/>
      <c r="AG1" s="325"/>
      <c r="AH1" s="325"/>
      <c r="AI1" s="325"/>
      <c r="AJ1" s="325"/>
      <c r="AK1" s="325"/>
    </row>
    <row r="3" spans="1:38" ht="13.8" thickBot="1" x14ac:dyDescent="0.3">
      <c r="F3" s="328" t="s">
        <v>60</v>
      </c>
      <c r="J3" s="252"/>
      <c r="K3" s="274"/>
    </row>
    <row r="4" spans="1:38" ht="14.25" customHeight="1" thickBot="1" x14ac:dyDescent="0.35">
      <c r="F4" s="439" t="s">
        <v>16</v>
      </c>
      <c r="G4" s="440"/>
      <c r="H4" s="441"/>
      <c r="I4" s="441"/>
      <c r="J4" s="403">
        <v>40544</v>
      </c>
      <c r="K4" s="397"/>
      <c r="L4" s="338" t="s">
        <v>98</v>
      </c>
    </row>
    <row r="5" spans="1:38" ht="14.25" customHeight="1" x14ac:dyDescent="0.25">
      <c r="F5" s="439" t="s">
        <v>26</v>
      </c>
      <c r="G5" s="440"/>
      <c r="H5" s="441"/>
      <c r="I5" s="441"/>
      <c r="J5" s="412">
        <f>DATE(YEAR(J4),12,31)-J4</f>
        <v>364</v>
      </c>
      <c r="K5" s="274"/>
    </row>
    <row r="6" spans="1:38" ht="13.8" thickBot="1" x14ac:dyDescent="0.3">
      <c r="B6" s="275"/>
      <c r="C6" s="265" t="s">
        <v>24</v>
      </c>
      <c r="F6" s="442" t="s">
        <v>25</v>
      </c>
      <c r="G6" s="443"/>
      <c r="H6" s="444"/>
      <c r="I6" s="444"/>
      <c r="J6" s="404"/>
      <c r="O6" s="256"/>
      <c r="X6" s="445" t="s">
        <v>81</v>
      </c>
      <c r="Y6" s="446"/>
    </row>
    <row r="7" spans="1:38" ht="21" customHeight="1" thickBot="1" x14ac:dyDescent="0.3">
      <c r="AA7" s="435" t="s">
        <v>35</v>
      </c>
      <c r="AB7" s="436"/>
      <c r="AC7" s="436"/>
      <c r="AD7" s="436"/>
      <c r="AE7" s="437"/>
      <c r="AF7" s="330"/>
      <c r="AG7" s="435" t="s">
        <v>30</v>
      </c>
      <c r="AH7" s="436"/>
      <c r="AI7" s="436"/>
      <c r="AJ7" s="436"/>
      <c r="AK7" s="437"/>
    </row>
    <row r="8" spans="1:38" s="265" customFormat="1" ht="53.4" thickBot="1" x14ac:dyDescent="0.3">
      <c r="B8" s="377" t="s">
        <v>97</v>
      </c>
      <c r="C8" s="378" t="s">
        <v>23</v>
      </c>
      <c r="D8" s="386" t="s">
        <v>19</v>
      </c>
      <c r="E8" s="387" t="s">
        <v>82</v>
      </c>
      <c r="F8" s="378" t="s">
        <v>59</v>
      </c>
      <c r="G8" s="378" t="s">
        <v>58</v>
      </c>
      <c r="H8" s="378" t="s">
        <v>13</v>
      </c>
      <c r="I8" s="378" t="s">
        <v>14</v>
      </c>
      <c r="J8" s="378" t="s">
        <v>7</v>
      </c>
      <c r="K8" s="378" t="s">
        <v>15</v>
      </c>
      <c r="L8" s="378" t="s">
        <v>17</v>
      </c>
      <c r="M8" s="378" t="s">
        <v>8</v>
      </c>
      <c r="N8" s="378" t="s">
        <v>9</v>
      </c>
      <c r="O8" s="378" t="s">
        <v>10</v>
      </c>
      <c r="P8" s="388" t="s">
        <v>78</v>
      </c>
      <c r="Q8" s="378" t="s">
        <v>77</v>
      </c>
      <c r="R8" s="378" t="s">
        <v>11</v>
      </c>
      <c r="S8" s="378" t="s">
        <v>49</v>
      </c>
      <c r="T8" s="283" t="s">
        <v>12</v>
      </c>
      <c r="U8" s="272" t="s">
        <v>89</v>
      </c>
      <c r="V8" s="272" t="s">
        <v>76</v>
      </c>
      <c r="W8" s="272" t="s">
        <v>79</v>
      </c>
      <c r="X8" s="272" t="s">
        <v>87</v>
      </c>
      <c r="Y8" s="291" t="s">
        <v>88</v>
      </c>
      <c r="AA8" s="410" t="s">
        <v>31</v>
      </c>
      <c r="AB8" s="410" t="s">
        <v>32</v>
      </c>
      <c r="AC8" s="410" t="s">
        <v>33</v>
      </c>
      <c r="AD8" s="272" t="s">
        <v>34</v>
      </c>
      <c r="AE8" s="291" t="s">
        <v>67</v>
      </c>
      <c r="AF8" s="331" t="s">
        <v>63</v>
      </c>
      <c r="AG8" s="290" t="str">
        <f>AA8</f>
        <v>OSR Project 1</v>
      </c>
      <c r="AH8" s="290" t="str">
        <f>AB8</f>
        <v>OSR Project 2</v>
      </c>
      <c r="AI8" s="290" t="str">
        <f>AC8</f>
        <v>OSR Project 3</v>
      </c>
      <c r="AJ8" s="272" t="s">
        <v>34</v>
      </c>
      <c r="AK8" s="378" t="s">
        <v>49</v>
      </c>
    </row>
    <row r="9" spans="1:38" ht="13.8" thickBot="1" x14ac:dyDescent="0.3">
      <c r="B9" s="396"/>
      <c r="C9" s="276"/>
      <c r="D9" s="279"/>
      <c r="E9" s="295"/>
      <c r="F9" s="277"/>
      <c r="G9" s="277"/>
      <c r="H9" s="277"/>
      <c r="I9" s="277"/>
      <c r="J9" s="277"/>
      <c r="K9" s="278"/>
      <c r="L9" s="277"/>
      <c r="M9" s="277"/>
      <c r="N9" s="277"/>
      <c r="O9" s="277"/>
      <c r="P9" s="277"/>
      <c r="Q9" s="277"/>
      <c r="R9" s="277"/>
      <c r="S9" s="277"/>
      <c r="T9" s="284"/>
      <c r="U9" s="288"/>
      <c r="V9" s="288"/>
      <c r="W9" s="288"/>
      <c r="X9" s="266"/>
      <c r="Y9" s="389"/>
      <c r="AA9" s="292"/>
      <c r="AB9" s="266"/>
      <c r="AC9" s="266"/>
      <c r="AD9" s="266"/>
      <c r="AE9" s="321"/>
      <c r="AF9" s="341"/>
      <c r="AG9" s="292"/>
      <c r="AH9" s="266"/>
      <c r="AI9" s="266"/>
      <c r="AJ9" s="266"/>
      <c r="AK9" s="342"/>
    </row>
    <row r="10" spans="1:38" x14ac:dyDescent="0.25">
      <c r="B10" s="390">
        <v>1</v>
      </c>
      <c r="C10" s="269">
        <f>YEAR(J4)</f>
        <v>2011</v>
      </c>
      <c r="D10" s="273">
        <f>IFERROR(VLOOKUP(C10,'LTBR &amp; RORC'!B$6:C$46,2,FALSE),"")</f>
        <v>3.2899999999999999E-2</v>
      </c>
      <c r="E10" s="401">
        <v>0</v>
      </c>
      <c r="F10" s="401">
        <v>0</v>
      </c>
      <c r="G10" s="402">
        <v>0.04</v>
      </c>
      <c r="H10" s="263">
        <f>J6</f>
        <v>0</v>
      </c>
      <c r="I10" s="263">
        <f>H10</f>
        <v>0</v>
      </c>
      <c r="J10" s="263">
        <f>(H10*G10)*J5/365</f>
        <v>0</v>
      </c>
      <c r="K10" s="263">
        <f t="shared" ref="K10:K36" si="0">I10-J10</f>
        <v>0</v>
      </c>
      <c r="L10" s="382">
        <f>IFERROR(((I10+K10)/2)*D10*J5/365,"")</f>
        <v>0</v>
      </c>
      <c r="M10" s="263">
        <f>IFERROR(L10+J10,"")</f>
        <v>0</v>
      </c>
      <c r="N10" s="381" t="str">
        <f t="shared" ref="N10:N36" si="1">IFERROR(IF(F10/E10&gt;0.75,M10/F10,M10/(E10*0.75))," ")</f>
        <v xml:space="preserve"> </v>
      </c>
      <c r="O10" s="405"/>
      <c r="P10" s="374">
        <f t="shared" ref="P10:P36" si="2">IF(V10="Yes",U10,0)</f>
        <v>0</v>
      </c>
      <c r="Q10" s="374">
        <f>IFERROR(O10+P10,"")</f>
        <v>0</v>
      </c>
      <c r="R10" s="374" t="str">
        <f>IFERROR(Q10/F10," ")</f>
        <v xml:space="preserve"> </v>
      </c>
      <c r="S10" s="374">
        <f>IFERROR(M10+Q10,"")</f>
        <v>0</v>
      </c>
      <c r="T10" s="285" t="str">
        <f t="shared" ref="T10:T36" si="3">IFERROR(N10+R10," ")</f>
        <v xml:space="preserve"> </v>
      </c>
      <c r="U10" s="425">
        <v>0</v>
      </c>
      <c r="V10" s="426" t="str">
        <f t="shared" ref="V10:V36" si="4">IF(U10&lt;(H10*0.1),"Yes","No")</f>
        <v>No</v>
      </c>
      <c r="W10" s="427">
        <f>IF(V10="No",U10,0)</f>
        <v>0</v>
      </c>
      <c r="X10" s="425">
        <v>0</v>
      </c>
      <c r="Y10" s="391"/>
      <c r="AA10" s="411"/>
      <c r="AB10" s="405"/>
      <c r="AC10" s="405"/>
      <c r="AD10" s="405"/>
      <c r="AE10" s="333">
        <f>SUM(AA10:AD10)</f>
        <v>0</v>
      </c>
      <c r="AF10" s="343" t="str">
        <f t="shared" ref="AF10:AF36" si="5">IF(F10=AE10,"Match","Error")</f>
        <v>Match</v>
      </c>
      <c r="AG10" s="339" t="str">
        <f t="shared" ref="AG10:AG36" si="6">IFERROR(AA10*T10," ")</f>
        <v xml:space="preserve"> </v>
      </c>
      <c r="AH10" s="340" t="str">
        <f t="shared" ref="AH10:AH36" si="7">IFERROR(AB10*T10," ")</f>
        <v xml:space="preserve"> </v>
      </c>
      <c r="AI10" s="340" t="str">
        <f t="shared" ref="AI10:AI36" si="8">IFERROR(AC10*T10," ")</f>
        <v xml:space="preserve"> </v>
      </c>
      <c r="AJ10" s="340" t="str">
        <f t="shared" ref="AJ10:AJ36" si="9">IFERROR(AD10*T10," ")</f>
        <v xml:space="preserve"> </v>
      </c>
      <c r="AK10" s="344">
        <f>SUM(AG10:AJ10)</f>
        <v>0</v>
      </c>
      <c r="AL10" s="280"/>
    </row>
    <row r="11" spans="1:38" x14ac:dyDescent="0.25">
      <c r="B11" s="392">
        <v>2</v>
      </c>
      <c r="C11" s="269">
        <f>C10+1</f>
        <v>2012</v>
      </c>
      <c r="D11" s="273">
        <f>IFERROR(VLOOKUP(C11,'LTBR &amp; RORC'!B$6:C$46,2,FALSE),"")</f>
        <v>2.4300000000000002E-2</v>
      </c>
      <c r="E11" s="401">
        <v>0</v>
      </c>
      <c r="F11" s="401">
        <v>0</v>
      </c>
      <c r="G11" s="402">
        <v>0.04</v>
      </c>
      <c r="H11" s="262">
        <f>H10+W10+X10</f>
        <v>0</v>
      </c>
      <c r="I11" s="262">
        <f>K10+W10+Y10</f>
        <v>0</v>
      </c>
      <c r="J11" s="262">
        <f t="shared" ref="J11:J36" si="10">IF((H11*G11)&gt;I11,I11,(H11*G11))</f>
        <v>0</v>
      </c>
      <c r="K11" s="262">
        <f t="shared" si="0"/>
        <v>0</v>
      </c>
      <c r="L11" s="262">
        <f>IFERROR(((I11+K11)/2)*D11,"")</f>
        <v>0</v>
      </c>
      <c r="M11" s="263">
        <f t="shared" ref="M11:M36" si="11">IFERROR(L11+J11,"")</f>
        <v>0</v>
      </c>
      <c r="N11" s="381" t="str">
        <f t="shared" si="1"/>
        <v xml:space="preserve"> </v>
      </c>
      <c r="O11" s="405"/>
      <c r="P11" s="375">
        <f t="shared" si="2"/>
        <v>0</v>
      </c>
      <c r="Q11" s="375">
        <f t="shared" ref="Q11:Q36" si="12">IFERROR(O11+P11,"")</f>
        <v>0</v>
      </c>
      <c r="R11" s="375" t="str">
        <f t="shared" ref="R11:R36" si="13">IFERROR(Q11/F11," ")</f>
        <v xml:space="preserve"> </v>
      </c>
      <c r="S11" s="375">
        <f t="shared" ref="S11:S36" si="14">IFERROR(M11+Q11,"")</f>
        <v>0</v>
      </c>
      <c r="T11" s="285" t="str">
        <f t="shared" si="3"/>
        <v xml:space="preserve"> </v>
      </c>
      <c r="U11" s="425">
        <v>0</v>
      </c>
      <c r="V11" s="426" t="str">
        <f t="shared" si="4"/>
        <v>No</v>
      </c>
      <c r="W11" s="427">
        <f t="shared" ref="W11:W36" si="15">IF(V11="No",U11,0)</f>
        <v>0</v>
      </c>
      <c r="X11" s="425">
        <v>0</v>
      </c>
      <c r="Y11" s="391"/>
      <c r="AA11" s="411"/>
      <c r="AB11" s="405"/>
      <c r="AC11" s="405"/>
      <c r="AD11" s="405"/>
      <c r="AE11" s="333">
        <f t="shared" ref="AE11:AE36" si="16">SUM(AA11:AD11)</f>
        <v>0</v>
      </c>
      <c r="AF11" s="345" t="str">
        <f t="shared" si="5"/>
        <v>Match</v>
      </c>
      <c r="AG11" s="294" t="str">
        <f t="shared" si="6"/>
        <v xml:space="preserve"> </v>
      </c>
      <c r="AH11" s="289" t="str">
        <f t="shared" si="7"/>
        <v xml:space="preserve"> </v>
      </c>
      <c r="AI11" s="289" t="str">
        <f t="shared" si="8"/>
        <v xml:space="preserve"> </v>
      </c>
      <c r="AJ11" s="289" t="str">
        <f t="shared" si="9"/>
        <v xml:space="preserve"> </v>
      </c>
      <c r="AK11" s="346">
        <f t="shared" ref="AK11:AK36" si="17">SUM(AG11:AJ11)</f>
        <v>0</v>
      </c>
      <c r="AL11" s="280"/>
    </row>
    <row r="12" spans="1:38" x14ac:dyDescent="0.25">
      <c r="B12" s="392">
        <v>3</v>
      </c>
      <c r="C12" s="269">
        <f t="shared" ref="C12:C36" si="18">C11+1</f>
        <v>2013</v>
      </c>
      <c r="D12" s="273">
        <f>IFERROR(VLOOKUP(C12,'LTBR &amp; RORC'!B$6:C$46,2,FALSE),"")</f>
        <v>2.8400000000000002E-2</v>
      </c>
      <c r="E12" s="401">
        <v>0</v>
      </c>
      <c r="F12" s="401">
        <v>0</v>
      </c>
      <c r="G12" s="402">
        <v>0.04</v>
      </c>
      <c r="H12" s="267">
        <f t="shared" ref="H12:H36" si="19">H11+W11+X11</f>
        <v>0</v>
      </c>
      <c r="I12" s="267">
        <f t="shared" ref="I12:I36" si="20">K11+W11+Y11</f>
        <v>0</v>
      </c>
      <c r="J12" s="267">
        <f t="shared" si="10"/>
        <v>0</v>
      </c>
      <c r="K12" s="267">
        <f t="shared" si="0"/>
        <v>0</v>
      </c>
      <c r="L12" s="262">
        <f t="shared" ref="L12:L36" si="21">IFERROR(((I12+K12)/2)*D12,"")</f>
        <v>0</v>
      </c>
      <c r="M12" s="268">
        <f t="shared" si="11"/>
        <v>0</v>
      </c>
      <c r="N12" s="381" t="str">
        <f t="shared" si="1"/>
        <v xml:space="preserve"> </v>
      </c>
      <c r="O12" s="405"/>
      <c r="P12" s="376">
        <f t="shared" si="2"/>
        <v>0</v>
      </c>
      <c r="Q12" s="376">
        <f t="shared" si="12"/>
        <v>0</v>
      </c>
      <c r="R12" s="376" t="str">
        <f t="shared" si="13"/>
        <v xml:space="preserve"> </v>
      </c>
      <c r="S12" s="376">
        <f t="shared" si="14"/>
        <v>0</v>
      </c>
      <c r="T12" s="285" t="str">
        <f t="shared" si="3"/>
        <v xml:space="preserve"> </v>
      </c>
      <c r="U12" s="425">
        <v>0</v>
      </c>
      <c r="V12" s="426" t="str">
        <f t="shared" si="4"/>
        <v>No</v>
      </c>
      <c r="W12" s="427">
        <f t="shared" si="15"/>
        <v>0</v>
      </c>
      <c r="X12" s="425">
        <v>0</v>
      </c>
      <c r="Y12" s="391"/>
      <c r="AA12" s="411"/>
      <c r="AB12" s="405"/>
      <c r="AC12" s="405"/>
      <c r="AD12" s="405"/>
      <c r="AE12" s="333">
        <f t="shared" si="16"/>
        <v>0</v>
      </c>
      <c r="AF12" s="345" t="str">
        <f t="shared" si="5"/>
        <v>Match</v>
      </c>
      <c r="AG12" s="294" t="str">
        <f t="shared" si="6"/>
        <v xml:space="preserve"> </v>
      </c>
      <c r="AH12" s="289" t="str">
        <f t="shared" si="7"/>
        <v xml:space="preserve"> </v>
      </c>
      <c r="AI12" s="289" t="str">
        <f t="shared" si="8"/>
        <v xml:space="preserve"> </v>
      </c>
      <c r="AJ12" s="289" t="str">
        <f t="shared" si="9"/>
        <v xml:space="preserve"> </v>
      </c>
      <c r="AK12" s="346">
        <f t="shared" si="17"/>
        <v>0</v>
      </c>
      <c r="AL12" s="280"/>
    </row>
    <row r="13" spans="1:38" x14ac:dyDescent="0.25">
      <c r="B13" s="392">
        <v>4</v>
      </c>
      <c r="C13" s="269">
        <f t="shared" si="18"/>
        <v>2014</v>
      </c>
      <c r="D13" s="273">
        <f>IFERROR(VLOOKUP(C13,'LTBR &amp; RORC'!B$6:C$46,2,FALSE),"")</f>
        <v>2.7300000000000001E-2</v>
      </c>
      <c r="E13" s="401">
        <v>0</v>
      </c>
      <c r="F13" s="401">
        <v>0</v>
      </c>
      <c r="G13" s="402">
        <v>0.04</v>
      </c>
      <c r="H13" s="262">
        <f t="shared" si="19"/>
        <v>0</v>
      </c>
      <c r="I13" s="262">
        <f t="shared" si="20"/>
        <v>0</v>
      </c>
      <c r="J13" s="262">
        <f t="shared" si="10"/>
        <v>0</v>
      </c>
      <c r="K13" s="262">
        <f t="shared" si="0"/>
        <v>0</v>
      </c>
      <c r="L13" s="262">
        <f t="shared" si="21"/>
        <v>0</v>
      </c>
      <c r="M13" s="263">
        <f t="shared" si="11"/>
        <v>0</v>
      </c>
      <c r="N13" s="381" t="str">
        <f t="shared" si="1"/>
        <v xml:space="preserve"> </v>
      </c>
      <c r="O13" s="405"/>
      <c r="P13" s="375">
        <f t="shared" si="2"/>
        <v>0</v>
      </c>
      <c r="Q13" s="375">
        <f t="shared" si="12"/>
        <v>0</v>
      </c>
      <c r="R13" s="375" t="str">
        <f t="shared" si="13"/>
        <v xml:space="preserve"> </v>
      </c>
      <c r="S13" s="375">
        <f t="shared" si="14"/>
        <v>0</v>
      </c>
      <c r="T13" s="285" t="str">
        <f t="shared" si="3"/>
        <v xml:space="preserve"> </v>
      </c>
      <c r="U13" s="425">
        <v>0</v>
      </c>
      <c r="V13" s="426" t="str">
        <f t="shared" si="4"/>
        <v>No</v>
      </c>
      <c r="W13" s="427">
        <f t="shared" si="15"/>
        <v>0</v>
      </c>
      <c r="X13" s="425">
        <v>0</v>
      </c>
      <c r="Y13" s="391"/>
      <c r="AA13" s="411"/>
      <c r="AB13" s="405"/>
      <c r="AC13" s="405"/>
      <c r="AD13" s="405"/>
      <c r="AE13" s="333">
        <f t="shared" si="16"/>
        <v>0</v>
      </c>
      <c r="AF13" s="345" t="str">
        <f t="shared" si="5"/>
        <v>Match</v>
      </c>
      <c r="AG13" s="294" t="str">
        <f t="shared" si="6"/>
        <v xml:space="preserve"> </v>
      </c>
      <c r="AH13" s="289" t="str">
        <f t="shared" si="7"/>
        <v xml:space="preserve"> </v>
      </c>
      <c r="AI13" s="289" t="str">
        <f t="shared" si="8"/>
        <v xml:space="preserve"> </v>
      </c>
      <c r="AJ13" s="289" t="str">
        <f t="shared" si="9"/>
        <v xml:space="preserve"> </v>
      </c>
      <c r="AK13" s="346">
        <f t="shared" si="17"/>
        <v>0</v>
      </c>
      <c r="AL13" s="280"/>
    </row>
    <row r="14" spans="1:38" x14ac:dyDescent="0.25">
      <c r="B14" s="392">
        <v>5</v>
      </c>
      <c r="C14" s="269">
        <f t="shared" si="18"/>
        <v>2015</v>
      </c>
      <c r="D14" s="398">
        <f>IFERROR(VLOOKUP(C14,'LTBR &amp; RORC'!B$6:C$46,2,FALSE),"")</f>
        <v>2.1700000000000001E-2</v>
      </c>
      <c r="E14" s="401">
        <v>0</v>
      </c>
      <c r="F14" s="401">
        <v>0</v>
      </c>
      <c r="G14" s="402">
        <v>0.04</v>
      </c>
      <c r="H14" s="262">
        <f t="shared" si="19"/>
        <v>0</v>
      </c>
      <c r="I14" s="262">
        <f t="shared" si="20"/>
        <v>0</v>
      </c>
      <c r="J14" s="262">
        <f t="shared" si="10"/>
        <v>0</v>
      </c>
      <c r="K14" s="262">
        <f t="shared" si="0"/>
        <v>0</v>
      </c>
      <c r="L14" s="262">
        <f t="shared" si="21"/>
        <v>0</v>
      </c>
      <c r="M14" s="263">
        <f t="shared" si="11"/>
        <v>0</v>
      </c>
      <c r="N14" s="381" t="str">
        <f t="shared" si="1"/>
        <v xml:space="preserve"> </v>
      </c>
      <c r="O14" s="405"/>
      <c r="P14" s="375">
        <f t="shared" si="2"/>
        <v>0</v>
      </c>
      <c r="Q14" s="375">
        <f t="shared" si="12"/>
        <v>0</v>
      </c>
      <c r="R14" s="375" t="str">
        <f t="shared" si="13"/>
        <v xml:space="preserve"> </v>
      </c>
      <c r="S14" s="375">
        <f t="shared" si="14"/>
        <v>0</v>
      </c>
      <c r="T14" s="285" t="str">
        <f t="shared" si="3"/>
        <v xml:space="preserve"> </v>
      </c>
      <c r="U14" s="425">
        <v>0</v>
      </c>
      <c r="V14" s="426" t="str">
        <f t="shared" si="4"/>
        <v>No</v>
      </c>
      <c r="W14" s="427">
        <f t="shared" si="15"/>
        <v>0</v>
      </c>
      <c r="X14" s="425">
        <v>0</v>
      </c>
      <c r="Y14" s="391"/>
      <c r="AA14" s="411"/>
      <c r="AB14" s="405"/>
      <c r="AC14" s="405"/>
      <c r="AD14" s="405"/>
      <c r="AE14" s="333">
        <f t="shared" si="16"/>
        <v>0</v>
      </c>
      <c r="AF14" s="345" t="str">
        <f t="shared" si="5"/>
        <v>Match</v>
      </c>
      <c r="AG14" s="294" t="str">
        <f t="shared" si="6"/>
        <v xml:space="preserve"> </v>
      </c>
      <c r="AH14" s="289" t="str">
        <f t="shared" si="7"/>
        <v xml:space="preserve"> </v>
      </c>
      <c r="AI14" s="289" t="str">
        <f t="shared" si="8"/>
        <v xml:space="preserve"> </v>
      </c>
      <c r="AJ14" s="289" t="str">
        <f t="shared" si="9"/>
        <v xml:space="preserve"> </v>
      </c>
      <c r="AK14" s="346">
        <f t="shared" si="17"/>
        <v>0</v>
      </c>
      <c r="AL14" s="280"/>
    </row>
    <row r="15" spans="1:38" x14ac:dyDescent="0.25">
      <c r="B15" s="392">
        <v>6</v>
      </c>
      <c r="C15" s="269">
        <f t="shared" si="18"/>
        <v>2016</v>
      </c>
      <c r="D15" s="398">
        <f>IFERROR(VLOOKUP(C15,'LTBR &amp; RORC'!B$6:C$46,2,FALSE),"")</f>
        <v>1.9199999999999998E-2</v>
      </c>
      <c r="E15" s="401">
        <v>0</v>
      </c>
      <c r="F15" s="401">
        <v>0</v>
      </c>
      <c r="G15" s="402">
        <v>0.04</v>
      </c>
      <c r="H15" s="262">
        <f t="shared" si="19"/>
        <v>0</v>
      </c>
      <c r="I15" s="262">
        <f t="shared" si="20"/>
        <v>0</v>
      </c>
      <c r="J15" s="262">
        <f t="shared" si="10"/>
        <v>0</v>
      </c>
      <c r="K15" s="262">
        <f t="shared" si="0"/>
        <v>0</v>
      </c>
      <c r="L15" s="262">
        <f t="shared" si="21"/>
        <v>0</v>
      </c>
      <c r="M15" s="263">
        <f t="shared" si="11"/>
        <v>0</v>
      </c>
      <c r="N15" s="381" t="str">
        <f t="shared" si="1"/>
        <v xml:space="preserve"> </v>
      </c>
      <c r="O15" s="405"/>
      <c r="P15" s="375">
        <f t="shared" si="2"/>
        <v>0</v>
      </c>
      <c r="Q15" s="375">
        <f t="shared" si="12"/>
        <v>0</v>
      </c>
      <c r="R15" s="375" t="str">
        <f t="shared" si="13"/>
        <v xml:space="preserve"> </v>
      </c>
      <c r="S15" s="375">
        <f t="shared" si="14"/>
        <v>0</v>
      </c>
      <c r="T15" s="285" t="str">
        <f t="shared" si="3"/>
        <v xml:space="preserve"> </v>
      </c>
      <c r="U15" s="425">
        <v>0</v>
      </c>
      <c r="V15" s="426" t="str">
        <f t="shared" si="4"/>
        <v>No</v>
      </c>
      <c r="W15" s="427">
        <f t="shared" si="15"/>
        <v>0</v>
      </c>
      <c r="X15" s="425">
        <v>0</v>
      </c>
      <c r="Y15" s="391"/>
      <c r="AA15" s="411"/>
      <c r="AB15" s="405"/>
      <c r="AC15" s="405"/>
      <c r="AD15" s="405"/>
      <c r="AE15" s="333">
        <f t="shared" si="16"/>
        <v>0</v>
      </c>
      <c r="AF15" s="345" t="str">
        <f t="shared" si="5"/>
        <v>Match</v>
      </c>
      <c r="AG15" s="294" t="str">
        <f t="shared" si="6"/>
        <v xml:space="preserve"> </v>
      </c>
      <c r="AH15" s="289" t="str">
        <f t="shared" si="7"/>
        <v xml:space="preserve"> </v>
      </c>
      <c r="AI15" s="289" t="str">
        <f t="shared" si="8"/>
        <v xml:space="preserve"> </v>
      </c>
      <c r="AJ15" s="289" t="str">
        <f t="shared" si="9"/>
        <v xml:space="preserve"> </v>
      </c>
      <c r="AK15" s="346">
        <f t="shared" si="17"/>
        <v>0</v>
      </c>
      <c r="AL15" s="280"/>
    </row>
    <row r="16" spans="1:38" x14ac:dyDescent="0.25">
      <c r="B16" s="392">
        <v>7</v>
      </c>
      <c r="C16" s="269">
        <f t="shared" si="18"/>
        <v>2017</v>
      </c>
      <c r="D16" s="398">
        <f>IFERROR(VLOOKUP(C16,'LTBR &amp; RORC'!B$6:C$46,2,FALSE),"")</f>
        <v>2.2800000000000001E-2</v>
      </c>
      <c r="E16" s="401">
        <v>0</v>
      </c>
      <c r="F16" s="401">
        <v>0</v>
      </c>
      <c r="G16" s="402">
        <v>0.04</v>
      </c>
      <c r="H16" s="262">
        <f t="shared" si="19"/>
        <v>0</v>
      </c>
      <c r="I16" s="262">
        <f t="shared" si="20"/>
        <v>0</v>
      </c>
      <c r="J16" s="262">
        <f t="shared" si="10"/>
        <v>0</v>
      </c>
      <c r="K16" s="262">
        <f t="shared" si="0"/>
        <v>0</v>
      </c>
      <c r="L16" s="262">
        <f t="shared" si="21"/>
        <v>0</v>
      </c>
      <c r="M16" s="263">
        <f t="shared" si="11"/>
        <v>0</v>
      </c>
      <c r="N16" s="381" t="str">
        <f t="shared" si="1"/>
        <v xml:space="preserve"> </v>
      </c>
      <c r="O16" s="405"/>
      <c r="P16" s="375">
        <f t="shared" si="2"/>
        <v>0</v>
      </c>
      <c r="Q16" s="375">
        <f t="shared" si="12"/>
        <v>0</v>
      </c>
      <c r="R16" s="375" t="str">
        <f t="shared" si="13"/>
        <v xml:space="preserve"> </v>
      </c>
      <c r="S16" s="375">
        <f t="shared" si="14"/>
        <v>0</v>
      </c>
      <c r="T16" s="285" t="str">
        <f t="shared" si="3"/>
        <v xml:space="preserve"> </v>
      </c>
      <c r="U16" s="425">
        <v>0</v>
      </c>
      <c r="V16" s="400" t="str">
        <f t="shared" si="4"/>
        <v>No</v>
      </c>
      <c r="W16" s="244">
        <f t="shared" si="15"/>
        <v>0</v>
      </c>
      <c r="X16" s="407">
        <v>0</v>
      </c>
      <c r="Y16" s="391"/>
      <c r="AA16" s="411"/>
      <c r="AB16" s="405"/>
      <c r="AC16" s="405"/>
      <c r="AD16" s="405"/>
      <c r="AE16" s="333">
        <f t="shared" si="16"/>
        <v>0</v>
      </c>
      <c r="AF16" s="345" t="str">
        <f t="shared" si="5"/>
        <v>Match</v>
      </c>
      <c r="AG16" s="294" t="str">
        <f t="shared" si="6"/>
        <v xml:space="preserve"> </v>
      </c>
      <c r="AH16" s="289" t="str">
        <f t="shared" si="7"/>
        <v xml:space="preserve"> </v>
      </c>
      <c r="AI16" s="289" t="str">
        <f t="shared" si="8"/>
        <v xml:space="preserve"> </v>
      </c>
      <c r="AJ16" s="289" t="str">
        <f t="shared" si="9"/>
        <v xml:space="preserve"> </v>
      </c>
      <c r="AK16" s="346">
        <f t="shared" si="17"/>
        <v>0</v>
      </c>
      <c r="AL16" s="280"/>
    </row>
    <row r="17" spans="2:38" x14ac:dyDescent="0.25">
      <c r="B17" s="392">
        <v>8</v>
      </c>
      <c r="C17" s="269">
        <f t="shared" si="18"/>
        <v>2018</v>
      </c>
      <c r="D17" s="398">
        <f>IFERROR(VLOOKUP(C17,'LTBR &amp; RORC'!B$6:C$46,2,FALSE),"")</f>
        <v>2.3300000000000001E-2</v>
      </c>
      <c r="E17" s="401">
        <v>0</v>
      </c>
      <c r="F17" s="401">
        <v>0</v>
      </c>
      <c r="G17" s="402">
        <v>0.04</v>
      </c>
      <c r="H17" s="262">
        <f t="shared" si="19"/>
        <v>0</v>
      </c>
      <c r="I17" s="262">
        <f t="shared" si="20"/>
        <v>0</v>
      </c>
      <c r="J17" s="262">
        <f t="shared" si="10"/>
        <v>0</v>
      </c>
      <c r="K17" s="262">
        <f t="shared" si="0"/>
        <v>0</v>
      </c>
      <c r="L17" s="262">
        <f t="shared" si="21"/>
        <v>0</v>
      </c>
      <c r="M17" s="263">
        <f t="shared" si="11"/>
        <v>0</v>
      </c>
      <c r="N17" s="381" t="str">
        <f t="shared" si="1"/>
        <v xml:space="preserve"> </v>
      </c>
      <c r="O17" s="405"/>
      <c r="P17" s="375">
        <f t="shared" si="2"/>
        <v>0</v>
      </c>
      <c r="Q17" s="375">
        <f t="shared" si="12"/>
        <v>0</v>
      </c>
      <c r="R17" s="375" t="str">
        <f t="shared" si="13"/>
        <v xml:space="preserve"> </v>
      </c>
      <c r="S17" s="375">
        <f t="shared" si="14"/>
        <v>0</v>
      </c>
      <c r="T17" s="285" t="str">
        <f t="shared" si="3"/>
        <v xml:space="preserve"> </v>
      </c>
      <c r="U17" s="407">
        <v>0</v>
      </c>
      <c r="V17" s="400" t="str">
        <f t="shared" si="4"/>
        <v>No</v>
      </c>
      <c r="W17" s="244">
        <f t="shared" si="15"/>
        <v>0</v>
      </c>
      <c r="X17" s="407">
        <v>0</v>
      </c>
      <c r="Y17" s="391"/>
      <c r="AA17" s="411"/>
      <c r="AB17" s="405"/>
      <c r="AC17" s="405"/>
      <c r="AD17" s="405"/>
      <c r="AE17" s="333">
        <f t="shared" si="16"/>
        <v>0</v>
      </c>
      <c r="AF17" s="345" t="str">
        <f t="shared" si="5"/>
        <v>Match</v>
      </c>
      <c r="AG17" s="294" t="str">
        <f t="shared" si="6"/>
        <v xml:space="preserve"> </v>
      </c>
      <c r="AH17" s="289" t="str">
        <f t="shared" si="7"/>
        <v xml:space="preserve"> </v>
      </c>
      <c r="AI17" s="289" t="str">
        <f t="shared" si="8"/>
        <v xml:space="preserve"> </v>
      </c>
      <c r="AJ17" s="289" t="str">
        <f t="shared" si="9"/>
        <v xml:space="preserve"> </v>
      </c>
      <c r="AK17" s="346">
        <f t="shared" si="17"/>
        <v>0</v>
      </c>
      <c r="AL17" s="280"/>
    </row>
    <row r="18" spans="2:38" x14ac:dyDescent="0.25">
      <c r="B18" s="392">
        <v>9</v>
      </c>
      <c r="C18" s="269">
        <f t="shared" si="18"/>
        <v>2019</v>
      </c>
      <c r="D18" s="398">
        <f>IFERROR(VLOOKUP(C18,'LTBR &amp; RORC'!B$6:C$46,2,FALSE),"")</f>
        <v>1.77E-2</v>
      </c>
      <c r="E18" s="401">
        <v>0</v>
      </c>
      <c r="F18" s="401">
        <v>0</v>
      </c>
      <c r="G18" s="402">
        <v>0.04</v>
      </c>
      <c r="H18" s="262">
        <f t="shared" si="19"/>
        <v>0</v>
      </c>
      <c r="I18" s="262">
        <f t="shared" si="20"/>
        <v>0</v>
      </c>
      <c r="J18" s="262">
        <f t="shared" si="10"/>
        <v>0</v>
      </c>
      <c r="K18" s="262">
        <f t="shared" si="0"/>
        <v>0</v>
      </c>
      <c r="L18" s="262">
        <f t="shared" si="21"/>
        <v>0</v>
      </c>
      <c r="M18" s="263">
        <f t="shared" si="11"/>
        <v>0</v>
      </c>
      <c r="N18" s="381" t="str">
        <f t="shared" si="1"/>
        <v xml:space="preserve"> </v>
      </c>
      <c r="O18" s="405"/>
      <c r="P18" s="375">
        <f t="shared" si="2"/>
        <v>0</v>
      </c>
      <c r="Q18" s="375">
        <f t="shared" si="12"/>
        <v>0</v>
      </c>
      <c r="R18" s="375" t="str">
        <f t="shared" si="13"/>
        <v xml:space="preserve"> </v>
      </c>
      <c r="S18" s="375">
        <f t="shared" si="14"/>
        <v>0</v>
      </c>
      <c r="T18" s="285" t="str">
        <f t="shared" si="3"/>
        <v xml:space="preserve"> </v>
      </c>
      <c r="U18" s="407">
        <v>0</v>
      </c>
      <c r="V18" s="400" t="str">
        <f t="shared" si="4"/>
        <v>No</v>
      </c>
      <c r="W18" s="244">
        <f t="shared" si="15"/>
        <v>0</v>
      </c>
      <c r="X18" s="407">
        <v>0</v>
      </c>
      <c r="Y18" s="391"/>
      <c r="AA18" s="411"/>
      <c r="AB18" s="405"/>
      <c r="AC18" s="405"/>
      <c r="AD18" s="405"/>
      <c r="AE18" s="333">
        <f t="shared" si="16"/>
        <v>0</v>
      </c>
      <c r="AF18" s="345" t="str">
        <f t="shared" si="5"/>
        <v>Match</v>
      </c>
      <c r="AG18" s="294" t="str">
        <f t="shared" si="6"/>
        <v xml:space="preserve"> </v>
      </c>
      <c r="AH18" s="289" t="str">
        <f t="shared" si="7"/>
        <v xml:space="preserve"> </v>
      </c>
      <c r="AI18" s="289" t="str">
        <f t="shared" si="8"/>
        <v xml:space="preserve"> </v>
      </c>
      <c r="AJ18" s="289" t="str">
        <f t="shared" si="9"/>
        <v xml:space="preserve"> </v>
      </c>
      <c r="AK18" s="346">
        <f t="shared" si="17"/>
        <v>0</v>
      </c>
      <c r="AL18" s="280"/>
    </row>
    <row r="19" spans="2:38" x14ac:dyDescent="0.25">
      <c r="B19" s="392">
        <v>10</v>
      </c>
      <c r="C19" s="269">
        <f t="shared" si="18"/>
        <v>2020</v>
      </c>
      <c r="D19" s="398">
        <f>IFERROR(VLOOKUP(C19,'LTBR &amp; RORC'!B$6:C$46,2,FALSE),"")</f>
        <v>1.1900000000000001E-2</v>
      </c>
      <c r="E19" s="401">
        <v>0</v>
      </c>
      <c r="F19" s="401">
        <v>0</v>
      </c>
      <c r="G19" s="402">
        <v>0.04</v>
      </c>
      <c r="H19" s="262">
        <f t="shared" si="19"/>
        <v>0</v>
      </c>
      <c r="I19" s="262">
        <f t="shared" si="20"/>
        <v>0</v>
      </c>
      <c r="J19" s="262">
        <f t="shared" si="10"/>
        <v>0</v>
      </c>
      <c r="K19" s="262">
        <f t="shared" si="0"/>
        <v>0</v>
      </c>
      <c r="L19" s="262">
        <f t="shared" si="21"/>
        <v>0</v>
      </c>
      <c r="M19" s="263">
        <f t="shared" si="11"/>
        <v>0</v>
      </c>
      <c r="N19" s="381" t="str">
        <f t="shared" si="1"/>
        <v xml:space="preserve"> </v>
      </c>
      <c r="O19" s="405"/>
      <c r="P19" s="375">
        <f t="shared" si="2"/>
        <v>0</v>
      </c>
      <c r="Q19" s="375">
        <f t="shared" si="12"/>
        <v>0</v>
      </c>
      <c r="R19" s="375" t="str">
        <f t="shared" si="13"/>
        <v xml:space="preserve"> </v>
      </c>
      <c r="S19" s="375">
        <f t="shared" si="14"/>
        <v>0</v>
      </c>
      <c r="T19" s="285" t="str">
        <f t="shared" si="3"/>
        <v xml:space="preserve"> </v>
      </c>
      <c r="U19" s="407">
        <v>0</v>
      </c>
      <c r="V19" s="400" t="str">
        <f t="shared" si="4"/>
        <v>No</v>
      </c>
      <c r="W19" s="244">
        <f t="shared" si="15"/>
        <v>0</v>
      </c>
      <c r="X19" s="407">
        <v>0</v>
      </c>
      <c r="Y19" s="391"/>
      <c r="AA19" s="411"/>
      <c r="AB19" s="405"/>
      <c r="AC19" s="405"/>
      <c r="AD19" s="405"/>
      <c r="AE19" s="333">
        <f t="shared" si="16"/>
        <v>0</v>
      </c>
      <c r="AF19" s="345" t="str">
        <f t="shared" si="5"/>
        <v>Match</v>
      </c>
      <c r="AG19" s="294" t="str">
        <f t="shared" si="6"/>
        <v xml:space="preserve"> </v>
      </c>
      <c r="AH19" s="289" t="str">
        <f t="shared" si="7"/>
        <v xml:space="preserve"> </v>
      </c>
      <c r="AI19" s="289" t="str">
        <f t="shared" si="8"/>
        <v xml:space="preserve"> </v>
      </c>
      <c r="AJ19" s="289" t="str">
        <f t="shared" si="9"/>
        <v xml:space="preserve"> </v>
      </c>
      <c r="AK19" s="346">
        <f t="shared" si="17"/>
        <v>0</v>
      </c>
      <c r="AL19" s="280"/>
    </row>
    <row r="20" spans="2:38" x14ac:dyDescent="0.25">
      <c r="B20" s="392">
        <v>11</v>
      </c>
      <c r="C20" s="269">
        <f t="shared" si="18"/>
        <v>2021</v>
      </c>
      <c r="D20" s="398">
        <f>IFERROR(VLOOKUP(C20,'LTBR &amp; RORC'!B$6:C$46,2,FALSE),"")</f>
        <v>1.8800000000000001E-2</v>
      </c>
      <c r="E20" s="401">
        <v>0</v>
      </c>
      <c r="F20" s="401">
        <v>0</v>
      </c>
      <c r="G20" s="402">
        <v>0.04</v>
      </c>
      <c r="H20" s="262">
        <f t="shared" si="19"/>
        <v>0</v>
      </c>
      <c r="I20" s="262">
        <f t="shared" si="20"/>
        <v>0</v>
      </c>
      <c r="J20" s="262">
        <f t="shared" si="10"/>
        <v>0</v>
      </c>
      <c r="K20" s="262">
        <f t="shared" si="0"/>
        <v>0</v>
      </c>
      <c r="L20" s="262">
        <f t="shared" si="21"/>
        <v>0</v>
      </c>
      <c r="M20" s="263">
        <f t="shared" si="11"/>
        <v>0</v>
      </c>
      <c r="N20" s="381" t="str">
        <f t="shared" si="1"/>
        <v xml:space="preserve"> </v>
      </c>
      <c r="O20" s="405"/>
      <c r="P20" s="375">
        <f t="shared" si="2"/>
        <v>0</v>
      </c>
      <c r="Q20" s="375">
        <f t="shared" si="12"/>
        <v>0</v>
      </c>
      <c r="R20" s="375" t="str">
        <f t="shared" si="13"/>
        <v xml:space="preserve"> </v>
      </c>
      <c r="S20" s="375">
        <f t="shared" si="14"/>
        <v>0</v>
      </c>
      <c r="T20" s="285" t="str">
        <f t="shared" si="3"/>
        <v xml:space="preserve"> </v>
      </c>
      <c r="U20" s="407">
        <v>0</v>
      </c>
      <c r="V20" s="400" t="str">
        <f t="shared" si="4"/>
        <v>No</v>
      </c>
      <c r="W20" s="244">
        <f t="shared" si="15"/>
        <v>0</v>
      </c>
      <c r="X20" s="407">
        <v>0</v>
      </c>
      <c r="Y20" s="391"/>
      <c r="AA20" s="411"/>
      <c r="AB20" s="405"/>
      <c r="AC20" s="405"/>
      <c r="AD20" s="405"/>
      <c r="AE20" s="333">
        <f t="shared" si="16"/>
        <v>0</v>
      </c>
      <c r="AF20" s="345" t="str">
        <f t="shared" si="5"/>
        <v>Match</v>
      </c>
      <c r="AG20" s="294" t="str">
        <f t="shared" si="6"/>
        <v xml:space="preserve"> </v>
      </c>
      <c r="AH20" s="289" t="str">
        <f t="shared" si="7"/>
        <v xml:space="preserve"> </v>
      </c>
      <c r="AI20" s="289" t="str">
        <f t="shared" si="8"/>
        <v xml:space="preserve"> </v>
      </c>
      <c r="AJ20" s="289" t="str">
        <f t="shared" si="9"/>
        <v xml:space="preserve"> </v>
      </c>
      <c r="AK20" s="346">
        <f t="shared" si="17"/>
        <v>0</v>
      </c>
      <c r="AL20" s="280"/>
    </row>
    <row r="21" spans="2:38" x14ac:dyDescent="0.25">
      <c r="B21" s="392">
        <v>12</v>
      </c>
      <c r="C21" s="269">
        <f t="shared" si="18"/>
        <v>2022</v>
      </c>
      <c r="D21" s="398">
        <f>IFERROR(VLOOKUP(C21,'LTBR &amp; RORC'!B$6:C$46,2,FALSE),"")</f>
        <v>0</v>
      </c>
      <c r="E21" s="401">
        <v>0</v>
      </c>
      <c r="F21" s="401">
        <v>0</v>
      </c>
      <c r="G21" s="402">
        <v>0.04</v>
      </c>
      <c r="H21" s="262">
        <f t="shared" si="19"/>
        <v>0</v>
      </c>
      <c r="I21" s="262">
        <f t="shared" si="20"/>
        <v>0</v>
      </c>
      <c r="J21" s="262">
        <f t="shared" si="10"/>
        <v>0</v>
      </c>
      <c r="K21" s="262">
        <f t="shared" si="0"/>
        <v>0</v>
      </c>
      <c r="L21" s="262">
        <f t="shared" si="21"/>
        <v>0</v>
      </c>
      <c r="M21" s="263">
        <f t="shared" si="11"/>
        <v>0</v>
      </c>
      <c r="N21" s="381" t="str">
        <f t="shared" si="1"/>
        <v xml:space="preserve"> </v>
      </c>
      <c r="O21" s="405"/>
      <c r="P21" s="375">
        <f t="shared" si="2"/>
        <v>0</v>
      </c>
      <c r="Q21" s="375">
        <f t="shared" si="12"/>
        <v>0</v>
      </c>
      <c r="R21" s="375" t="str">
        <f t="shared" si="13"/>
        <v xml:space="preserve"> </v>
      </c>
      <c r="S21" s="375">
        <f t="shared" si="14"/>
        <v>0</v>
      </c>
      <c r="T21" s="285" t="str">
        <f t="shared" si="3"/>
        <v xml:space="preserve"> </v>
      </c>
      <c r="U21" s="407">
        <v>0</v>
      </c>
      <c r="V21" s="400" t="str">
        <f t="shared" si="4"/>
        <v>No</v>
      </c>
      <c r="W21" s="244">
        <f t="shared" si="15"/>
        <v>0</v>
      </c>
      <c r="X21" s="407">
        <v>0</v>
      </c>
      <c r="Y21" s="391"/>
      <c r="AA21" s="411"/>
      <c r="AB21" s="405"/>
      <c r="AC21" s="405"/>
      <c r="AD21" s="405"/>
      <c r="AE21" s="333">
        <f t="shared" si="16"/>
        <v>0</v>
      </c>
      <c r="AF21" s="345" t="str">
        <f t="shared" si="5"/>
        <v>Match</v>
      </c>
      <c r="AG21" s="294" t="str">
        <f t="shared" si="6"/>
        <v xml:space="preserve"> </v>
      </c>
      <c r="AH21" s="289" t="str">
        <f t="shared" si="7"/>
        <v xml:space="preserve"> </v>
      </c>
      <c r="AI21" s="289" t="str">
        <f t="shared" si="8"/>
        <v xml:space="preserve"> </v>
      </c>
      <c r="AJ21" s="289" t="str">
        <f t="shared" si="9"/>
        <v xml:space="preserve"> </v>
      </c>
      <c r="AK21" s="346">
        <f t="shared" si="17"/>
        <v>0</v>
      </c>
      <c r="AL21" s="280"/>
    </row>
    <row r="22" spans="2:38" x14ac:dyDescent="0.25">
      <c r="B22" s="392">
        <v>13</v>
      </c>
      <c r="C22" s="269">
        <f t="shared" si="18"/>
        <v>2023</v>
      </c>
      <c r="D22" s="398">
        <f>IFERROR(VLOOKUP(C22,'LTBR &amp; RORC'!B$6:C$46,2,FALSE),"")</f>
        <v>0</v>
      </c>
      <c r="E22" s="401">
        <v>0</v>
      </c>
      <c r="F22" s="401">
        <v>0</v>
      </c>
      <c r="G22" s="402">
        <v>0.04</v>
      </c>
      <c r="H22" s="262">
        <f t="shared" si="19"/>
        <v>0</v>
      </c>
      <c r="I22" s="262">
        <f t="shared" si="20"/>
        <v>0</v>
      </c>
      <c r="J22" s="262">
        <f t="shared" si="10"/>
        <v>0</v>
      </c>
      <c r="K22" s="262">
        <f t="shared" si="0"/>
        <v>0</v>
      </c>
      <c r="L22" s="262">
        <f t="shared" si="21"/>
        <v>0</v>
      </c>
      <c r="M22" s="263">
        <f t="shared" si="11"/>
        <v>0</v>
      </c>
      <c r="N22" s="381" t="str">
        <f t="shared" si="1"/>
        <v xml:space="preserve"> </v>
      </c>
      <c r="O22" s="405"/>
      <c r="P22" s="375">
        <f t="shared" si="2"/>
        <v>0</v>
      </c>
      <c r="Q22" s="375">
        <f t="shared" si="12"/>
        <v>0</v>
      </c>
      <c r="R22" s="375" t="str">
        <f t="shared" si="13"/>
        <v xml:space="preserve"> </v>
      </c>
      <c r="S22" s="375">
        <f t="shared" si="14"/>
        <v>0</v>
      </c>
      <c r="T22" s="285" t="str">
        <f t="shared" si="3"/>
        <v xml:space="preserve"> </v>
      </c>
      <c r="U22" s="407">
        <v>0</v>
      </c>
      <c r="V22" s="400" t="str">
        <f t="shared" si="4"/>
        <v>No</v>
      </c>
      <c r="W22" s="244">
        <f t="shared" si="15"/>
        <v>0</v>
      </c>
      <c r="X22" s="407">
        <v>0</v>
      </c>
      <c r="Y22" s="391"/>
      <c r="AA22" s="411"/>
      <c r="AB22" s="405"/>
      <c r="AC22" s="405"/>
      <c r="AD22" s="405"/>
      <c r="AE22" s="333">
        <f t="shared" si="16"/>
        <v>0</v>
      </c>
      <c r="AF22" s="345" t="str">
        <f t="shared" si="5"/>
        <v>Match</v>
      </c>
      <c r="AG22" s="294" t="str">
        <f t="shared" si="6"/>
        <v xml:space="preserve"> </v>
      </c>
      <c r="AH22" s="289" t="str">
        <f t="shared" si="7"/>
        <v xml:space="preserve"> </v>
      </c>
      <c r="AI22" s="289" t="str">
        <f t="shared" si="8"/>
        <v xml:space="preserve"> </v>
      </c>
      <c r="AJ22" s="289" t="str">
        <f t="shared" si="9"/>
        <v xml:space="preserve"> </v>
      </c>
      <c r="AK22" s="346">
        <f t="shared" si="17"/>
        <v>0</v>
      </c>
      <c r="AL22" s="280"/>
    </row>
    <row r="23" spans="2:38" x14ac:dyDescent="0.25">
      <c r="B23" s="392">
        <v>14</v>
      </c>
      <c r="C23" s="269">
        <f t="shared" si="18"/>
        <v>2024</v>
      </c>
      <c r="D23" s="398">
        <f>IFERROR(VLOOKUP(C23,'LTBR &amp; RORC'!B$6:C$46,2,FALSE),"")</f>
        <v>0</v>
      </c>
      <c r="E23" s="401">
        <v>0</v>
      </c>
      <c r="F23" s="401">
        <v>0</v>
      </c>
      <c r="G23" s="402">
        <v>0.04</v>
      </c>
      <c r="H23" s="262">
        <f t="shared" si="19"/>
        <v>0</v>
      </c>
      <c r="I23" s="262">
        <f t="shared" si="20"/>
        <v>0</v>
      </c>
      <c r="J23" s="262">
        <f t="shared" si="10"/>
        <v>0</v>
      </c>
      <c r="K23" s="262">
        <f t="shared" si="0"/>
        <v>0</v>
      </c>
      <c r="L23" s="262">
        <f t="shared" si="21"/>
        <v>0</v>
      </c>
      <c r="M23" s="263">
        <f t="shared" si="11"/>
        <v>0</v>
      </c>
      <c r="N23" s="381" t="str">
        <f t="shared" si="1"/>
        <v xml:space="preserve"> </v>
      </c>
      <c r="O23" s="405"/>
      <c r="P23" s="375">
        <f t="shared" si="2"/>
        <v>0</v>
      </c>
      <c r="Q23" s="375">
        <f t="shared" si="12"/>
        <v>0</v>
      </c>
      <c r="R23" s="375" t="str">
        <f t="shared" si="13"/>
        <v xml:space="preserve"> </v>
      </c>
      <c r="S23" s="375">
        <f t="shared" si="14"/>
        <v>0</v>
      </c>
      <c r="T23" s="285" t="str">
        <f t="shared" si="3"/>
        <v xml:space="preserve"> </v>
      </c>
      <c r="U23" s="407">
        <v>0</v>
      </c>
      <c r="V23" s="400" t="str">
        <f t="shared" si="4"/>
        <v>No</v>
      </c>
      <c r="W23" s="244">
        <f t="shared" si="15"/>
        <v>0</v>
      </c>
      <c r="X23" s="407">
        <v>0</v>
      </c>
      <c r="Y23" s="391"/>
      <c r="AA23" s="411"/>
      <c r="AB23" s="405"/>
      <c r="AC23" s="405"/>
      <c r="AD23" s="405"/>
      <c r="AE23" s="333">
        <f t="shared" si="16"/>
        <v>0</v>
      </c>
      <c r="AF23" s="345" t="str">
        <f t="shared" si="5"/>
        <v>Match</v>
      </c>
      <c r="AG23" s="294" t="str">
        <f t="shared" si="6"/>
        <v xml:space="preserve"> </v>
      </c>
      <c r="AH23" s="289" t="str">
        <f t="shared" si="7"/>
        <v xml:space="preserve"> </v>
      </c>
      <c r="AI23" s="289" t="str">
        <f t="shared" si="8"/>
        <v xml:space="preserve"> </v>
      </c>
      <c r="AJ23" s="289" t="str">
        <f t="shared" si="9"/>
        <v xml:space="preserve"> </v>
      </c>
      <c r="AK23" s="346">
        <f t="shared" si="17"/>
        <v>0</v>
      </c>
      <c r="AL23" s="280"/>
    </row>
    <row r="24" spans="2:38" x14ac:dyDescent="0.25">
      <c r="B24" s="392">
        <v>15</v>
      </c>
      <c r="C24" s="269">
        <f t="shared" si="18"/>
        <v>2025</v>
      </c>
      <c r="D24" s="398">
        <f>IFERROR(VLOOKUP(C24,'LTBR &amp; RORC'!B$6:C$46,2,FALSE),"")</f>
        <v>0</v>
      </c>
      <c r="E24" s="401">
        <v>0</v>
      </c>
      <c r="F24" s="401">
        <v>0</v>
      </c>
      <c r="G24" s="402">
        <v>0.04</v>
      </c>
      <c r="H24" s="262">
        <f t="shared" si="19"/>
        <v>0</v>
      </c>
      <c r="I24" s="262">
        <f t="shared" si="20"/>
        <v>0</v>
      </c>
      <c r="J24" s="262">
        <f t="shared" si="10"/>
        <v>0</v>
      </c>
      <c r="K24" s="262">
        <f t="shared" si="0"/>
        <v>0</v>
      </c>
      <c r="L24" s="262">
        <f t="shared" si="21"/>
        <v>0</v>
      </c>
      <c r="M24" s="263">
        <f t="shared" si="11"/>
        <v>0</v>
      </c>
      <c r="N24" s="381" t="str">
        <f t="shared" si="1"/>
        <v xml:space="preserve"> </v>
      </c>
      <c r="O24" s="405"/>
      <c r="P24" s="375">
        <f t="shared" si="2"/>
        <v>0</v>
      </c>
      <c r="Q24" s="375">
        <f t="shared" si="12"/>
        <v>0</v>
      </c>
      <c r="R24" s="375" t="str">
        <f t="shared" si="13"/>
        <v xml:space="preserve"> </v>
      </c>
      <c r="S24" s="375">
        <f t="shared" si="14"/>
        <v>0</v>
      </c>
      <c r="T24" s="285" t="str">
        <f t="shared" si="3"/>
        <v xml:space="preserve"> </v>
      </c>
      <c r="U24" s="407">
        <v>0</v>
      </c>
      <c r="V24" s="400" t="str">
        <f t="shared" si="4"/>
        <v>No</v>
      </c>
      <c r="W24" s="244">
        <f t="shared" si="15"/>
        <v>0</v>
      </c>
      <c r="X24" s="407">
        <v>0</v>
      </c>
      <c r="Y24" s="391"/>
      <c r="AA24" s="411"/>
      <c r="AB24" s="405"/>
      <c r="AC24" s="405"/>
      <c r="AD24" s="405"/>
      <c r="AE24" s="333">
        <f t="shared" si="16"/>
        <v>0</v>
      </c>
      <c r="AF24" s="345" t="str">
        <f t="shared" si="5"/>
        <v>Match</v>
      </c>
      <c r="AG24" s="294" t="str">
        <f t="shared" si="6"/>
        <v xml:space="preserve"> </v>
      </c>
      <c r="AH24" s="289" t="str">
        <f t="shared" si="7"/>
        <v xml:space="preserve"> </v>
      </c>
      <c r="AI24" s="289" t="str">
        <f t="shared" si="8"/>
        <v xml:space="preserve"> </v>
      </c>
      <c r="AJ24" s="289" t="str">
        <f t="shared" si="9"/>
        <v xml:space="preserve"> </v>
      </c>
      <c r="AK24" s="346">
        <f t="shared" si="17"/>
        <v>0</v>
      </c>
      <c r="AL24" s="280"/>
    </row>
    <row r="25" spans="2:38" x14ac:dyDescent="0.25">
      <c r="B25" s="392">
        <v>16</v>
      </c>
      <c r="C25" s="269">
        <f t="shared" si="18"/>
        <v>2026</v>
      </c>
      <c r="D25" s="398">
        <f>IFERROR(VLOOKUP(C25,'LTBR &amp; RORC'!B$6:C$46,2,FALSE),"")</f>
        <v>0</v>
      </c>
      <c r="E25" s="401">
        <v>0</v>
      </c>
      <c r="F25" s="401">
        <v>0</v>
      </c>
      <c r="G25" s="402">
        <v>0.04</v>
      </c>
      <c r="H25" s="262">
        <f t="shared" si="19"/>
        <v>0</v>
      </c>
      <c r="I25" s="262">
        <f t="shared" si="20"/>
        <v>0</v>
      </c>
      <c r="J25" s="262">
        <f t="shared" si="10"/>
        <v>0</v>
      </c>
      <c r="K25" s="262">
        <f t="shared" si="0"/>
        <v>0</v>
      </c>
      <c r="L25" s="262">
        <f t="shared" si="21"/>
        <v>0</v>
      </c>
      <c r="M25" s="263">
        <f t="shared" si="11"/>
        <v>0</v>
      </c>
      <c r="N25" s="381" t="str">
        <f t="shared" si="1"/>
        <v xml:space="preserve"> </v>
      </c>
      <c r="O25" s="405"/>
      <c r="P25" s="375">
        <f t="shared" si="2"/>
        <v>0</v>
      </c>
      <c r="Q25" s="375">
        <f t="shared" si="12"/>
        <v>0</v>
      </c>
      <c r="R25" s="375" t="str">
        <f t="shared" si="13"/>
        <v xml:space="preserve"> </v>
      </c>
      <c r="S25" s="375">
        <f t="shared" si="14"/>
        <v>0</v>
      </c>
      <c r="T25" s="285" t="str">
        <f t="shared" si="3"/>
        <v xml:space="preserve"> </v>
      </c>
      <c r="U25" s="407">
        <v>0</v>
      </c>
      <c r="V25" s="400" t="str">
        <f t="shared" si="4"/>
        <v>No</v>
      </c>
      <c r="W25" s="244">
        <f t="shared" si="15"/>
        <v>0</v>
      </c>
      <c r="X25" s="407">
        <v>0</v>
      </c>
      <c r="Y25" s="391"/>
      <c r="AA25" s="411"/>
      <c r="AB25" s="405"/>
      <c r="AC25" s="405"/>
      <c r="AD25" s="405"/>
      <c r="AE25" s="333">
        <f t="shared" si="16"/>
        <v>0</v>
      </c>
      <c r="AF25" s="345" t="str">
        <f t="shared" si="5"/>
        <v>Match</v>
      </c>
      <c r="AG25" s="294" t="str">
        <f t="shared" si="6"/>
        <v xml:space="preserve"> </v>
      </c>
      <c r="AH25" s="289" t="str">
        <f t="shared" si="7"/>
        <v xml:space="preserve"> </v>
      </c>
      <c r="AI25" s="289" t="str">
        <f t="shared" si="8"/>
        <v xml:space="preserve"> </v>
      </c>
      <c r="AJ25" s="289" t="str">
        <f t="shared" si="9"/>
        <v xml:space="preserve"> </v>
      </c>
      <c r="AK25" s="346">
        <f t="shared" si="17"/>
        <v>0</v>
      </c>
      <c r="AL25" s="280"/>
    </row>
    <row r="26" spans="2:38" x14ac:dyDescent="0.25">
      <c r="B26" s="392">
        <v>17</v>
      </c>
      <c r="C26" s="269">
        <f t="shared" si="18"/>
        <v>2027</v>
      </c>
      <c r="D26" s="398">
        <f>IFERROR(VLOOKUP(C26,'LTBR &amp; RORC'!B$6:C$46,2,FALSE),"")</f>
        <v>0</v>
      </c>
      <c r="E26" s="401">
        <v>0</v>
      </c>
      <c r="F26" s="401">
        <v>0</v>
      </c>
      <c r="G26" s="402">
        <v>0.04</v>
      </c>
      <c r="H26" s="262">
        <f t="shared" si="19"/>
        <v>0</v>
      </c>
      <c r="I26" s="262">
        <f t="shared" si="20"/>
        <v>0</v>
      </c>
      <c r="J26" s="262">
        <f t="shared" si="10"/>
        <v>0</v>
      </c>
      <c r="K26" s="262">
        <f t="shared" si="0"/>
        <v>0</v>
      </c>
      <c r="L26" s="262">
        <f t="shared" si="21"/>
        <v>0</v>
      </c>
      <c r="M26" s="263">
        <f t="shared" si="11"/>
        <v>0</v>
      </c>
      <c r="N26" s="381" t="str">
        <f t="shared" si="1"/>
        <v xml:space="preserve"> </v>
      </c>
      <c r="O26" s="405"/>
      <c r="P26" s="375">
        <f t="shared" si="2"/>
        <v>0</v>
      </c>
      <c r="Q26" s="375">
        <f t="shared" si="12"/>
        <v>0</v>
      </c>
      <c r="R26" s="375" t="str">
        <f t="shared" si="13"/>
        <v xml:space="preserve"> </v>
      </c>
      <c r="S26" s="375">
        <f t="shared" si="14"/>
        <v>0</v>
      </c>
      <c r="T26" s="285" t="str">
        <f t="shared" si="3"/>
        <v xml:space="preserve"> </v>
      </c>
      <c r="U26" s="407">
        <v>0</v>
      </c>
      <c r="V26" s="400" t="str">
        <f t="shared" si="4"/>
        <v>No</v>
      </c>
      <c r="W26" s="244">
        <f t="shared" si="15"/>
        <v>0</v>
      </c>
      <c r="X26" s="407">
        <v>0</v>
      </c>
      <c r="Y26" s="391"/>
      <c r="AA26" s="411"/>
      <c r="AB26" s="405"/>
      <c r="AC26" s="405"/>
      <c r="AD26" s="405"/>
      <c r="AE26" s="333">
        <f t="shared" si="16"/>
        <v>0</v>
      </c>
      <c r="AF26" s="345" t="str">
        <f t="shared" si="5"/>
        <v>Match</v>
      </c>
      <c r="AG26" s="294" t="str">
        <f t="shared" si="6"/>
        <v xml:space="preserve"> </v>
      </c>
      <c r="AH26" s="289" t="str">
        <f t="shared" si="7"/>
        <v xml:space="preserve"> </v>
      </c>
      <c r="AI26" s="289" t="str">
        <f t="shared" si="8"/>
        <v xml:space="preserve"> </v>
      </c>
      <c r="AJ26" s="289" t="str">
        <f t="shared" si="9"/>
        <v xml:space="preserve"> </v>
      </c>
      <c r="AK26" s="346">
        <f t="shared" si="17"/>
        <v>0</v>
      </c>
      <c r="AL26" s="280"/>
    </row>
    <row r="27" spans="2:38" x14ac:dyDescent="0.25">
      <c r="B27" s="392">
        <v>18</v>
      </c>
      <c r="C27" s="269">
        <f t="shared" si="18"/>
        <v>2028</v>
      </c>
      <c r="D27" s="398">
        <f>IFERROR(VLOOKUP(C27,'LTBR &amp; RORC'!B$6:C$46,2,FALSE),"")</f>
        <v>0</v>
      </c>
      <c r="E27" s="401">
        <v>0</v>
      </c>
      <c r="F27" s="401">
        <v>0</v>
      </c>
      <c r="G27" s="402">
        <v>0.04</v>
      </c>
      <c r="H27" s="262">
        <f t="shared" si="19"/>
        <v>0</v>
      </c>
      <c r="I27" s="262">
        <f t="shared" si="20"/>
        <v>0</v>
      </c>
      <c r="J27" s="262">
        <f t="shared" si="10"/>
        <v>0</v>
      </c>
      <c r="K27" s="262">
        <f t="shared" si="0"/>
        <v>0</v>
      </c>
      <c r="L27" s="262">
        <f t="shared" si="21"/>
        <v>0</v>
      </c>
      <c r="M27" s="263">
        <f t="shared" si="11"/>
        <v>0</v>
      </c>
      <c r="N27" s="381" t="str">
        <f t="shared" si="1"/>
        <v xml:space="preserve"> </v>
      </c>
      <c r="O27" s="405"/>
      <c r="P27" s="375">
        <f t="shared" si="2"/>
        <v>0</v>
      </c>
      <c r="Q27" s="375">
        <f t="shared" si="12"/>
        <v>0</v>
      </c>
      <c r="R27" s="375" t="str">
        <f t="shared" si="13"/>
        <v xml:space="preserve"> </v>
      </c>
      <c r="S27" s="375">
        <f t="shared" si="14"/>
        <v>0</v>
      </c>
      <c r="T27" s="285" t="str">
        <f t="shared" si="3"/>
        <v xml:space="preserve"> </v>
      </c>
      <c r="U27" s="407">
        <v>0</v>
      </c>
      <c r="V27" s="400" t="str">
        <f t="shared" si="4"/>
        <v>No</v>
      </c>
      <c r="W27" s="244">
        <f t="shared" si="15"/>
        <v>0</v>
      </c>
      <c r="X27" s="407">
        <v>0</v>
      </c>
      <c r="Y27" s="391"/>
      <c r="AA27" s="411"/>
      <c r="AB27" s="405"/>
      <c r="AC27" s="405"/>
      <c r="AD27" s="405"/>
      <c r="AE27" s="333">
        <f t="shared" si="16"/>
        <v>0</v>
      </c>
      <c r="AF27" s="345" t="str">
        <f t="shared" si="5"/>
        <v>Match</v>
      </c>
      <c r="AG27" s="294" t="str">
        <f t="shared" si="6"/>
        <v xml:space="preserve"> </v>
      </c>
      <c r="AH27" s="289" t="str">
        <f t="shared" si="7"/>
        <v xml:space="preserve"> </v>
      </c>
      <c r="AI27" s="289" t="str">
        <f t="shared" si="8"/>
        <v xml:space="preserve"> </v>
      </c>
      <c r="AJ27" s="289" t="str">
        <f t="shared" si="9"/>
        <v xml:space="preserve"> </v>
      </c>
      <c r="AK27" s="346">
        <f t="shared" si="17"/>
        <v>0</v>
      </c>
      <c r="AL27" s="280"/>
    </row>
    <row r="28" spans="2:38" x14ac:dyDescent="0.25">
      <c r="B28" s="392">
        <v>19</v>
      </c>
      <c r="C28" s="269">
        <f t="shared" si="18"/>
        <v>2029</v>
      </c>
      <c r="D28" s="398">
        <f>IFERROR(VLOOKUP(C28,'LTBR &amp; RORC'!B$6:C$46,2,FALSE),"")</f>
        <v>0</v>
      </c>
      <c r="E28" s="401">
        <v>0</v>
      </c>
      <c r="F28" s="401">
        <v>0</v>
      </c>
      <c r="G28" s="402">
        <v>0.04</v>
      </c>
      <c r="H28" s="262">
        <f t="shared" si="19"/>
        <v>0</v>
      </c>
      <c r="I28" s="262">
        <f t="shared" si="20"/>
        <v>0</v>
      </c>
      <c r="J28" s="262">
        <f t="shared" si="10"/>
        <v>0</v>
      </c>
      <c r="K28" s="262">
        <f t="shared" si="0"/>
        <v>0</v>
      </c>
      <c r="L28" s="262">
        <f t="shared" si="21"/>
        <v>0</v>
      </c>
      <c r="M28" s="263">
        <f t="shared" si="11"/>
        <v>0</v>
      </c>
      <c r="N28" s="381" t="str">
        <f t="shared" si="1"/>
        <v xml:space="preserve"> </v>
      </c>
      <c r="O28" s="405"/>
      <c r="P28" s="375">
        <f t="shared" si="2"/>
        <v>0</v>
      </c>
      <c r="Q28" s="375">
        <f t="shared" si="12"/>
        <v>0</v>
      </c>
      <c r="R28" s="375" t="str">
        <f t="shared" si="13"/>
        <v xml:space="preserve"> </v>
      </c>
      <c r="S28" s="375">
        <f t="shared" si="14"/>
        <v>0</v>
      </c>
      <c r="T28" s="285" t="str">
        <f t="shared" si="3"/>
        <v xml:space="preserve"> </v>
      </c>
      <c r="U28" s="407">
        <v>0</v>
      </c>
      <c r="V28" s="400" t="str">
        <f t="shared" si="4"/>
        <v>No</v>
      </c>
      <c r="W28" s="244">
        <f t="shared" si="15"/>
        <v>0</v>
      </c>
      <c r="X28" s="407">
        <v>0</v>
      </c>
      <c r="Y28" s="391"/>
      <c r="Z28" s="254"/>
      <c r="AA28" s="411"/>
      <c r="AB28" s="405"/>
      <c r="AC28" s="405"/>
      <c r="AD28" s="405"/>
      <c r="AE28" s="333">
        <f t="shared" si="16"/>
        <v>0</v>
      </c>
      <c r="AF28" s="345" t="str">
        <f t="shared" si="5"/>
        <v>Match</v>
      </c>
      <c r="AG28" s="294" t="str">
        <f t="shared" si="6"/>
        <v xml:space="preserve"> </v>
      </c>
      <c r="AH28" s="289" t="str">
        <f t="shared" si="7"/>
        <v xml:space="preserve"> </v>
      </c>
      <c r="AI28" s="289" t="str">
        <f t="shared" si="8"/>
        <v xml:space="preserve"> </v>
      </c>
      <c r="AJ28" s="289" t="str">
        <f t="shared" si="9"/>
        <v xml:space="preserve"> </v>
      </c>
      <c r="AK28" s="346">
        <f t="shared" si="17"/>
        <v>0</v>
      </c>
      <c r="AL28" s="280"/>
    </row>
    <row r="29" spans="2:38" x14ac:dyDescent="0.25">
      <c r="B29" s="392">
        <v>20</v>
      </c>
      <c r="C29" s="269">
        <f t="shared" si="18"/>
        <v>2030</v>
      </c>
      <c r="D29" s="398">
        <f>IFERROR(VLOOKUP(C29,'LTBR &amp; RORC'!B$6:C$46,2,FALSE),"")</f>
        <v>0</v>
      </c>
      <c r="E29" s="401">
        <v>0</v>
      </c>
      <c r="F29" s="401">
        <v>0</v>
      </c>
      <c r="G29" s="402">
        <v>0.04</v>
      </c>
      <c r="H29" s="262">
        <f t="shared" si="19"/>
        <v>0</v>
      </c>
      <c r="I29" s="262">
        <f t="shared" si="20"/>
        <v>0</v>
      </c>
      <c r="J29" s="262">
        <f t="shared" si="10"/>
        <v>0</v>
      </c>
      <c r="K29" s="262">
        <f t="shared" si="0"/>
        <v>0</v>
      </c>
      <c r="L29" s="262">
        <f t="shared" si="21"/>
        <v>0</v>
      </c>
      <c r="M29" s="263">
        <f t="shared" si="11"/>
        <v>0</v>
      </c>
      <c r="N29" s="381" t="str">
        <f t="shared" si="1"/>
        <v xml:space="preserve"> </v>
      </c>
      <c r="O29" s="405"/>
      <c r="P29" s="375">
        <f t="shared" si="2"/>
        <v>0</v>
      </c>
      <c r="Q29" s="375">
        <f t="shared" si="12"/>
        <v>0</v>
      </c>
      <c r="R29" s="375" t="str">
        <f t="shared" si="13"/>
        <v xml:space="preserve"> </v>
      </c>
      <c r="S29" s="375">
        <f t="shared" si="14"/>
        <v>0</v>
      </c>
      <c r="T29" s="285" t="str">
        <f t="shared" si="3"/>
        <v xml:space="preserve"> </v>
      </c>
      <c r="U29" s="407">
        <v>0</v>
      </c>
      <c r="V29" s="400" t="str">
        <f t="shared" si="4"/>
        <v>No</v>
      </c>
      <c r="W29" s="244">
        <f t="shared" si="15"/>
        <v>0</v>
      </c>
      <c r="X29" s="407">
        <v>0</v>
      </c>
      <c r="Y29" s="391"/>
      <c r="AA29" s="411"/>
      <c r="AB29" s="405"/>
      <c r="AC29" s="405"/>
      <c r="AD29" s="405"/>
      <c r="AE29" s="333">
        <f t="shared" si="16"/>
        <v>0</v>
      </c>
      <c r="AF29" s="345" t="str">
        <f t="shared" si="5"/>
        <v>Match</v>
      </c>
      <c r="AG29" s="294" t="str">
        <f t="shared" si="6"/>
        <v xml:space="preserve"> </v>
      </c>
      <c r="AH29" s="289" t="str">
        <f t="shared" si="7"/>
        <v xml:space="preserve"> </v>
      </c>
      <c r="AI29" s="289" t="str">
        <f t="shared" si="8"/>
        <v xml:space="preserve"> </v>
      </c>
      <c r="AJ29" s="289" t="str">
        <f t="shared" si="9"/>
        <v xml:space="preserve"> </v>
      </c>
      <c r="AK29" s="346">
        <f t="shared" si="17"/>
        <v>0</v>
      </c>
      <c r="AL29" s="280"/>
    </row>
    <row r="30" spans="2:38" x14ac:dyDescent="0.25">
      <c r="B30" s="392">
        <v>21</v>
      </c>
      <c r="C30" s="269">
        <f t="shared" si="18"/>
        <v>2031</v>
      </c>
      <c r="D30" s="398">
        <f>IFERROR(VLOOKUP(C30,'LTBR &amp; RORC'!B$6:C$46,2,FALSE),"")</f>
        <v>0</v>
      </c>
      <c r="E30" s="401">
        <v>0</v>
      </c>
      <c r="F30" s="401">
        <v>0</v>
      </c>
      <c r="G30" s="402">
        <v>0.04</v>
      </c>
      <c r="H30" s="262">
        <f t="shared" si="19"/>
        <v>0</v>
      </c>
      <c r="I30" s="262">
        <f t="shared" si="20"/>
        <v>0</v>
      </c>
      <c r="J30" s="262">
        <f t="shared" si="10"/>
        <v>0</v>
      </c>
      <c r="K30" s="262">
        <f t="shared" si="0"/>
        <v>0</v>
      </c>
      <c r="L30" s="262">
        <f t="shared" si="21"/>
        <v>0</v>
      </c>
      <c r="M30" s="263">
        <f t="shared" si="11"/>
        <v>0</v>
      </c>
      <c r="N30" s="381" t="str">
        <f t="shared" si="1"/>
        <v xml:space="preserve"> </v>
      </c>
      <c r="O30" s="405"/>
      <c r="P30" s="375">
        <f t="shared" si="2"/>
        <v>0</v>
      </c>
      <c r="Q30" s="375">
        <f t="shared" si="12"/>
        <v>0</v>
      </c>
      <c r="R30" s="375" t="str">
        <f t="shared" si="13"/>
        <v xml:space="preserve"> </v>
      </c>
      <c r="S30" s="375">
        <f t="shared" si="14"/>
        <v>0</v>
      </c>
      <c r="T30" s="285" t="str">
        <f t="shared" si="3"/>
        <v xml:space="preserve"> </v>
      </c>
      <c r="U30" s="407">
        <v>0</v>
      </c>
      <c r="V30" s="400" t="str">
        <f t="shared" si="4"/>
        <v>No</v>
      </c>
      <c r="W30" s="244">
        <f t="shared" si="15"/>
        <v>0</v>
      </c>
      <c r="X30" s="407">
        <v>0</v>
      </c>
      <c r="Y30" s="391"/>
      <c r="AA30" s="411"/>
      <c r="AB30" s="405"/>
      <c r="AC30" s="405"/>
      <c r="AD30" s="405"/>
      <c r="AE30" s="333">
        <f t="shared" si="16"/>
        <v>0</v>
      </c>
      <c r="AF30" s="345" t="str">
        <f t="shared" si="5"/>
        <v>Match</v>
      </c>
      <c r="AG30" s="294" t="str">
        <f t="shared" si="6"/>
        <v xml:space="preserve"> </v>
      </c>
      <c r="AH30" s="289" t="str">
        <f t="shared" si="7"/>
        <v xml:space="preserve"> </v>
      </c>
      <c r="AI30" s="289" t="str">
        <f t="shared" si="8"/>
        <v xml:space="preserve"> </v>
      </c>
      <c r="AJ30" s="289" t="str">
        <f t="shared" si="9"/>
        <v xml:space="preserve"> </v>
      </c>
      <c r="AK30" s="346">
        <f t="shared" si="17"/>
        <v>0</v>
      </c>
      <c r="AL30" s="280"/>
    </row>
    <row r="31" spans="2:38" x14ac:dyDescent="0.25">
      <c r="B31" s="392">
        <v>22</v>
      </c>
      <c r="C31" s="269">
        <f t="shared" si="18"/>
        <v>2032</v>
      </c>
      <c r="D31" s="398">
        <f>IFERROR(VLOOKUP(C31,'LTBR &amp; RORC'!B$6:C$46,2,FALSE),"")</f>
        <v>0</v>
      </c>
      <c r="E31" s="401">
        <v>0</v>
      </c>
      <c r="F31" s="401">
        <v>0</v>
      </c>
      <c r="G31" s="402">
        <v>0.04</v>
      </c>
      <c r="H31" s="262">
        <f t="shared" si="19"/>
        <v>0</v>
      </c>
      <c r="I31" s="262">
        <f t="shared" si="20"/>
        <v>0</v>
      </c>
      <c r="J31" s="262">
        <f t="shared" si="10"/>
        <v>0</v>
      </c>
      <c r="K31" s="262">
        <f t="shared" si="0"/>
        <v>0</v>
      </c>
      <c r="L31" s="262">
        <f t="shared" si="21"/>
        <v>0</v>
      </c>
      <c r="M31" s="263">
        <f t="shared" si="11"/>
        <v>0</v>
      </c>
      <c r="N31" s="381" t="str">
        <f t="shared" si="1"/>
        <v xml:space="preserve"> </v>
      </c>
      <c r="O31" s="405"/>
      <c r="P31" s="375">
        <f t="shared" si="2"/>
        <v>0</v>
      </c>
      <c r="Q31" s="375">
        <f t="shared" si="12"/>
        <v>0</v>
      </c>
      <c r="R31" s="375" t="str">
        <f t="shared" si="13"/>
        <v xml:space="preserve"> </v>
      </c>
      <c r="S31" s="375">
        <f t="shared" si="14"/>
        <v>0</v>
      </c>
      <c r="T31" s="285" t="str">
        <f t="shared" si="3"/>
        <v xml:space="preserve"> </v>
      </c>
      <c r="U31" s="407">
        <v>0</v>
      </c>
      <c r="V31" s="400" t="str">
        <f t="shared" si="4"/>
        <v>No</v>
      </c>
      <c r="W31" s="244">
        <f t="shared" si="15"/>
        <v>0</v>
      </c>
      <c r="X31" s="407">
        <v>0</v>
      </c>
      <c r="Y31" s="391"/>
      <c r="Z31" s="255"/>
      <c r="AA31" s="411"/>
      <c r="AB31" s="405"/>
      <c r="AC31" s="405"/>
      <c r="AD31" s="405"/>
      <c r="AE31" s="333">
        <f t="shared" si="16"/>
        <v>0</v>
      </c>
      <c r="AF31" s="345" t="str">
        <f t="shared" si="5"/>
        <v>Match</v>
      </c>
      <c r="AG31" s="294" t="str">
        <f t="shared" si="6"/>
        <v xml:space="preserve"> </v>
      </c>
      <c r="AH31" s="289" t="str">
        <f t="shared" si="7"/>
        <v xml:space="preserve"> </v>
      </c>
      <c r="AI31" s="289" t="str">
        <f t="shared" si="8"/>
        <v xml:space="preserve"> </v>
      </c>
      <c r="AJ31" s="289" t="str">
        <f t="shared" si="9"/>
        <v xml:space="preserve"> </v>
      </c>
      <c r="AK31" s="346">
        <f t="shared" si="17"/>
        <v>0</v>
      </c>
      <c r="AL31" s="280"/>
    </row>
    <row r="32" spans="2:38" x14ac:dyDescent="0.25">
      <c r="B32" s="392">
        <v>23</v>
      </c>
      <c r="C32" s="269">
        <f t="shared" si="18"/>
        <v>2033</v>
      </c>
      <c r="D32" s="398">
        <f>IFERROR(VLOOKUP(C32,'LTBR &amp; RORC'!B$6:C$46,2,FALSE),"")</f>
        <v>0</v>
      </c>
      <c r="E32" s="401">
        <v>0</v>
      </c>
      <c r="F32" s="401">
        <v>0</v>
      </c>
      <c r="G32" s="402">
        <v>0.04</v>
      </c>
      <c r="H32" s="262">
        <f t="shared" si="19"/>
        <v>0</v>
      </c>
      <c r="I32" s="262">
        <f t="shared" si="20"/>
        <v>0</v>
      </c>
      <c r="J32" s="262">
        <f t="shared" si="10"/>
        <v>0</v>
      </c>
      <c r="K32" s="262">
        <f t="shared" si="0"/>
        <v>0</v>
      </c>
      <c r="L32" s="262">
        <f t="shared" si="21"/>
        <v>0</v>
      </c>
      <c r="M32" s="263">
        <f t="shared" si="11"/>
        <v>0</v>
      </c>
      <c r="N32" s="381" t="str">
        <f t="shared" si="1"/>
        <v xml:space="preserve"> </v>
      </c>
      <c r="O32" s="405"/>
      <c r="P32" s="375">
        <f t="shared" si="2"/>
        <v>0</v>
      </c>
      <c r="Q32" s="375">
        <f t="shared" si="12"/>
        <v>0</v>
      </c>
      <c r="R32" s="375" t="str">
        <f t="shared" si="13"/>
        <v xml:space="preserve"> </v>
      </c>
      <c r="S32" s="375">
        <f t="shared" si="14"/>
        <v>0</v>
      </c>
      <c r="T32" s="285" t="str">
        <f t="shared" si="3"/>
        <v xml:space="preserve"> </v>
      </c>
      <c r="U32" s="407">
        <v>0</v>
      </c>
      <c r="V32" s="400" t="str">
        <f t="shared" si="4"/>
        <v>No</v>
      </c>
      <c r="W32" s="244">
        <f t="shared" si="15"/>
        <v>0</v>
      </c>
      <c r="X32" s="407">
        <v>0</v>
      </c>
      <c r="Y32" s="391"/>
      <c r="AA32" s="411"/>
      <c r="AB32" s="405"/>
      <c r="AC32" s="405"/>
      <c r="AD32" s="405"/>
      <c r="AE32" s="333">
        <f t="shared" si="16"/>
        <v>0</v>
      </c>
      <c r="AF32" s="345" t="str">
        <f t="shared" si="5"/>
        <v>Match</v>
      </c>
      <c r="AG32" s="294" t="str">
        <f t="shared" si="6"/>
        <v xml:space="preserve"> </v>
      </c>
      <c r="AH32" s="289" t="str">
        <f t="shared" si="7"/>
        <v xml:space="preserve"> </v>
      </c>
      <c r="AI32" s="289" t="str">
        <f t="shared" si="8"/>
        <v xml:space="preserve"> </v>
      </c>
      <c r="AJ32" s="289" t="str">
        <f t="shared" si="9"/>
        <v xml:space="preserve"> </v>
      </c>
      <c r="AK32" s="346">
        <f t="shared" si="17"/>
        <v>0</v>
      </c>
      <c r="AL32" s="280"/>
    </row>
    <row r="33" spans="2:38" x14ac:dyDescent="0.25">
      <c r="B33" s="392">
        <v>24</v>
      </c>
      <c r="C33" s="269">
        <f t="shared" si="18"/>
        <v>2034</v>
      </c>
      <c r="D33" s="398">
        <f>IFERROR(VLOOKUP(C33,'LTBR &amp; RORC'!B$6:C$46,2,FALSE),"")</f>
        <v>0</v>
      </c>
      <c r="E33" s="401">
        <v>0</v>
      </c>
      <c r="F33" s="401">
        <v>0</v>
      </c>
      <c r="G33" s="402">
        <v>0.04</v>
      </c>
      <c r="H33" s="262">
        <f t="shared" si="19"/>
        <v>0</v>
      </c>
      <c r="I33" s="262">
        <f t="shared" si="20"/>
        <v>0</v>
      </c>
      <c r="J33" s="262">
        <f t="shared" si="10"/>
        <v>0</v>
      </c>
      <c r="K33" s="262">
        <f t="shared" si="0"/>
        <v>0</v>
      </c>
      <c r="L33" s="262">
        <f t="shared" si="21"/>
        <v>0</v>
      </c>
      <c r="M33" s="263">
        <f t="shared" si="11"/>
        <v>0</v>
      </c>
      <c r="N33" s="381" t="str">
        <f t="shared" si="1"/>
        <v xml:space="preserve"> </v>
      </c>
      <c r="O33" s="405"/>
      <c r="P33" s="375">
        <f t="shared" si="2"/>
        <v>0</v>
      </c>
      <c r="Q33" s="375">
        <f t="shared" si="12"/>
        <v>0</v>
      </c>
      <c r="R33" s="375" t="str">
        <f t="shared" si="13"/>
        <v xml:space="preserve"> </v>
      </c>
      <c r="S33" s="375">
        <f t="shared" si="14"/>
        <v>0</v>
      </c>
      <c r="T33" s="285" t="str">
        <f t="shared" si="3"/>
        <v xml:space="preserve"> </v>
      </c>
      <c r="U33" s="407">
        <v>0</v>
      </c>
      <c r="V33" s="400" t="str">
        <f t="shared" si="4"/>
        <v>No</v>
      </c>
      <c r="W33" s="244">
        <f t="shared" si="15"/>
        <v>0</v>
      </c>
      <c r="X33" s="407">
        <v>0</v>
      </c>
      <c r="Y33" s="391"/>
      <c r="AA33" s="411"/>
      <c r="AB33" s="405"/>
      <c r="AC33" s="405"/>
      <c r="AD33" s="405"/>
      <c r="AE33" s="333">
        <f t="shared" si="16"/>
        <v>0</v>
      </c>
      <c r="AF33" s="345" t="str">
        <f t="shared" si="5"/>
        <v>Match</v>
      </c>
      <c r="AG33" s="294" t="str">
        <f t="shared" si="6"/>
        <v xml:space="preserve"> </v>
      </c>
      <c r="AH33" s="289" t="str">
        <f t="shared" si="7"/>
        <v xml:space="preserve"> </v>
      </c>
      <c r="AI33" s="289" t="str">
        <f t="shared" si="8"/>
        <v xml:space="preserve"> </v>
      </c>
      <c r="AJ33" s="289" t="str">
        <f t="shared" si="9"/>
        <v xml:space="preserve"> </v>
      </c>
      <c r="AK33" s="346">
        <f t="shared" si="17"/>
        <v>0</v>
      </c>
      <c r="AL33" s="280"/>
    </row>
    <row r="34" spans="2:38" x14ac:dyDescent="0.25">
      <c r="B34" s="392">
        <v>25</v>
      </c>
      <c r="C34" s="269">
        <f t="shared" si="18"/>
        <v>2035</v>
      </c>
      <c r="D34" s="398">
        <f>IFERROR(VLOOKUP(C34,'LTBR &amp; RORC'!B$6:C$46,2,FALSE),"")</f>
        <v>0</v>
      </c>
      <c r="E34" s="401">
        <v>0</v>
      </c>
      <c r="F34" s="401">
        <v>0</v>
      </c>
      <c r="G34" s="402">
        <v>0.04</v>
      </c>
      <c r="H34" s="262">
        <f t="shared" si="19"/>
        <v>0</v>
      </c>
      <c r="I34" s="262">
        <f t="shared" si="20"/>
        <v>0</v>
      </c>
      <c r="J34" s="262">
        <f t="shared" si="10"/>
        <v>0</v>
      </c>
      <c r="K34" s="262">
        <f t="shared" si="0"/>
        <v>0</v>
      </c>
      <c r="L34" s="262">
        <f t="shared" si="21"/>
        <v>0</v>
      </c>
      <c r="M34" s="263">
        <f t="shared" si="11"/>
        <v>0</v>
      </c>
      <c r="N34" s="381" t="str">
        <f t="shared" si="1"/>
        <v xml:space="preserve"> </v>
      </c>
      <c r="O34" s="405"/>
      <c r="P34" s="375">
        <f t="shared" si="2"/>
        <v>0</v>
      </c>
      <c r="Q34" s="375">
        <f t="shared" si="12"/>
        <v>0</v>
      </c>
      <c r="R34" s="375" t="str">
        <f t="shared" si="13"/>
        <v xml:space="preserve"> </v>
      </c>
      <c r="S34" s="375">
        <f t="shared" si="14"/>
        <v>0</v>
      </c>
      <c r="T34" s="285" t="str">
        <f t="shared" si="3"/>
        <v xml:space="preserve"> </v>
      </c>
      <c r="U34" s="407">
        <v>0</v>
      </c>
      <c r="V34" s="400" t="str">
        <f t="shared" si="4"/>
        <v>No</v>
      </c>
      <c r="W34" s="244">
        <f t="shared" si="15"/>
        <v>0</v>
      </c>
      <c r="X34" s="407">
        <v>0</v>
      </c>
      <c r="Y34" s="391"/>
      <c r="AA34" s="411"/>
      <c r="AB34" s="405"/>
      <c r="AC34" s="405"/>
      <c r="AD34" s="405"/>
      <c r="AE34" s="333">
        <f t="shared" si="16"/>
        <v>0</v>
      </c>
      <c r="AF34" s="345" t="str">
        <f t="shared" si="5"/>
        <v>Match</v>
      </c>
      <c r="AG34" s="294" t="str">
        <f t="shared" si="6"/>
        <v xml:space="preserve"> </v>
      </c>
      <c r="AH34" s="289" t="str">
        <f t="shared" si="7"/>
        <v xml:space="preserve"> </v>
      </c>
      <c r="AI34" s="289" t="str">
        <f t="shared" si="8"/>
        <v xml:space="preserve"> </v>
      </c>
      <c r="AJ34" s="289" t="str">
        <f t="shared" si="9"/>
        <v xml:space="preserve"> </v>
      </c>
      <c r="AK34" s="346">
        <f t="shared" si="17"/>
        <v>0</v>
      </c>
      <c r="AL34" s="280"/>
    </row>
    <row r="35" spans="2:38" x14ac:dyDescent="0.25">
      <c r="B35" s="392">
        <v>26</v>
      </c>
      <c r="C35" s="269">
        <f t="shared" si="18"/>
        <v>2036</v>
      </c>
      <c r="D35" s="398">
        <f>IFERROR(VLOOKUP(C35,'LTBR &amp; RORC'!B$6:C$46,2,FALSE),"")</f>
        <v>0</v>
      </c>
      <c r="E35" s="401">
        <v>0</v>
      </c>
      <c r="F35" s="401">
        <v>0</v>
      </c>
      <c r="G35" s="402">
        <v>0.04</v>
      </c>
      <c r="H35" s="262">
        <f t="shared" si="19"/>
        <v>0</v>
      </c>
      <c r="I35" s="262">
        <f t="shared" si="20"/>
        <v>0</v>
      </c>
      <c r="J35" s="262">
        <f t="shared" si="10"/>
        <v>0</v>
      </c>
      <c r="K35" s="262">
        <f t="shared" si="0"/>
        <v>0</v>
      </c>
      <c r="L35" s="262">
        <f t="shared" si="21"/>
        <v>0</v>
      </c>
      <c r="M35" s="263">
        <f t="shared" si="11"/>
        <v>0</v>
      </c>
      <c r="N35" s="381" t="str">
        <f t="shared" si="1"/>
        <v xml:space="preserve"> </v>
      </c>
      <c r="O35" s="405"/>
      <c r="P35" s="375">
        <f t="shared" si="2"/>
        <v>0</v>
      </c>
      <c r="Q35" s="374">
        <f t="shared" si="12"/>
        <v>0</v>
      </c>
      <c r="R35" s="374" t="str">
        <f t="shared" si="13"/>
        <v xml:space="preserve"> </v>
      </c>
      <c r="S35" s="374">
        <f t="shared" si="14"/>
        <v>0</v>
      </c>
      <c r="T35" s="285" t="str">
        <f t="shared" si="3"/>
        <v xml:space="preserve"> </v>
      </c>
      <c r="U35" s="407">
        <v>0</v>
      </c>
      <c r="V35" s="400" t="str">
        <f t="shared" si="4"/>
        <v>No</v>
      </c>
      <c r="W35" s="244">
        <f t="shared" si="15"/>
        <v>0</v>
      </c>
      <c r="X35" s="407">
        <v>0</v>
      </c>
      <c r="Y35" s="391"/>
      <c r="AA35" s="411"/>
      <c r="AB35" s="405"/>
      <c r="AC35" s="405"/>
      <c r="AD35" s="405"/>
      <c r="AE35" s="333">
        <f t="shared" si="16"/>
        <v>0</v>
      </c>
      <c r="AF35" s="345" t="str">
        <f t="shared" si="5"/>
        <v>Match</v>
      </c>
      <c r="AG35" s="294" t="str">
        <f t="shared" si="6"/>
        <v xml:space="preserve"> </v>
      </c>
      <c r="AH35" s="289" t="str">
        <f t="shared" si="7"/>
        <v xml:space="preserve"> </v>
      </c>
      <c r="AI35" s="289" t="str">
        <f t="shared" si="8"/>
        <v xml:space="preserve"> </v>
      </c>
      <c r="AJ35" s="289" t="str">
        <f t="shared" si="9"/>
        <v xml:space="preserve"> </v>
      </c>
      <c r="AK35" s="346">
        <f t="shared" si="17"/>
        <v>0</v>
      </c>
      <c r="AL35" s="280"/>
    </row>
    <row r="36" spans="2:38" x14ac:dyDescent="0.25">
      <c r="B36" s="392">
        <v>27</v>
      </c>
      <c r="C36" s="269">
        <f t="shared" si="18"/>
        <v>2037</v>
      </c>
      <c r="D36" s="398">
        <f>IFERROR(VLOOKUP(C36,'LTBR &amp; RORC'!B$6:C$46,2,FALSE),"")</f>
        <v>0</v>
      </c>
      <c r="E36" s="401">
        <v>0</v>
      </c>
      <c r="F36" s="401">
        <v>0</v>
      </c>
      <c r="G36" s="402">
        <v>0.04</v>
      </c>
      <c r="H36" s="262">
        <f t="shared" si="19"/>
        <v>0</v>
      </c>
      <c r="I36" s="262">
        <f t="shared" si="20"/>
        <v>0</v>
      </c>
      <c r="J36" s="262">
        <f t="shared" si="10"/>
        <v>0</v>
      </c>
      <c r="K36" s="262">
        <f t="shared" si="0"/>
        <v>0</v>
      </c>
      <c r="L36" s="262">
        <f t="shared" si="21"/>
        <v>0</v>
      </c>
      <c r="M36" s="263">
        <f t="shared" si="11"/>
        <v>0</v>
      </c>
      <c r="N36" s="381" t="str">
        <f t="shared" si="1"/>
        <v xml:space="preserve"> </v>
      </c>
      <c r="O36" s="405"/>
      <c r="P36" s="375">
        <f t="shared" si="2"/>
        <v>0</v>
      </c>
      <c r="Q36" s="375">
        <f t="shared" si="12"/>
        <v>0</v>
      </c>
      <c r="R36" s="375" t="str">
        <f t="shared" si="13"/>
        <v xml:space="preserve"> </v>
      </c>
      <c r="S36" s="375">
        <f t="shared" si="14"/>
        <v>0</v>
      </c>
      <c r="T36" s="285" t="str">
        <f t="shared" si="3"/>
        <v xml:space="preserve"> </v>
      </c>
      <c r="U36" s="407">
        <v>0</v>
      </c>
      <c r="V36" s="400" t="str">
        <f t="shared" si="4"/>
        <v>No</v>
      </c>
      <c r="W36" s="244">
        <f t="shared" si="15"/>
        <v>0</v>
      </c>
      <c r="X36" s="407">
        <v>0</v>
      </c>
      <c r="Y36" s="391"/>
      <c r="AA36" s="411"/>
      <c r="AB36" s="405"/>
      <c r="AC36" s="405"/>
      <c r="AD36" s="405"/>
      <c r="AE36" s="333">
        <f t="shared" si="16"/>
        <v>0</v>
      </c>
      <c r="AF36" s="345" t="str">
        <f t="shared" si="5"/>
        <v>Match</v>
      </c>
      <c r="AG36" s="294" t="str">
        <f t="shared" si="6"/>
        <v xml:space="preserve"> </v>
      </c>
      <c r="AH36" s="289" t="str">
        <f t="shared" si="7"/>
        <v xml:space="preserve"> </v>
      </c>
      <c r="AI36" s="289" t="str">
        <f t="shared" si="8"/>
        <v xml:space="preserve"> </v>
      </c>
      <c r="AJ36" s="289" t="str">
        <f t="shared" si="9"/>
        <v xml:space="preserve"> </v>
      </c>
      <c r="AK36" s="346">
        <f t="shared" si="17"/>
        <v>0</v>
      </c>
      <c r="AL36" s="280"/>
    </row>
    <row r="37" spans="2:38" ht="13.8" thickBot="1" x14ac:dyDescent="0.3">
      <c r="B37" s="394"/>
      <c r="C37" s="326"/>
      <c r="D37" s="326"/>
      <c r="E37" s="326"/>
      <c r="F37" s="326"/>
      <c r="G37" s="326"/>
      <c r="H37" s="257"/>
      <c r="I37" s="258"/>
      <c r="J37" s="259"/>
      <c r="K37" s="259"/>
      <c r="L37" s="260"/>
      <c r="M37" s="260"/>
      <c r="N37" s="260"/>
      <c r="O37" s="260"/>
      <c r="P37" s="260"/>
      <c r="Q37" s="260"/>
      <c r="R37" s="260"/>
      <c r="S37" s="260"/>
      <c r="T37" s="260"/>
      <c r="U37" s="270"/>
      <c r="V37" s="380"/>
      <c r="W37" s="270"/>
      <c r="X37" s="270"/>
      <c r="Y37" s="395"/>
      <c r="AA37" s="293"/>
      <c r="AB37" s="270"/>
      <c r="AC37" s="270"/>
      <c r="AD37" s="270"/>
      <c r="AE37" s="322"/>
      <c r="AF37" s="347"/>
      <c r="AG37" s="293"/>
      <c r="AH37" s="270"/>
      <c r="AI37" s="270"/>
      <c r="AJ37" s="270"/>
      <c r="AK37" s="334"/>
    </row>
    <row r="38" spans="2:38" x14ac:dyDescent="0.25">
      <c r="H38" s="261"/>
      <c r="I38" s="253"/>
      <c r="X38" s="264"/>
      <c r="Y38" s="264"/>
    </row>
    <row r="39" spans="2:38" x14ac:dyDescent="0.25">
      <c r="I39" s="329" t="s">
        <v>62</v>
      </c>
      <c r="J39" s="280">
        <f>SUM(J10:J38)</f>
        <v>0</v>
      </c>
      <c r="X39" s="264"/>
      <c r="Y39" s="264"/>
    </row>
    <row r="40" spans="2:38" x14ac:dyDescent="0.25">
      <c r="B40" s="324"/>
      <c r="U40" s="281"/>
      <c r="V40" s="264"/>
    </row>
    <row r="41" spans="2:38" x14ac:dyDescent="0.25">
      <c r="B41" s="324" t="s">
        <v>50</v>
      </c>
      <c r="F41" s="281"/>
      <c r="Q41" s="318" t="s">
        <v>48</v>
      </c>
      <c r="R41" s="302"/>
      <c r="S41" s="302"/>
      <c r="T41" s="302"/>
      <c r="U41" s="302"/>
      <c r="V41" s="303"/>
      <c r="W41" s="303"/>
      <c r="X41" s="304"/>
      <c r="Y41" s="305"/>
    </row>
    <row r="42" spans="2:38" x14ac:dyDescent="0.25">
      <c r="B42" s="281" t="s">
        <v>51</v>
      </c>
      <c r="F42" s="281"/>
      <c r="H42" s="275"/>
      <c r="Q42" s="306"/>
      <c r="R42" s="256"/>
      <c r="S42" s="256"/>
      <c r="T42" s="256"/>
      <c r="U42" s="256"/>
      <c r="V42" s="247" t="s">
        <v>41</v>
      </c>
      <c r="W42" s="307"/>
      <c r="X42" s="256"/>
      <c r="Y42" s="308">
        <f>-X24</f>
        <v>0</v>
      </c>
      <c r="Z42" s="265" t="s">
        <v>86</v>
      </c>
    </row>
    <row r="43" spans="2:38" x14ac:dyDescent="0.25">
      <c r="F43" s="281"/>
      <c r="G43" s="281"/>
      <c r="Q43" s="306"/>
      <c r="R43" s="256"/>
      <c r="S43" s="256"/>
      <c r="T43" s="256"/>
      <c r="U43" s="256"/>
      <c r="V43" s="247" t="s">
        <v>45</v>
      </c>
      <c r="W43" s="307"/>
      <c r="X43" s="256"/>
      <c r="Y43" s="308"/>
    </row>
    <row r="44" spans="2:38" x14ac:dyDescent="0.25">
      <c r="B44" s="281" t="s">
        <v>55</v>
      </c>
      <c r="F44" s="281"/>
      <c r="Q44" s="297"/>
      <c r="R44" s="298" t="s">
        <v>42</v>
      </c>
      <c r="S44" s="408"/>
      <c r="T44" s="299" t="s">
        <v>43</v>
      </c>
      <c r="U44" s="409"/>
      <c r="V44" s="247" t="s">
        <v>44</v>
      </c>
      <c r="W44" s="309"/>
      <c r="X44" s="310">
        <f>Y42*S44*U44</f>
        <v>0</v>
      </c>
      <c r="Y44" s="311"/>
    </row>
    <row r="45" spans="2:38" x14ac:dyDescent="0.25">
      <c r="B45" s="281" t="s">
        <v>52</v>
      </c>
      <c r="F45" s="281"/>
      <c r="Q45" s="297"/>
      <c r="R45" s="298" t="s">
        <v>42</v>
      </c>
      <c r="S45" s="408"/>
      <c r="T45" s="299" t="s">
        <v>43</v>
      </c>
      <c r="U45" s="300">
        <v>0.04</v>
      </c>
      <c r="V45" s="246" t="s">
        <v>44</v>
      </c>
      <c r="W45" s="316"/>
      <c r="X45" s="301">
        <f>Y42*S45*U45</f>
        <v>0</v>
      </c>
      <c r="Y45" s="312">
        <f>-SUM(X44:X45)</f>
        <v>0</v>
      </c>
    </row>
    <row r="46" spans="2:38" x14ac:dyDescent="0.25">
      <c r="B46" s="281" t="s">
        <v>61</v>
      </c>
      <c r="F46" s="281"/>
      <c r="Q46" s="306"/>
      <c r="R46" s="256"/>
      <c r="S46" s="256"/>
      <c r="T46" s="256"/>
      <c r="U46" s="256"/>
      <c r="V46" s="307"/>
      <c r="W46" s="307"/>
      <c r="X46" s="313"/>
      <c r="Y46" s="311"/>
    </row>
    <row r="47" spans="2:38" x14ac:dyDescent="0.25">
      <c r="B47" s="281" t="s">
        <v>54</v>
      </c>
      <c r="Q47" s="306"/>
      <c r="R47" s="256"/>
      <c r="S47" s="256"/>
      <c r="T47" s="256"/>
      <c r="U47" s="256"/>
      <c r="V47" s="307" t="s">
        <v>46</v>
      </c>
      <c r="W47" s="307"/>
      <c r="X47" s="313"/>
      <c r="Y47" s="372">
        <f>Y42+Y45</f>
        <v>0</v>
      </c>
      <c r="Z47" s="265" t="s">
        <v>85</v>
      </c>
      <c r="AA47" s="265"/>
    </row>
    <row r="48" spans="2:38" x14ac:dyDescent="0.25">
      <c r="Q48" s="314"/>
      <c r="R48" s="315"/>
      <c r="S48" s="315"/>
      <c r="T48" s="315"/>
      <c r="U48" s="315"/>
      <c r="V48" s="316"/>
      <c r="W48" s="316"/>
      <c r="X48" s="301"/>
      <c r="Y48" s="317"/>
    </row>
    <row r="49" spans="2:39" x14ac:dyDescent="0.25">
      <c r="B49" s="281" t="s">
        <v>27</v>
      </c>
      <c r="F49" s="72" t="s">
        <v>101</v>
      </c>
      <c r="U49" s="281"/>
      <c r="V49" s="264"/>
    </row>
    <row r="50" spans="2:39" x14ac:dyDescent="0.25">
      <c r="Q50" s="323" t="s">
        <v>53</v>
      </c>
      <c r="U50" s="281"/>
      <c r="V50" s="264"/>
    </row>
    <row r="53" spans="2:39" x14ac:dyDescent="0.25">
      <c r="AM53" s="252"/>
    </row>
    <row r="54" spans="2:39" x14ac:dyDescent="0.25">
      <c r="D54" s="282" t="s">
        <v>28</v>
      </c>
      <c r="E54" s="282"/>
      <c r="G54" s="348"/>
      <c r="I54" s="249" t="s">
        <v>0</v>
      </c>
      <c r="J54" s="250" t="s">
        <v>1</v>
      </c>
      <c r="K54" s="251" t="s">
        <v>2</v>
      </c>
      <c r="AM54" s="252"/>
    </row>
    <row r="55" spans="2:39" ht="12.75" customHeight="1" x14ac:dyDescent="0.25">
      <c r="G55" s="348"/>
      <c r="I55" s="252" t="s">
        <v>83</v>
      </c>
      <c r="J55" s="252"/>
      <c r="K55" s="252" t="s">
        <v>3</v>
      </c>
      <c r="L55" s="252" t="s">
        <v>4</v>
      </c>
      <c r="M55" s="438" t="s">
        <v>5</v>
      </c>
      <c r="N55" s="438"/>
      <c r="O55" s="438"/>
      <c r="P55" s="438"/>
      <c r="Q55" s="438"/>
      <c r="R55" s="438"/>
      <c r="S55" s="438"/>
      <c r="T55" s="438"/>
      <c r="U55" s="438"/>
      <c r="V55" s="438"/>
      <c r="W55" s="438"/>
      <c r="X55" s="438"/>
      <c r="Y55" s="438"/>
      <c r="Z55" s="438"/>
      <c r="AA55" s="438"/>
      <c r="AM55" s="252"/>
    </row>
    <row r="56" spans="2:39" x14ac:dyDescent="0.25">
      <c r="M56" s="281" t="s">
        <v>84</v>
      </c>
      <c r="AM56" s="252"/>
    </row>
  </sheetData>
  <mergeCells count="7">
    <mergeCell ref="AG7:AK7"/>
    <mergeCell ref="M55:AA55"/>
    <mergeCell ref="F4:I4"/>
    <mergeCell ref="F5:I5"/>
    <mergeCell ref="F6:I6"/>
    <mergeCell ref="X6:Y6"/>
    <mergeCell ref="AA7:AE7"/>
  </mergeCells>
  <hyperlinks>
    <hyperlink ref="F49"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ignoredErrors>
    <ignoredError sqref="J5" unlockedFormula="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56"/>
  <sheetViews>
    <sheetView zoomScale="80" zoomScaleNormal="80" zoomScaleSheetLayoutView="90" workbookViewId="0">
      <selection activeCell="A10" sqref="A10"/>
    </sheetView>
  </sheetViews>
  <sheetFormatPr defaultColWidth="9.109375" defaultRowHeight="13.2" x14ac:dyDescent="0.25"/>
  <cols>
    <col min="1" max="1" width="2.109375" style="177" customWidth="1"/>
    <col min="2" max="2" width="7.44140625" style="177" customWidth="1"/>
    <col min="3" max="3" width="6.5546875" style="177" customWidth="1"/>
    <col min="4" max="4" width="8" style="177" customWidth="1"/>
    <col min="5" max="5" width="9.88671875" style="177" customWidth="1"/>
    <col min="6" max="6" width="9.44140625" style="163" customWidth="1"/>
    <col min="7" max="7" width="8.44140625" style="163" customWidth="1"/>
    <col min="8" max="8" width="15.44140625" style="177" customWidth="1"/>
    <col min="9" max="9" width="16.6640625" style="177" customWidth="1"/>
    <col min="10" max="10" width="16.44140625" style="177" customWidth="1"/>
    <col min="11" max="11" width="15.6640625" style="177" customWidth="1"/>
    <col min="12" max="12" width="15.33203125" style="177" customWidth="1"/>
    <col min="13" max="13" width="14" style="177" customWidth="1"/>
    <col min="14" max="14" width="14" style="212" customWidth="1"/>
    <col min="15" max="15" width="11.5546875" style="177" customWidth="1"/>
    <col min="16" max="16" width="12.33203125" style="177" bestFit="1" customWidth="1"/>
    <col min="17" max="17" width="13.44140625" style="212" bestFit="1" customWidth="1"/>
    <col min="18" max="18" width="11.33203125" style="177" customWidth="1"/>
    <col min="19" max="19" width="14.44140625" style="177" customWidth="1"/>
    <col min="20" max="20" width="12.5546875" style="177" bestFit="1" customWidth="1"/>
    <col min="21" max="21" width="14" style="169" customWidth="1"/>
    <col min="22" max="22" width="9" style="235" customWidth="1"/>
    <col min="23" max="23" width="14.109375" style="210" customWidth="1"/>
    <col min="24" max="24" width="14.109375" style="177" customWidth="1"/>
    <col min="25" max="25" width="13.44140625" style="177" customWidth="1"/>
    <col min="26" max="26" width="5" style="177" customWidth="1"/>
    <col min="27" max="30" width="10" style="177" customWidth="1"/>
    <col min="31" max="32" width="10" style="163" customWidth="1"/>
    <col min="33" max="34" width="12.5546875" style="177" customWidth="1"/>
    <col min="35" max="35" width="12.33203125" style="177" customWidth="1"/>
    <col min="36" max="36" width="11" style="177" customWidth="1"/>
    <col min="37" max="37" width="15.5546875" style="177" customWidth="1"/>
    <col min="38" max="38" width="12.33203125" style="177" bestFit="1" customWidth="1"/>
    <col min="39" max="16384" width="9.109375" style="177"/>
  </cols>
  <sheetData>
    <row r="1" spans="1:38" x14ac:dyDescent="0.25">
      <c r="A1" s="256"/>
      <c r="B1" s="256"/>
      <c r="C1" s="256"/>
      <c r="D1" s="256"/>
      <c r="E1" s="256"/>
      <c r="F1" s="348"/>
      <c r="G1" s="348"/>
      <c r="H1" s="256"/>
      <c r="I1" s="348"/>
      <c r="J1" s="348"/>
      <c r="K1" s="348"/>
      <c r="L1" s="348"/>
      <c r="M1" s="383"/>
      <c r="N1" s="383"/>
      <c r="O1" s="383"/>
      <c r="P1" s="383"/>
      <c r="Q1" s="383"/>
      <c r="R1" s="383"/>
      <c r="S1" s="383"/>
      <c r="T1" s="383"/>
      <c r="U1" s="383"/>
      <c r="V1" s="384"/>
      <c r="W1" s="383" t="s">
        <v>80</v>
      </c>
      <c r="X1" s="383"/>
      <c r="Y1" s="383"/>
      <c r="Z1" s="383"/>
      <c r="AA1" s="190"/>
      <c r="AB1" s="190"/>
      <c r="AC1" s="190"/>
      <c r="AD1" s="190"/>
      <c r="AE1" s="186"/>
      <c r="AF1" s="186"/>
      <c r="AG1" s="190"/>
      <c r="AH1" s="190"/>
      <c r="AI1" s="190"/>
      <c r="AJ1" s="190"/>
      <c r="AK1" s="190"/>
    </row>
    <row r="3" spans="1:38" ht="13.8" thickBot="1" x14ac:dyDescent="0.3">
      <c r="F3" s="191" t="s">
        <v>60</v>
      </c>
      <c r="J3" s="163"/>
      <c r="K3" s="174"/>
    </row>
    <row r="4" spans="1:38" ht="14.25" customHeight="1" thickBot="1" x14ac:dyDescent="0.35">
      <c r="F4" s="439" t="s">
        <v>16</v>
      </c>
      <c r="G4" s="440"/>
      <c r="H4" s="441"/>
      <c r="I4" s="441"/>
      <c r="J4" s="403">
        <v>40634</v>
      </c>
      <c r="K4" s="174"/>
      <c r="L4" s="197" t="s">
        <v>98</v>
      </c>
    </row>
    <row r="5" spans="1:38" ht="14.25" customHeight="1" x14ac:dyDescent="0.25">
      <c r="F5" s="439" t="s">
        <v>26</v>
      </c>
      <c r="G5" s="440"/>
      <c r="H5" s="441"/>
      <c r="I5" s="441"/>
      <c r="J5" s="412">
        <f>DATE(YEAR(J4),12,31)-J4</f>
        <v>274</v>
      </c>
      <c r="K5" s="174"/>
      <c r="V5" s="379"/>
      <c r="W5" s="264"/>
    </row>
    <row r="6" spans="1:38" ht="13.8" thickBot="1" x14ac:dyDescent="0.3">
      <c r="B6" s="175"/>
      <c r="C6" s="170" t="s">
        <v>24</v>
      </c>
      <c r="F6" s="442" t="s">
        <v>25</v>
      </c>
      <c r="G6" s="443"/>
      <c r="H6" s="444"/>
      <c r="I6" s="444"/>
      <c r="J6" s="404">
        <v>100000000</v>
      </c>
      <c r="O6" s="167"/>
      <c r="P6" s="281"/>
      <c r="Q6" s="281"/>
      <c r="V6" s="379"/>
      <c r="W6" s="264"/>
      <c r="X6" s="445" t="s">
        <v>81</v>
      </c>
      <c r="Y6" s="446"/>
    </row>
    <row r="7" spans="1:38" ht="21" customHeight="1" thickBot="1" x14ac:dyDescent="0.3">
      <c r="AA7" s="435" t="s">
        <v>35</v>
      </c>
      <c r="AB7" s="436"/>
      <c r="AC7" s="436"/>
      <c r="AD7" s="436"/>
      <c r="AE7" s="437"/>
      <c r="AF7" s="193"/>
      <c r="AG7" s="435" t="s">
        <v>30</v>
      </c>
      <c r="AH7" s="436"/>
      <c r="AI7" s="436"/>
      <c r="AJ7" s="436"/>
      <c r="AK7" s="437"/>
    </row>
    <row r="8" spans="1:38" s="170" customFormat="1" ht="53.4" thickBot="1" x14ac:dyDescent="0.3">
      <c r="B8" s="377" t="s">
        <v>6</v>
      </c>
      <c r="C8" s="378" t="s">
        <v>23</v>
      </c>
      <c r="D8" s="386" t="s">
        <v>19</v>
      </c>
      <c r="E8" s="387" t="s">
        <v>82</v>
      </c>
      <c r="F8" s="378" t="s">
        <v>59</v>
      </c>
      <c r="G8" s="378" t="s">
        <v>58</v>
      </c>
      <c r="H8" s="378" t="s">
        <v>13</v>
      </c>
      <c r="I8" s="378" t="s">
        <v>14</v>
      </c>
      <c r="J8" s="378" t="s">
        <v>7</v>
      </c>
      <c r="K8" s="378" t="s">
        <v>15</v>
      </c>
      <c r="L8" s="378" t="s">
        <v>17</v>
      </c>
      <c r="M8" s="378" t="s">
        <v>8</v>
      </c>
      <c r="N8" s="378" t="s">
        <v>9</v>
      </c>
      <c r="O8" s="378" t="s">
        <v>10</v>
      </c>
      <c r="P8" s="388" t="s">
        <v>78</v>
      </c>
      <c r="Q8" s="378" t="s">
        <v>77</v>
      </c>
      <c r="R8" s="378" t="s">
        <v>11</v>
      </c>
      <c r="S8" s="378" t="s">
        <v>49</v>
      </c>
      <c r="T8" s="283" t="s">
        <v>12</v>
      </c>
      <c r="U8" s="272" t="s">
        <v>89</v>
      </c>
      <c r="V8" s="272" t="s">
        <v>76</v>
      </c>
      <c r="W8" s="272" t="s">
        <v>79</v>
      </c>
      <c r="X8" s="272" t="s">
        <v>87</v>
      </c>
      <c r="Y8" s="291" t="s">
        <v>88</v>
      </c>
      <c r="AA8" s="410" t="s">
        <v>31</v>
      </c>
      <c r="AB8" s="410" t="s">
        <v>32</v>
      </c>
      <c r="AC8" s="410" t="s">
        <v>33</v>
      </c>
      <c r="AD8" s="173" t="s">
        <v>34</v>
      </c>
      <c r="AE8" s="181" t="s">
        <v>67</v>
      </c>
      <c r="AF8" s="194" t="s">
        <v>63</v>
      </c>
      <c r="AG8" s="180" t="str">
        <f>AA8</f>
        <v>OSR Project 1</v>
      </c>
      <c r="AH8" s="180" t="str">
        <f>AB8</f>
        <v>OSR Project 2</v>
      </c>
      <c r="AI8" s="180" t="str">
        <f>AC8</f>
        <v>OSR Project 3</v>
      </c>
      <c r="AJ8" s="173" t="s">
        <v>34</v>
      </c>
      <c r="AK8" s="378" t="s">
        <v>49</v>
      </c>
    </row>
    <row r="9" spans="1:38" ht="13.8" thickBot="1" x14ac:dyDescent="0.3">
      <c r="B9" s="396"/>
      <c r="C9" s="276"/>
      <c r="D9" s="279"/>
      <c r="E9" s="295"/>
      <c r="F9" s="277"/>
      <c r="G9" s="277"/>
      <c r="H9" s="277"/>
      <c r="I9" s="277"/>
      <c r="J9" s="277"/>
      <c r="K9" s="278"/>
      <c r="L9" s="277"/>
      <c r="M9" s="277"/>
      <c r="N9" s="277"/>
      <c r="O9" s="277"/>
      <c r="P9" s="277"/>
      <c r="Q9" s="277"/>
      <c r="R9" s="277"/>
      <c r="S9" s="277"/>
      <c r="T9" s="284"/>
      <c r="U9" s="288"/>
      <c r="V9" s="288"/>
      <c r="W9" s="288"/>
      <c r="X9" s="266"/>
      <c r="Y9" s="389"/>
      <c r="AA9" s="182"/>
      <c r="AB9" s="171"/>
      <c r="AC9" s="171"/>
      <c r="AD9" s="171"/>
      <c r="AE9" s="187"/>
      <c r="AF9" s="200"/>
      <c r="AG9" s="182"/>
      <c r="AH9" s="171"/>
      <c r="AI9" s="171"/>
      <c r="AJ9" s="171"/>
      <c r="AK9" s="201"/>
    </row>
    <row r="10" spans="1:38" x14ac:dyDescent="0.25">
      <c r="B10" s="390">
        <v>1</v>
      </c>
      <c r="C10" s="269">
        <v>2011</v>
      </c>
      <c r="D10" s="273">
        <v>3.2899999999999999E-2</v>
      </c>
      <c r="E10" s="401">
        <v>1000</v>
      </c>
      <c r="F10" s="401">
        <v>800</v>
      </c>
      <c r="G10" s="402">
        <v>0.04</v>
      </c>
      <c r="H10" s="263">
        <f>J6</f>
        <v>100000000</v>
      </c>
      <c r="I10" s="263">
        <v>100000000</v>
      </c>
      <c r="J10" s="263">
        <f>(H10*G10)*J5/365</f>
        <v>3002739.7260273974</v>
      </c>
      <c r="K10" s="263">
        <f>I10-J10</f>
        <v>96997260.273972601</v>
      </c>
      <c r="L10" s="382">
        <f>IFERROR(((I10+K10)/2)*D10*J5/365,"")</f>
        <v>2432673.2910489775</v>
      </c>
      <c r="M10" s="263">
        <f>IFERROR(L10+J10,"")</f>
        <v>5435413.017076375</v>
      </c>
      <c r="N10" s="381">
        <f t="shared" ref="N10:N36" si="0">IFERROR(IF(F10/E10&gt;0.75,M10/F10,M10/(E10*0.75))," ")</f>
        <v>6794.2662713454683</v>
      </c>
      <c r="O10" s="405">
        <v>1000000</v>
      </c>
      <c r="P10" s="374">
        <f>IF(V10="Yes",U10,0)</f>
        <v>0</v>
      </c>
      <c r="Q10" s="374">
        <f>IFERROR(O10+P10,"")</f>
        <v>1000000</v>
      </c>
      <c r="R10" s="374">
        <f>IFERROR(Q10/F10," ")</f>
        <v>1250</v>
      </c>
      <c r="S10" s="374">
        <f>IFERROR((M10+Q10),"")</f>
        <v>6435413.017076375</v>
      </c>
      <c r="T10" s="285">
        <f t="shared" ref="T10:T36" si="1">IFERROR(N10+R10," ")</f>
        <v>8044.2662713454683</v>
      </c>
      <c r="U10" s="406">
        <v>0</v>
      </c>
      <c r="V10" s="399" t="str">
        <f t="shared" ref="V10:V36" si="2">IF(U10&lt;(H10*0.1),"Yes","No")</f>
        <v>Yes</v>
      </c>
      <c r="W10" s="243">
        <f>IF(V10="No",U10,0)</f>
        <v>0</v>
      </c>
      <c r="X10" s="406">
        <v>0</v>
      </c>
      <c r="Y10" s="391"/>
      <c r="AA10" s="411">
        <v>350</v>
      </c>
      <c r="AB10" s="405">
        <v>250</v>
      </c>
      <c r="AC10" s="405">
        <v>150</v>
      </c>
      <c r="AD10" s="405">
        <v>50</v>
      </c>
      <c r="AE10" s="195">
        <f>SUM(AA10:AD10)</f>
        <v>800</v>
      </c>
      <c r="AF10" s="202" t="str">
        <f t="shared" ref="AF10:AF36" si="3">IF(F10=AE10,"Match","Error")</f>
        <v>Match</v>
      </c>
      <c r="AG10" s="198">
        <f t="shared" ref="AG10:AG36" si="4">IFERROR(AA10*T10," ")</f>
        <v>2815493.1949709137</v>
      </c>
      <c r="AH10" s="199">
        <f t="shared" ref="AH10:AH36" si="5">IFERROR(AB10*T10," ")</f>
        <v>2011066.5678363671</v>
      </c>
      <c r="AI10" s="199">
        <f t="shared" ref="AI10:AI36" si="6">IFERROR(AC10*T10," ")</f>
        <v>1206639.9407018202</v>
      </c>
      <c r="AJ10" s="199">
        <f t="shared" ref="AJ10:AJ36" si="7">IFERROR(AD10*T10," ")</f>
        <v>402213.31356727344</v>
      </c>
      <c r="AK10" s="203">
        <f>SUM(AG10:AJ10)</f>
        <v>6435413.017076374</v>
      </c>
      <c r="AL10" s="176"/>
    </row>
    <row r="11" spans="1:38" x14ac:dyDescent="0.25">
      <c r="B11" s="392">
        <v>2</v>
      </c>
      <c r="C11" s="269">
        <v>2012</v>
      </c>
      <c r="D11" s="273">
        <v>2.4299999999999999E-2</v>
      </c>
      <c r="E11" s="401">
        <v>1000</v>
      </c>
      <c r="F11" s="401">
        <v>800</v>
      </c>
      <c r="G11" s="402">
        <v>0.04</v>
      </c>
      <c r="H11" s="262">
        <f>H10+W10+X10</f>
        <v>100000000</v>
      </c>
      <c r="I11" s="262">
        <f>K10+W10+Y10</f>
        <v>96997260.273972601</v>
      </c>
      <c r="J11" s="262">
        <f t="shared" ref="J11:J36" si="8">IF((H11*G11)&gt;I11,I11,(H11*G11))</f>
        <v>4000000</v>
      </c>
      <c r="K11" s="262">
        <f t="shared" ref="K11:K36" si="9">I11-J11</f>
        <v>92997260.273972601</v>
      </c>
      <c r="L11" s="262">
        <f>IFERROR(((I11+K11)/2)*D11,"")</f>
        <v>2308433.4246575339</v>
      </c>
      <c r="M11" s="263">
        <f t="shared" ref="M11:M36" si="10">IFERROR(L11+J11,"")</f>
        <v>6308433.4246575339</v>
      </c>
      <c r="N11" s="381">
        <f t="shared" si="0"/>
        <v>7885.5417808219172</v>
      </c>
      <c r="O11" s="405">
        <v>1000000</v>
      </c>
      <c r="P11" s="375">
        <f t="shared" ref="P11:P36" si="11">IF(V11="Yes",U11,0)</f>
        <v>0</v>
      </c>
      <c r="Q11" s="375">
        <f t="shared" ref="Q11:Q36" si="12">IFERROR(O11+P11,"")</f>
        <v>1000000</v>
      </c>
      <c r="R11" s="375">
        <f t="shared" ref="R11:R36" si="13">IFERROR(Q11/F11," ")</f>
        <v>1250</v>
      </c>
      <c r="S11" s="375">
        <f t="shared" ref="S11:S36" si="14">IFERROR(M11+Q11,"")</f>
        <v>7308433.4246575339</v>
      </c>
      <c r="T11" s="285">
        <f t="shared" si="1"/>
        <v>9135.5417808219172</v>
      </c>
      <c r="U11" s="406">
        <v>0</v>
      </c>
      <c r="V11" s="399" t="str">
        <f t="shared" si="2"/>
        <v>Yes</v>
      </c>
      <c r="W11" s="243">
        <f t="shared" ref="W11:W36" si="15">IF(V11="No",U11,0)</f>
        <v>0</v>
      </c>
      <c r="X11" s="406">
        <v>0</v>
      </c>
      <c r="Y11" s="391"/>
      <c r="AA11" s="411">
        <v>350</v>
      </c>
      <c r="AB11" s="405">
        <v>250</v>
      </c>
      <c r="AC11" s="405">
        <v>150</v>
      </c>
      <c r="AD11" s="405">
        <v>50</v>
      </c>
      <c r="AE11" s="195">
        <f t="shared" ref="AE11:AE36" si="16">SUM(AA11:AD11)</f>
        <v>800</v>
      </c>
      <c r="AF11" s="204" t="str">
        <f t="shared" si="3"/>
        <v>Match</v>
      </c>
      <c r="AG11" s="184">
        <f t="shared" si="4"/>
        <v>3197439.6232876712</v>
      </c>
      <c r="AH11" s="179">
        <f t="shared" si="5"/>
        <v>2283885.4452054794</v>
      </c>
      <c r="AI11" s="179">
        <f t="shared" si="6"/>
        <v>1370331.2671232875</v>
      </c>
      <c r="AJ11" s="179">
        <f t="shared" si="7"/>
        <v>456777.08904109587</v>
      </c>
      <c r="AK11" s="205">
        <f t="shared" ref="AK11:AK36" si="17">SUM(AG11:AJ11)</f>
        <v>7308433.4246575339</v>
      </c>
      <c r="AL11" s="176"/>
    </row>
    <row r="12" spans="1:38" x14ac:dyDescent="0.25">
      <c r="B12" s="392">
        <v>3</v>
      </c>
      <c r="C12" s="269">
        <v>2013</v>
      </c>
      <c r="D12" s="273">
        <v>2.8400000000000002E-2</v>
      </c>
      <c r="E12" s="401">
        <v>1000</v>
      </c>
      <c r="F12" s="401">
        <v>800</v>
      </c>
      <c r="G12" s="402">
        <v>0.04</v>
      </c>
      <c r="H12" s="267">
        <f t="shared" ref="H12:H36" si="18">H11+W11+X11</f>
        <v>100000000</v>
      </c>
      <c r="I12" s="267">
        <f t="shared" ref="I12:I36" si="19">K11+W11+Y11</f>
        <v>92997260.273972601</v>
      </c>
      <c r="J12" s="267">
        <f t="shared" si="8"/>
        <v>4000000</v>
      </c>
      <c r="K12" s="267">
        <f t="shared" si="9"/>
        <v>88997260.273972601</v>
      </c>
      <c r="L12" s="262">
        <f t="shared" ref="L12:L36" si="20">IFERROR(((I12+K12)/2)*D12,"")</f>
        <v>2584322.1917808219</v>
      </c>
      <c r="M12" s="268">
        <f t="shared" si="10"/>
        <v>6584322.1917808224</v>
      </c>
      <c r="N12" s="381">
        <f t="shared" si="0"/>
        <v>8230.4027397260288</v>
      </c>
      <c r="O12" s="405">
        <v>1000000</v>
      </c>
      <c r="P12" s="376">
        <f t="shared" si="11"/>
        <v>1000000</v>
      </c>
      <c r="Q12" s="376">
        <f t="shared" si="12"/>
        <v>2000000</v>
      </c>
      <c r="R12" s="376">
        <f t="shared" si="13"/>
        <v>2500</v>
      </c>
      <c r="S12" s="376">
        <f t="shared" si="14"/>
        <v>8584322.1917808224</v>
      </c>
      <c r="T12" s="285">
        <f t="shared" si="1"/>
        <v>10730.402739726029</v>
      </c>
      <c r="U12" s="406">
        <v>1000000</v>
      </c>
      <c r="V12" s="399" t="str">
        <f t="shared" si="2"/>
        <v>Yes</v>
      </c>
      <c r="W12" s="243">
        <f t="shared" si="15"/>
        <v>0</v>
      </c>
      <c r="X12" s="406">
        <v>0</v>
      </c>
      <c r="Y12" s="391"/>
      <c r="AA12" s="411">
        <v>350</v>
      </c>
      <c r="AB12" s="405">
        <v>250</v>
      </c>
      <c r="AC12" s="405">
        <v>150</v>
      </c>
      <c r="AD12" s="405">
        <v>50</v>
      </c>
      <c r="AE12" s="195">
        <f t="shared" si="16"/>
        <v>800</v>
      </c>
      <c r="AF12" s="204" t="str">
        <f t="shared" si="3"/>
        <v>Match</v>
      </c>
      <c r="AG12" s="184">
        <f t="shared" si="4"/>
        <v>3755640.9589041099</v>
      </c>
      <c r="AH12" s="179">
        <f t="shared" si="5"/>
        <v>2682600.6849315073</v>
      </c>
      <c r="AI12" s="179">
        <f t="shared" si="6"/>
        <v>1609560.4109589043</v>
      </c>
      <c r="AJ12" s="179">
        <f t="shared" si="7"/>
        <v>536520.1369863014</v>
      </c>
      <c r="AK12" s="205">
        <f t="shared" si="17"/>
        <v>8584322.1917808242</v>
      </c>
      <c r="AL12" s="176"/>
    </row>
    <row r="13" spans="1:38" x14ac:dyDescent="0.25">
      <c r="B13" s="392">
        <v>4</v>
      </c>
      <c r="C13" s="269">
        <v>2014</v>
      </c>
      <c r="D13" s="273">
        <v>2.7300000000000001E-2</v>
      </c>
      <c r="E13" s="401">
        <v>1000</v>
      </c>
      <c r="F13" s="401">
        <v>800</v>
      </c>
      <c r="G13" s="402">
        <v>0.04</v>
      </c>
      <c r="H13" s="262">
        <f t="shared" si="18"/>
        <v>100000000</v>
      </c>
      <c r="I13" s="262">
        <f t="shared" si="19"/>
        <v>88997260.273972601</v>
      </c>
      <c r="J13" s="262">
        <f t="shared" si="8"/>
        <v>4000000</v>
      </c>
      <c r="K13" s="262">
        <f t="shared" si="9"/>
        <v>84997260.273972601</v>
      </c>
      <c r="L13" s="262">
        <f t="shared" si="20"/>
        <v>2375025.2054794519</v>
      </c>
      <c r="M13" s="263">
        <f t="shared" si="10"/>
        <v>6375025.2054794524</v>
      </c>
      <c r="N13" s="381">
        <f t="shared" si="0"/>
        <v>7968.7815068493155</v>
      </c>
      <c r="O13" s="405">
        <v>1000000</v>
      </c>
      <c r="P13" s="375">
        <f t="shared" si="11"/>
        <v>0</v>
      </c>
      <c r="Q13" s="375">
        <f t="shared" si="12"/>
        <v>1000000</v>
      </c>
      <c r="R13" s="375">
        <f t="shared" si="13"/>
        <v>1250</v>
      </c>
      <c r="S13" s="375">
        <f t="shared" si="14"/>
        <v>7375025.2054794524</v>
      </c>
      <c r="T13" s="285">
        <f t="shared" si="1"/>
        <v>9218.7815068493146</v>
      </c>
      <c r="U13" s="406">
        <v>0</v>
      </c>
      <c r="V13" s="399" t="str">
        <f t="shared" si="2"/>
        <v>Yes</v>
      </c>
      <c r="W13" s="243">
        <f t="shared" si="15"/>
        <v>0</v>
      </c>
      <c r="X13" s="406">
        <v>0</v>
      </c>
      <c r="Y13" s="391"/>
      <c r="AA13" s="411">
        <v>350</v>
      </c>
      <c r="AB13" s="405">
        <v>250</v>
      </c>
      <c r="AC13" s="405">
        <v>150</v>
      </c>
      <c r="AD13" s="405">
        <v>50</v>
      </c>
      <c r="AE13" s="195">
        <f t="shared" si="16"/>
        <v>800</v>
      </c>
      <c r="AF13" s="204" t="str">
        <f t="shared" si="3"/>
        <v>Match</v>
      </c>
      <c r="AG13" s="184">
        <f t="shared" si="4"/>
        <v>3226573.5273972601</v>
      </c>
      <c r="AH13" s="179">
        <f t="shared" si="5"/>
        <v>2304695.3767123288</v>
      </c>
      <c r="AI13" s="179">
        <f t="shared" si="6"/>
        <v>1382817.2260273972</v>
      </c>
      <c r="AJ13" s="179">
        <f t="shared" si="7"/>
        <v>460939.07534246572</v>
      </c>
      <c r="AK13" s="205">
        <f t="shared" si="17"/>
        <v>7375025.2054794524</v>
      </c>
      <c r="AL13" s="176"/>
    </row>
    <row r="14" spans="1:38" x14ac:dyDescent="0.25">
      <c r="B14" s="392">
        <v>5</v>
      </c>
      <c r="C14" s="269">
        <v>2015</v>
      </c>
      <c r="D14" s="398">
        <v>2.1700000000000001E-2</v>
      </c>
      <c r="E14" s="401">
        <v>1000</v>
      </c>
      <c r="F14" s="401">
        <v>800</v>
      </c>
      <c r="G14" s="402">
        <v>0.04</v>
      </c>
      <c r="H14" s="262">
        <f t="shared" si="18"/>
        <v>100000000</v>
      </c>
      <c r="I14" s="262">
        <f t="shared" si="19"/>
        <v>84997260.273972601</v>
      </c>
      <c r="J14" s="262">
        <f t="shared" si="8"/>
        <v>4000000</v>
      </c>
      <c r="K14" s="262">
        <f t="shared" si="9"/>
        <v>80997260.273972601</v>
      </c>
      <c r="L14" s="262">
        <f t="shared" si="20"/>
        <v>1801040.5479452056</v>
      </c>
      <c r="M14" s="263">
        <f t="shared" si="10"/>
        <v>5801040.5479452051</v>
      </c>
      <c r="N14" s="381">
        <f t="shared" si="0"/>
        <v>7251.3006849315061</v>
      </c>
      <c r="O14" s="405">
        <v>1000000</v>
      </c>
      <c r="P14" s="375">
        <f t="shared" si="11"/>
        <v>0</v>
      </c>
      <c r="Q14" s="375">
        <f t="shared" si="12"/>
        <v>1000000</v>
      </c>
      <c r="R14" s="375">
        <f t="shared" si="13"/>
        <v>1250</v>
      </c>
      <c r="S14" s="375">
        <f t="shared" si="14"/>
        <v>6801040.5479452051</v>
      </c>
      <c r="T14" s="285">
        <f t="shared" si="1"/>
        <v>8501.3006849315061</v>
      </c>
      <c r="U14" s="406">
        <v>0</v>
      </c>
      <c r="V14" s="399" t="str">
        <f t="shared" si="2"/>
        <v>Yes</v>
      </c>
      <c r="W14" s="243">
        <f t="shared" si="15"/>
        <v>0</v>
      </c>
      <c r="X14" s="406">
        <v>0</v>
      </c>
      <c r="Y14" s="391"/>
      <c r="AA14" s="411">
        <v>350</v>
      </c>
      <c r="AB14" s="405">
        <v>250</v>
      </c>
      <c r="AC14" s="405">
        <v>150</v>
      </c>
      <c r="AD14" s="405">
        <v>50</v>
      </c>
      <c r="AE14" s="195">
        <f t="shared" si="16"/>
        <v>800</v>
      </c>
      <c r="AF14" s="204" t="str">
        <f t="shared" si="3"/>
        <v>Match</v>
      </c>
      <c r="AG14" s="184">
        <f t="shared" si="4"/>
        <v>2975455.239726027</v>
      </c>
      <c r="AH14" s="179">
        <f t="shared" si="5"/>
        <v>2125325.1712328764</v>
      </c>
      <c r="AI14" s="179">
        <f t="shared" si="6"/>
        <v>1275195.102739726</v>
      </c>
      <c r="AJ14" s="179">
        <f t="shared" si="7"/>
        <v>425065.03424657532</v>
      </c>
      <c r="AK14" s="205">
        <f t="shared" si="17"/>
        <v>6801040.5479452042</v>
      </c>
      <c r="AL14" s="176"/>
    </row>
    <row r="15" spans="1:38" x14ac:dyDescent="0.25">
      <c r="B15" s="392">
        <v>6</v>
      </c>
      <c r="C15" s="269">
        <v>2016</v>
      </c>
      <c r="D15" s="398">
        <v>1.9199999999999998E-2</v>
      </c>
      <c r="E15" s="401">
        <v>1000</v>
      </c>
      <c r="F15" s="401">
        <v>800</v>
      </c>
      <c r="G15" s="402">
        <v>0.04</v>
      </c>
      <c r="H15" s="262">
        <f t="shared" si="18"/>
        <v>100000000</v>
      </c>
      <c r="I15" s="262">
        <f t="shared" si="19"/>
        <v>80997260.273972601</v>
      </c>
      <c r="J15" s="262">
        <f t="shared" si="8"/>
        <v>4000000</v>
      </c>
      <c r="K15" s="262">
        <f t="shared" si="9"/>
        <v>76997260.273972601</v>
      </c>
      <c r="L15" s="262">
        <f>IFERROR(((I15+K15)/2)*D15,"")</f>
        <v>1516747.3972602738</v>
      </c>
      <c r="M15" s="263">
        <f t="shared" si="10"/>
        <v>5516747.3972602738</v>
      </c>
      <c r="N15" s="381">
        <f t="shared" si="0"/>
        <v>6895.9342465753425</v>
      </c>
      <c r="O15" s="405">
        <v>1000000</v>
      </c>
      <c r="P15" s="375">
        <f t="shared" si="11"/>
        <v>0</v>
      </c>
      <c r="Q15" s="375">
        <f t="shared" si="12"/>
        <v>1000000</v>
      </c>
      <c r="R15" s="375">
        <f t="shared" si="13"/>
        <v>1250</v>
      </c>
      <c r="S15" s="375">
        <f t="shared" si="14"/>
        <v>6516747.3972602738</v>
      </c>
      <c r="T15" s="285">
        <f t="shared" si="1"/>
        <v>8145.9342465753425</v>
      </c>
      <c r="U15" s="406">
        <v>0</v>
      </c>
      <c r="V15" s="399" t="str">
        <f t="shared" si="2"/>
        <v>Yes</v>
      </c>
      <c r="W15" s="243">
        <f t="shared" si="15"/>
        <v>0</v>
      </c>
      <c r="X15" s="406">
        <v>0</v>
      </c>
      <c r="Y15" s="391"/>
      <c r="AA15" s="411">
        <v>350</v>
      </c>
      <c r="AB15" s="405">
        <v>250</v>
      </c>
      <c r="AC15" s="405">
        <v>150</v>
      </c>
      <c r="AD15" s="405">
        <v>50</v>
      </c>
      <c r="AE15" s="195">
        <f t="shared" si="16"/>
        <v>800</v>
      </c>
      <c r="AF15" s="204" t="str">
        <f t="shared" si="3"/>
        <v>Match</v>
      </c>
      <c r="AG15" s="184">
        <f t="shared" si="4"/>
        <v>2851076.98630137</v>
      </c>
      <c r="AH15" s="179">
        <f t="shared" si="5"/>
        <v>2036483.5616438356</v>
      </c>
      <c r="AI15" s="179">
        <f t="shared" si="6"/>
        <v>1221890.1369863013</v>
      </c>
      <c r="AJ15" s="179">
        <f t="shared" si="7"/>
        <v>407296.71232876711</v>
      </c>
      <c r="AK15" s="205">
        <f t="shared" si="17"/>
        <v>6516747.3972602738</v>
      </c>
      <c r="AL15" s="176"/>
    </row>
    <row r="16" spans="1:38" x14ac:dyDescent="0.25">
      <c r="B16" s="392">
        <v>7</v>
      </c>
      <c r="C16" s="269">
        <v>2017</v>
      </c>
      <c r="D16" s="398">
        <v>2.2800000000000001E-2</v>
      </c>
      <c r="E16" s="401">
        <v>1000</v>
      </c>
      <c r="F16" s="401">
        <v>800</v>
      </c>
      <c r="G16" s="402">
        <v>0.04</v>
      </c>
      <c r="H16" s="262">
        <f t="shared" si="18"/>
        <v>100000000</v>
      </c>
      <c r="I16" s="262">
        <f t="shared" si="19"/>
        <v>76997260.273972601</v>
      </c>
      <c r="J16" s="262">
        <f t="shared" si="8"/>
        <v>4000000</v>
      </c>
      <c r="K16" s="262">
        <f t="shared" si="9"/>
        <v>72997260.273972601</v>
      </c>
      <c r="L16" s="262">
        <f>IFERROR(((I16+K16)/2)*D16,"")</f>
        <v>1709937.5342465753</v>
      </c>
      <c r="M16" s="263">
        <f t="shared" si="10"/>
        <v>5709937.5342465751</v>
      </c>
      <c r="N16" s="381">
        <f t="shared" si="0"/>
        <v>7137.4219178082185</v>
      </c>
      <c r="O16" s="405">
        <v>1000000</v>
      </c>
      <c r="P16" s="375">
        <f t="shared" si="11"/>
        <v>0</v>
      </c>
      <c r="Q16" s="375">
        <f t="shared" si="12"/>
        <v>1000000</v>
      </c>
      <c r="R16" s="375">
        <f t="shared" si="13"/>
        <v>1250</v>
      </c>
      <c r="S16" s="375">
        <f t="shared" si="14"/>
        <v>6709937.5342465751</v>
      </c>
      <c r="T16" s="285">
        <f t="shared" si="1"/>
        <v>8387.4219178082185</v>
      </c>
      <c r="U16" s="407">
        <v>25000000</v>
      </c>
      <c r="V16" s="400" t="str">
        <f t="shared" si="2"/>
        <v>No</v>
      </c>
      <c r="W16" s="244">
        <f>IF(V16="No",U16,0)</f>
        <v>25000000</v>
      </c>
      <c r="X16" s="407">
        <v>0</v>
      </c>
      <c r="Y16" s="391"/>
      <c r="AA16" s="411">
        <v>350</v>
      </c>
      <c r="AB16" s="405">
        <v>250</v>
      </c>
      <c r="AC16" s="405">
        <v>150</v>
      </c>
      <c r="AD16" s="405">
        <v>50</v>
      </c>
      <c r="AE16" s="195">
        <f t="shared" si="16"/>
        <v>800</v>
      </c>
      <c r="AF16" s="204" t="str">
        <f t="shared" si="3"/>
        <v>Match</v>
      </c>
      <c r="AG16" s="184">
        <f t="shared" si="4"/>
        <v>2935597.6712328764</v>
      </c>
      <c r="AH16" s="179">
        <f t="shared" si="5"/>
        <v>2096855.4794520547</v>
      </c>
      <c r="AI16" s="179">
        <f t="shared" si="6"/>
        <v>1258113.2876712328</v>
      </c>
      <c r="AJ16" s="179">
        <f t="shared" si="7"/>
        <v>419371.09589041094</v>
      </c>
      <c r="AK16" s="205">
        <f t="shared" si="17"/>
        <v>6709937.5342465751</v>
      </c>
      <c r="AL16" s="176"/>
    </row>
    <row r="17" spans="2:38" x14ac:dyDescent="0.25">
      <c r="B17" s="392">
        <v>8</v>
      </c>
      <c r="C17" s="269">
        <v>2018</v>
      </c>
      <c r="D17" s="398">
        <v>2.3300000000000001E-2</v>
      </c>
      <c r="E17" s="401">
        <v>1000</v>
      </c>
      <c r="F17" s="401">
        <v>800</v>
      </c>
      <c r="G17" s="402">
        <v>0.04</v>
      </c>
      <c r="H17" s="262">
        <f t="shared" si="18"/>
        <v>125000000</v>
      </c>
      <c r="I17" s="262">
        <f t="shared" si="19"/>
        <v>97997260.273972601</v>
      </c>
      <c r="J17" s="262">
        <f t="shared" si="8"/>
        <v>5000000</v>
      </c>
      <c r="K17" s="262">
        <f t="shared" si="9"/>
        <v>92997260.273972601</v>
      </c>
      <c r="L17" s="262">
        <f t="shared" si="20"/>
        <v>2225086.1643835618</v>
      </c>
      <c r="M17" s="263">
        <f t="shared" si="10"/>
        <v>7225086.1643835623</v>
      </c>
      <c r="N17" s="381">
        <f t="shared" si="0"/>
        <v>9031.3577054794532</v>
      </c>
      <c r="O17" s="405">
        <v>1000000</v>
      </c>
      <c r="P17" s="375">
        <f t="shared" si="11"/>
        <v>0</v>
      </c>
      <c r="Q17" s="375">
        <f t="shared" si="12"/>
        <v>1000000</v>
      </c>
      <c r="R17" s="375">
        <f t="shared" si="13"/>
        <v>1250</v>
      </c>
      <c r="S17" s="375">
        <f t="shared" si="14"/>
        <v>8225086.1643835623</v>
      </c>
      <c r="T17" s="285">
        <f t="shared" si="1"/>
        <v>10281.357705479453</v>
      </c>
      <c r="U17" s="407">
        <v>0</v>
      </c>
      <c r="V17" s="400" t="str">
        <f t="shared" si="2"/>
        <v>Yes</v>
      </c>
      <c r="W17" s="244">
        <f t="shared" si="15"/>
        <v>0</v>
      </c>
      <c r="X17" s="407">
        <v>0</v>
      </c>
      <c r="Y17" s="391"/>
      <c r="AA17" s="411">
        <v>350</v>
      </c>
      <c r="AB17" s="405">
        <v>250</v>
      </c>
      <c r="AC17" s="405">
        <v>150</v>
      </c>
      <c r="AD17" s="405">
        <v>50</v>
      </c>
      <c r="AE17" s="195">
        <f t="shared" si="16"/>
        <v>800</v>
      </c>
      <c r="AF17" s="204" t="str">
        <f t="shared" si="3"/>
        <v>Match</v>
      </c>
      <c r="AG17" s="184">
        <f t="shared" si="4"/>
        <v>3598475.1969178086</v>
      </c>
      <c r="AH17" s="179">
        <f t="shared" si="5"/>
        <v>2570339.4263698631</v>
      </c>
      <c r="AI17" s="179">
        <f t="shared" si="6"/>
        <v>1542203.655821918</v>
      </c>
      <c r="AJ17" s="179">
        <f t="shared" si="7"/>
        <v>514067.88527397264</v>
      </c>
      <c r="AK17" s="205">
        <f t="shared" si="17"/>
        <v>8225086.1643835623</v>
      </c>
      <c r="AL17" s="176"/>
    </row>
    <row r="18" spans="2:38" x14ac:dyDescent="0.25">
      <c r="B18" s="392">
        <v>9</v>
      </c>
      <c r="C18" s="269">
        <v>2019</v>
      </c>
      <c r="D18" s="398">
        <v>1.77E-2</v>
      </c>
      <c r="E18" s="401">
        <v>1000</v>
      </c>
      <c r="F18" s="401">
        <v>800</v>
      </c>
      <c r="G18" s="402">
        <v>0.04</v>
      </c>
      <c r="H18" s="262">
        <f t="shared" si="18"/>
        <v>125000000</v>
      </c>
      <c r="I18" s="262">
        <f t="shared" si="19"/>
        <v>92997260.273972601</v>
      </c>
      <c r="J18" s="262">
        <f t="shared" si="8"/>
        <v>5000000</v>
      </c>
      <c r="K18" s="262">
        <f t="shared" si="9"/>
        <v>87997260.273972601</v>
      </c>
      <c r="L18" s="262">
        <f t="shared" si="20"/>
        <v>1601801.506849315</v>
      </c>
      <c r="M18" s="263">
        <f t="shared" si="10"/>
        <v>6601801.506849315</v>
      </c>
      <c r="N18" s="381">
        <f t="shared" si="0"/>
        <v>8252.2518835616429</v>
      </c>
      <c r="O18" s="405">
        <v>1000000</v>
      </c>
      <c r="P18" s="375">
        <f t="shared" si="11"/>
        <v>0</v>
      </c>
      <c r="Q18" s="375">
        <f t="shared" si="12"/>
        <v>1000000</v>
      </c>
      <c r="R18" s="375">
        <f t="shared" si="13"/>
        <v>1250</v>
      </c>
      <c r="S18" s="375">
        <f t="shared" si="14"/>
        <v>7601801.506849315</v>
      </c>
      <c r="T18" s="285">
        <f t="shared" si="1"/>
        <v>9502.2518835616429</v>
      </c>
      <c r="U18" s="407">
        <v>0</v>
      </c>
      <c r="V18" s="400" t="str">
        <f t="shared" si="2"/>
        <v>Yes</v>
      </c>
      <c r="W18" s="244">
        <f t="shared" si="15"/>
        <v>0</v>
      </c>
      <c r="X18" s="407">
        <v>0</v>
      </c>
      <c r="Y18" s="391"/>
      <c r="AA18" s="411">
        <v>350</v>
      </c>
      <c r="AB18" s="405">
        <v>250</v>
      </c>
      <c r="AC18" s="405">
        <v>150</v>
      </c>
      <c r="AD18" s="405">
        <v>50</v>
      </c>
      <c r="AE18" s="195">
        <f t="shared" si="16"/>
        <v>800</v>
      </c>
      <c r="AF18" s="204" t="str">
        <f t="shared" si="3"/>
        <v>Match</v>
      </c>
      <c r="AG18" s="184">
        <f t="shared" si="4"/>
        <v>3325788.1592465751</v>
      </c>
      <c r="AH18" s="179">
        <f t="shared" si="5"/>
        <v>2375562.9708904107</v>
      </c>
      <c r="AI18" s="179">
        <f t="shared" si="6"/>
        <v>1425337.7825342463</v>
      </c>
      <c r="AJ18" s="179">
        <f t="shared" si="7"/>
        <v>475112.59417808213</v>
      </c>
      <c r="AK18" s="205">
        <f t="shared" si="17"/>
        <v>7601801.5068493141</v>
      </c>
      <c r="AL18" s="176"/>
    </row>
    <row r="19" spans="2:38" x14ac:dyDescent="0.25">
      <c r="B19" s="392">
        <v>10</v>
      </c>
      <c r="C19" s="269">
        <v>2020</v>
      </c>
      <c r="D19" s="398">
        <v>1.1900000000000001E-2</v>
      </c>
      <c r="E19" s="401">
        <v>1000</v>
      </c>
      <c r="F19" s="401">
        <v>800</v>
      </c>
      <c r="G19" s="402">
        <v>0.04</v>
      </c>
      <c r="H19" s="262">
        <f t="shared" si="18"/>
        <v>125000000</v>
      </c>
      <c r="I19" s="262">
        <f t="shared" si="19"/>
        <v>87997260.273972601</v>
      </c>
      <c r="J19" s="262">
        <f t="shared" si="8"/>
        <v>5000000</v>
      </c>
      <c r="K19" s="262">
        <f t="shared" si="9"/>
        <v>82997260.273972601</v>
      </c>
      <c r="L19" s="262">
        <f t="shared" si="20"/>
        <v>1017417.397260274</v>
      </c>
      <c r="M19" s="263">
        <f t="shared" si="10"/>
        <v>6017417.3972602738</v>
      </c>
      <c r="N19" s="381">
        <f t="shared" si="0"/>
        <v>7521.7717465753421</v>
      </c>
      <c r="O19" s="405">
        <v>1000000</v>
      </c>
      <c r="P19" s="375">
        <f t="shared" si="11"/>
        <v>0</v>
      </c>
      <c r="Q19" s="375">
        <f t="shared" si="12"/>
        <v>1000000</v>
      </c>
      <c r="R19" s="375">
        <f t="shared" si="13"/>
        <v>1250</v>
      </c>
      <c r="S19" s="375">
        <f t="shared" si="14"/>
        <v>7017417.3972602738</v>
      </c>
      <c r="T19" s="285">
        <f t="shared" si="1"/>
        <v>8771.7717465753412</v>
      </c>
      <c r="U19" s="407">
        <v>0</v>
      </c>
      <c r="V19" s="400" t="str">
        <f t="shared" si="2"/>
        <v>Yes</v>
      </c>
      <c r="W19" s="244">
        <f t="shared" si="15"/>
        <v>0</v>
      </c>
      <c r="X19" s="407">
        <v>0</v>
      </c>
      <c r="Y19" s="391"/>
      <c r="AA19" s="411">
        <v>350</v>
      </c>
      <c r="AB19" s="405">
        <v>250</v>
      </c>
      <c r="AC19" s="405">
        <v>150</v>
      </c>
      <c r="AD19" s="405">
        <v>50</v>
      </c>
      <c r="AE19" s="195">
        <f t="shared" si="16"/>
        <v>800</v>
      </c>
      <c r="AF19" s="204" t="str">
        <f t="shared" si="3"/>
        <v>Match</v>
      </c>
      <c r="AG19" s="184">
        <f t="shared" si="4"/>
        <v>3070120.1113013695</v>
      </c>
      <c r="AH19" s="179">
        <f t="shared" si="5"/>
        <v>2192942.9366438352</v>
      </c>
      <c r="AI19" s="179">
        <f t="shared" si="6"/>
        <v>1315765.7619863013</v>
      </c>
      <c r="AJ19" s="179">
        <f t="shared" si="7"/>
        <v>438588.58732876705</v>
      </c>
      <c r="AK19" s="205">
        <f t="shared" si="17"/>
        <v>7017417.3972602738</v>
      </c>
      <c r="AL19" s="176"/>
    </row>
    <row r="20" spans="2:38" x14ac:dyDescent="0.25">
      <c r="B20" s="392">
        <v>11</v>
      </c>
      <c r="C20" s="269">
        <v>2021</v>
      </c>
      <c r="D20" s="398">
        <v>1.8800000000000001E-2</v>
      </c>
      <c r="E20" s="401">
        <v>1000</v>
      </c>
      <c r="F20" s="401">
        <v>800</v>
      </c>
      <c r="G20" s="402">
        <v>0.04</v>
      </c>
      <c r="H20" s="262">
        <f t="shared" si="18"/>
        <v>125000000</v>
      </c>
      <c r="I20" s="262">
        <f t="shared" si="19"/>
        <v>82997260.273972601</v>
      </c>
      <c r="J20" s="262">
        <f t="shared" si="8"/>
        <v>5000000</v>
      </c>
      <c r="K20" s="262">
        <f t="shared" si="9"/>
        <v>77997260.273972601</v>
      </c>
      <c r="L20" s="262">
        <f t="shared" si="20"/>
        <v>1513348.493150685</v>
      </c>
      <c r="M20" s="263">
        <f t="shared" si="10"/>
        <v>6513348.493150685</v>
      </c>
      <c r="N20" s="381">
        <f t="shared" si="0"/>
        <v>8141.6856164383562</v>
      </c>
      <c r="O20" s="405">
        <v>1000000</v>
      </c>
      <c r="P20" s="375">
        <f t="shared" si="11"/>
        <v>0</v>
      </c>
      <c r="Q20" s="375">
        <f t="shared" si="12"/>
        <v>1000000</v>
      </c>
      <c r="R20" s="375">
        <f t="shared" si="13"/>
        <v>1250</v>
      </c>
      <c r="S20" s="375">
        <f t="shared" si="14"/>
        <v>7513348.493150685</v>
      </c>
      <c r="T20" s="285">
        <f t="shared" si="1"/>
        <v>9391.6856164383571</v>
      </c>
      <c r="U20" s="407">
        <v>0</v>
      </c>
      <c r="V20" s="400" t="str">
        <f t="shared" si="2"/>
        <v>Yes</v>
      </c>
      <c r="W20" s="244">
        <f t="shared" si="15"/>
        <v>0</v>
      </c>
      <c r="X20" s="407">
        <v>0</v>
      </c>
      <c r="Y20" s="391"/>
      <c r="AA20" s="411">
        <v>350</v>
      </c>
      <c r="AB20" s="405">
        <v>250</v>
      </c>
      <c r="AC20" s="405">
        <v>150</v>
      </c>
      <c r="AD20" s="405">
        <v>50</v>
      </c>
      <c r="AE20" s="195">
        <f t="shared" si="16"/>
        <v>800</v>
      </c>
      <c r="AF20" s="204" t="str">
        <f t="shared" si="3"/>
        <v>Match</v>
      </c>
      <c r="AG20" s="184">
        <f t="shared" si="4"/>
        <v>3287089.9657534249</v>
      </c>
      <c r="AH20" s="179">
        <f t="shared" si="5"/>
        <v>2347921.4041095893</v>
      </c>
      <c r="AI20" s="179">
        <f t="shared" si="6"/>
        <v>1408752.8424657537</v>
      </c>
      <c r="AJ20" s="179">
        <f t="shared" si="7"/>
        <v>469584.28082191787</v>
      </c>
      <c r="AK20" s="205">
        <f t="shared" si="17"/>
        <v>7513348.4931506859</v>
      </c>
      <c r="AL20" s="176"/>
    </row>
    <row r="21" spans="2:38" x14ac:dyDescent="0.25">
      <c r="B21" s="392">
        <v>12</v>
      </c>
      <c r="C21" s="269">
        <v>2022</v>
      </c>
      <c r="D21" s="398">
        <f>D20</f>
        <v>1.8800000000000001E-2</v>
      </c>
      <c r="E21" s="401">
        <v>1000</v>
      </c>
      <c r="F21" s="401">
        <v>800</v>
      </c>
      <c r="G21" s="402">
        <v>0.04</v>
      </c>
      <c r="H21" s="262">
        <f t="shared" si="18"/>
        <v>125000000</v>
      </c>
      <c r="I21" s="262">
        <f t="shared" si="19"/>
        <v>77997260.273972601</v>
      </c>
      <c r="J21" s="262">
        <f t="shared" si="8"/>
        <v>5000000</v>
      </c>
      <c r="K21" s="262">
        <f t="shared" si="9"/>
        <v>72997260.273972601</v>
      </c>
      <c r="L21" s="262">
        <f t="shared" si="20"/>
        <v>1419348.493150685</v>
      </c>
      <c r="M21" s="263">
        <f t="shared" si="10"/>
        <v>6419348.493150685</v>
      </c>
      <c r="N21" s="381">
        <f t="shared" si="0"/>
        <v>8024.1856164383562</v>
      </c>
      <c r="O21" s="405">
        <v>1000000</v>
      </c>
      <c r="P21" s="375">
        <f t="shared" si="11"/>
        <v>0</v>
      </c>
      <c r="Q21" s="375">
        <f t="shared" si="12"/>
        <v>1000000</v>
      </c>
      <c r="R21" s="375">
        <f t="shared" si="13"/>
        <v>1250</v>
      </c>
      <c r="S21" s="375">
        <f t="shared" si="14"/>
        <v>7419348.493150685</v>
      </c>
      <c r="T21" s="285">
        <f t="shared" si="1"/>
        <v>9274.1856164383571</v>
      </c>
      <c r="U21" s="407">
        <v>0</v>
      </c>
      <c r="V21" s="400" t="str">
        <f t="shared" si="2"/>
        <v>Yes</v>
      </c>
      <c r="W21" s="244">
        <f t="shared" si="15"/>
        <v>0</v>
      </c>
      <c r="X21" s="407">
        <v>0</v>
      </c>
      <c r="Y21" s="391"/>
      <c r="AA21" s="411">
        <v>350</v>
      </c>
      <c r="AB21" s="405">
        <v>250</v>
      </c>
      <c r="AC21" s="405">
        <v>150</v>
      </c>
      <c r="AD21" s="405">
        <v>50</v>
      </c>
      <c r="AE21" s="195">
        <f t="shared" si="16"/>
        <v>800</v>
      </c>
      <c r="AF21" s="204" t="str">
        <f t="shared" si="3"/>
        <v>Match</v>
      </c>
      <c r="AG21" s="184">
        <f t="shared" si="4"/>
        <v>3245964.9657534249</v>
      </c>
      <c r="AH21" s="179">
        <f t="shared" si="5"/>
        <v>2318546.4041095893</v>
      </c>
      <c r="AI21" s="179">
        <f t="shared" si="6"/>
        <v>1391127.8424657537</v>
      </c>
      <c r="AJ21" s="179">
        <f t="shared" si="7"/>
        <v>463709.28082191787</v>
      </c>
      <c r="AK21" s="205">
        <f t="shared" si="17"/>
        <v>7419348.4931506859</v>
      </c>
      <c r="AL21" s="176"/>
    </row>
    <row r="22" spans="2:38" x14ac:dyDescent="0.25">
      <c r="B22" s="392">
        <v>13</v>
      </c>
      <c r="C22" s="269">
        <v>2023</v>
      </c>
      <c r="D22" s="398">
        <f>D21</f>
        <v>1.8800000000000001E-2</v>
      </c>
      <c r="E22" s="401">
        <v>1000</v>
      </c>
      <c r="F22" s="401">
        <v>800</v>
      </c>
      <c r="G22" s="402">
        <v>0.04</v>
      </c>
      <c r="H22" s="262">
        <f t="shared" si="18"/>
        <v>125000000</v>
      </c>
      <c r="I22" s="262">
        <f t="shared" si="19"/>
        <v>72997260.273972601</v>
      </c>
      <c r="J22" s="262">
        <f t="shared" si="8"/>
        <v>5000000</v>
      </c>
      <c r="K22" s="262">
        <f t="shared" si="9"/>
        <v>67997260.273972601</v>
      </c>
      <c r="L22" s="262">
        <f t="shared" si="20"/>
        <v>1325348.493150685</v>
      </c>
      <c r="M22" s="263">
        <f t="shared" si="10"/>
        <v>6325348.493150685</v>
      </c>
      <c r="N22" s="381">
        <f t="shared" si="0"/>
        <v>7906.6856164383562</v>
      </c>
      <c r="O22" s="405">
        <v>1000000</v>
      </c>
      <c r="P22" s="375">
        <f t="shared" si="11"/>
        <v>0</v>
      </c>
      <c r="Q22" s="375">
        <f t="shared" si="12"/>
        <v>1000000</v>
      </c>
      <c r="R22" s="375">
        <f t="shared" si="13"/>
        <v>1250</v>
      </c>
      <c r="S22" s="375">
        <f t="shared" si="14"/>
        <v>7325348.493150685</v>
      </c>
      <c r="T22" s="285">
        <f t="shared" si="1"/>
        <v>9156.6856164383571</v>
      </c>
      <c r="U22" s="407">
        <v>0</v>
      </c>
      <c r="V22" s="400" t="str">
        <f t="shared" si="2"/>
        <v>Yes</v>
      </c>
      <c r="W22" s="244">
        <f t="shared" si="15"/>
        <v>0</v>
      </c>
      <c r="X22" s="407">
        <v>0</v>
      </c>
      <c r="Y22" s="391"/>
      <c r="AA22" s="411">
        <v>350</v>
      </c>
      <c r="AB22" s="405">
        <v>250</v>
      </c>
      <c r="AC22" s="405">
        <v>150</v>
      </c>
      <c r="AD22" s="405">
        <v>50</v>
      </c>
      <c r="AE22" s="195">
        <f t="shared" si="16"/>
        <v>800</v>
      </c>
      <c r="AF22" s="204" t="str">
        <f t="shared" si="3"/>
        <v>Match</v>
      </c>
      <c r="AG22" s="184">
        <f t="shared" si="4"/>
        <v>3204839.9657534249</v>
      </c>
      <c r="AH22" s="179">
        <f t="shared" si="5"/>
        <v>2289171.4041095893</v>
      </c>
      <c r="AI22" s="179">
        <f t="shared" si="6"/>
        <v>1373502.8424657537</v>
      </c>
      <c r="AJ22" s="179">
        <f t="shared" si="7"/>
        <v>457834.28082191787</v>
      </c>
      <c r="AK22" s="205">
        <f t="shared" si="17"/>
        <v>7325348.4931506859</v>
      </c>
      <c r="AL22" s="176"/>
    </row>
    <row r="23" spans="2:38" x14ac:dyDescent="0.25">
      <c r="B23" s="392">
        <v>14</v>
      </c>
      <c r="C23" s="269">
        <v>2024</v>
      </c>
      <c r="D23" s="398">
        <f t="shared" ref="D23:D36" si="21">D22</f>
        <v>1.8800000000000001E-2</v>
      </c>
      <c r="E23" s="401">
        <v>1000</v>
      </c>
      <c r="F23" s="401">
        <v>800</v>
      </c>
      <c r="G23" s="402">
        <v>0.04</v>
      </c>
      <c r="H23" s="262">
        <f t="shared" si="18"/>
        <v>125000000</v>
      </c>
      <c r="I23" s="262">
        <f t="shared" si="19"/>
        <v>67997260.273972601</v>
      </c>
      <c r="J23" s="262">
        <f t="shared" si="8"/>
        <v>5000000</v>
      </c>
      <c r="K23" s="262">
        <f t="shared" si="9"/>
        <v>62997260.273972601</v>
      </c>
      <c r="L23" s="262">
        <f t="shared" si="20"/>
        <v>1231348.493150685</v>
      </c>
      <c r="M23" s="263">
        <f t="shared" si="10"/>
        <v>6231348.493150685</v>
      </c>
      <c r="N23" s="381">
        <f t="shared" si="0"/>
        <v>7789.1856164383562</v>
      </c>
      <c r="O23" s="405">
        <v>1000000</v>
      </c>
      <c r="P23" s="375">
        <f t="shared" si="11"/>
        <v>0</v>
      </c>
      <c r="Q23" s="375">
        <f t="shared" si="12"/>
        <v>1000000</v>
      </c>
      <c r="R23" s="375">
        <f t="shared" si="13"/>
        <v>1250</v>
      </c>
      <c r="S23" s="375">
        <f t="shared" si="14"/>
        <v>7231348.493150685</v>
      </c>
      <c r="T23" s="285">
        <f t="shared" si="1"/>
        <v>9039.1856164383571</v>
      </c>
      <c r="U23" s="407">
        <v>0</v>
      </c>
      <c r="V23" s="400" t="str">
        <f t="shared" si="2"/>
        <v>Yes</v>
      </c>
      <c r="W23" s="244">
        <f t="shared" si="15"/>
        <v>0</v>
      </c>
      <c r="X23" s="407">
        <v>0</v>
      </c>
      <c r="Y23" s="391"/>
      <c r="AA23" s="411">
        <v>350</v>
      </c>
      <c r="AB23" s="405">
        <v>250</v>
      </c>
      <c r="AC23" s="405">
        <v>150</v>
      </c>
      <c r="AD23" s="405">
        <v>50</v>
      </c>
      <c r="AE23" s="195">
        <f t="shared" si="16"/>
        <v>800</v>
      </c>
      <c r="AF23" s="204" t="str">
        <f t="shared" si="3"/>
        <v>Match</v>
      </c>
      <c r="AG23" s="184">
        <f t="shared" si="4"/>
        <v>3163714.9657534249</v>
      </c>
      <c r="AH23" s="179">
        <f t="shared" si="5"/>
        <v>2259796.4041095893</v>
      </c>
      <c r="AI23" s="179">
        <f t="shared" si="6"/>
        <v>1355877.8424657537</v>
      </c>
      <c r="AJ23" s="179">
        <f t="shared" si="7"/>
        <v>451959.28082191787</v>
      </c>
      <c r="AK23" s="205">
        <f t="shared" si="17"/>
        <v>7231348.4931506859</v>
      </c>
      <c r="AL23" s="176"/>
    </row>
    <row r="24" spans="2:38" x14ac:dyDescent="0.25">
      <c r="B24" s="392">
        <v>15</v>
      </c>
      <c r="C24" s="269">
        <v>2025</v>
      </c>
      <c r="D24" s="398">
        <f t="shared" si="21"/>
        <v>1.8800000000000001E-2</v>
      </c>
      <c r="E24" s="401">
        <v>1000</v>
      </c>
      <c r="F24" s="401">
        <v>800</v>
      </c>
      <c r="G24" s="402">
        <v>0.04</v>
      </c>
      <c r="H24" s="262">
        <f t="shared" si="18"/>
        <v>125000000</v>
      </c>
      <c r="I24" s="262">
        <f t="shared" si="19"/>
        <v>62997260.273972601</v>
      </c>
      <c r="J24" s="262">
        <f t="shared" si="8"/>
        <v>5000000</v>
      </c>
      <c r="K24" s="262">
        <f t="shared" si="9"/>
        <v>57997260.273972601</v>
      </c>
      <c r="L24" s="262">
        <f t="shared" si="20"/>
        <v>1137348.493150685</v>
      </c>
      <c r="M24" s="263">
        <f t="shared" si="10"/>
        <v>6137348.493150685</v>
      </c>
      <c r="N24" s="381">
        <f t="shared" si="0"/>
        <v>7671.6856164383562</v>
      </c>
      <c r="O24" s="405">
        <v>1000000</v>
      </c>
      <c r="P24" s="375">
        <f t="shared" si="11"/>
        <v>0</v>
      </c>
      <c r="Q24" s="375">
        <f t="shared" si="12"/>
        <v>1000000</v>
      </c>
      <c r="R24" s="375">
        <f t="shared" si="13"/>
        <v>1250</v>
      </c>
      <c r="S24" s="375">
        <f t="shared" si="14"/>
        <v>7137348.493150685</v>
      </c>
      <c r="T24" s="285">
        <f t="shared" si="1"/>
        <v>8921.6856164383571</v>
      </c>
      <c r="U24" s="407">
        <v>0</v>
      </c>
      <c r="V24" s="400" t="str">
        <f t="shared" si="2"/>
        <v>Yes</v>
      </c>
      <c r="W24" s="244">
        <f t="shared" si="15"/>
        <v>0</v>
      </c>
      <c r="X24" s="407">
        <v>-15000000</v>
      </c>
      <c r="Y24" s="393">
        <f>-Y47</f>
        <v>-6000000</v>
      </c>
      <c r="AA24" s="411">
        <v>350</v>
      </c>
      <c r="AB24" s="405">
        <v>250</v>
      </c>
      <c r="AC24" s="405">
        <v>150</v>
      </c>
      <c r="AD24" s="405">
        <v>50</v>
      </c>
      <c r="AE24" s="195">
        <f t="shared" si="16"/>
        <v>800</v>
      </c>
      <c r="AF24" s="204" t="str">
        <f t="shared" si="3"/>
        <v>Match</v>
      </c>
      <c r="AG24" s="184">
        <f t="shared" si="4"/>
        <v>3122589.9657534249</v>
      </c>
      <c r="AH24" s="179">
        <f t="shared" si="5"/>
        <v>2230421.4041095893</v>
      </c>
      <c r="AI24" s="179">
        <f t="shared" si="6"/>
        <v>1338252.8424657537</v>
      </c>
      <c r="AJ24" s="179">
        <f t="shared" si="7"/>
        <v>446084.28082191787</v>
      </c>
      <c r="AK24" s="205">
        <f t="shared" si="17"/>
        <v>7137348.4931506859</v>
      </c>
      <c r="AL24" s="176"/>
    </row>
    <row r="25" spans="2:38" x14ac:dyDescent="0.25">
      <c r="B25" s="392">
        <v>16</v>
      </c>
      <c r="C25" s="269">
        <v>2026</v>
      </c>
      <c r="D25" s="398">
        <f t="shared" si="21"/>
        <v>1.8800000000000001E-2</v>
      </c>
      <c r="E25" s="401">
        <v>1000</v>
      </c>
      <c r="F25" s="401">
        <v>800</v>
      </c>
      <c r="G25" s="402">
        <v>0.04</v>
      </c>
      <c r="H25" s="262">
        <f t="shared" si="18"/>
        <v>110000000</v>
      </c>
      <c r="I25" s="262">
        <f t="shared" si="19"/>
        <v>51997260.273972601</v>
      </c>
      <c r="J25" s="262">
        <f t="shared" si="8"/>
        <v>4400000</v>
      </c>
      <c r="K25" s="262">
        <f t="shared" si="9"/>
        <v>47597260.273972601</v>
      </c>
      <c r="L25" s="262">
        <f t="shared" si="20"/>
        <v>936188.49315068498</v>
      </c>
      <c r="M25" s="263">
        <f t="shared" si="10"/>
        <v>5336188.493150685</v>
      </c>
      <c r="N25" s="381">
        <f t="shared" si="0"/>
        <v>6670.2356164383564</v>
      </c>
      <c r="O25" s="405">
        <v>1000000</v>
      </c>
      <c r="P25" s="375">
        <f t="shared" si="11"/>
        <v>0</v>
      </c>
      <c r="Q25" s="375">
        <f t="shared" si="12"/>
        <v>1000000</v>
      </c>
      <c r="R25" s="375">
        <f t="shared" si="13"/>
        <v>1250</v>
      </c>
      <c r="S25" s="375">
        <f t="shared" si="14"/>
        <v>6336188.493150685</v>
      </c>
      <c r="T25" s="285">
        <f t="shared" si="1"/>
        <v>7920.2356164383564</v>
      </c>
      <c r="U25" s="407">
        <v>0</v>
      </c>
      <c r="V25" s="400" t="str">
        <f t="shared" si="2"/>
        <v>Yes</v>
      </c>
      <c r="W25" s="244">
        <f t="shared" si="15"/>
        <v>0</v>
      </c>
      <c r="X25" s="407">
        <v>0</v>
      </c>
      <c r="Y25" s="391"/>
      <c r="AA25" s="411">
        <v>350</v>
      </c>
      <c r="AB25" s="405">
        <v>250</v>
      </c>
      <c r="AC25" s="405">
        <v>150</v>
      </c>
      <c r="AD25" s="405">
        <v>50</v>
      </c>
      <c r="AE25" s="195">
        <f t="shared" si="16"/>
        <v>800</v>
      </c>
      <c r="AF25" s="204" t="str">
        <f t="shared" si="3"/>
        <v>Match</v>
      </c>
      <c r="AG25" s="184">
        <f t="shared" si="4"/>
        <v>2772082.4657534249</v>
      </c>
      <c r="AH25" s="179">
        <f t="shared" si="5"/>
        <v>1980058.9041095891</v>
      </c>
      <c r="AI25" s="179">
        <f t="shared" si="6"/>
        <v>1188035.3424657534</v>
      </c>
      <c r="AJ25" s="179">
        <f t="shared" si="7"/>
        <v>396011.78082191781</v>
      </c>
      <c r="AK25" s="205">
        <f t="shared" si="17"/>
        <v>6336188.493150685</v>
      </c>
      <c r="AL25" s="176"/>
    </row>
    <row r="26" spans="2:38" x14ac:dyDescent="0.25">
      <c r="B26" s="392">
        <v>17</v>
      </c>
      <c r="C26" s="269">
        <v>2027</v>
      </c>
      <c r="D26" s="398">
        <f t="shared" si="21"/>
        <v>1.8800000000000001E-2</v>
      </c>
      <c r="E26" s="401">
        <v>1000</v>
      </c>
      <c r="F26" s="401">
        <v>800</v>
      </c>
      <c r="G26" s="402">
        <v>0.04</v>
      </c>
      <c r="H26" s="262">
        <f t="shared" si="18"/>
        <v>110000000</v>
      </c>
      <c r="I26" s="262">
        <f t="shared" si="19"/>
        <v>47597260.273972601</v>
      </c>
      <c r="J26" s="262">
        <f t="shared" si="8"/>
        <v>4400000</v>
      </c>
      <c r="K26" s="262">
        <f t="shared" si="9"/>
        <v>43197260.273972601</v>
      </c>
      <c r="L26" s="262">
        <f t="shared" si="20"/>
        <v>853468.49315068498</v>
      </c>
      <c r="M26" s="263">
        <f t="shared" si="10"/>
        <v>5253468.493150685</v>
      </c>
      <c r="N26" s="381">
        <f t="shared" si="0"/>
        <v>6566.8356164383558</v>
      </c>
      <c r="O26" s="405">
        <v>1000000</v>
      </c>
      <c r="P26" s="375">
        <f t="shared" si="11"/>
        <v>0</v>
      </c>
      <c r="Q26" s="375">
        <f t="shared" si="12"/>
        <v>1000000</v>
      </c>
      <c r="R26" s="375">
        <f t="shared" si="13"/>
        <v>1250</v>
      </c>
      <c r="S26" s="375">
        <f t="shared" si="14"/>
        <v>6253468.493150685</v>
      </c>
      <c r="T26" s="285">
        <f t="shared" si="1"/>
        <v>7816.8356164383558</v>
      </c>
      <c r="U26" s="407">
        <v>0</v>
      </c>
      <c r="V26" s="400" t="str">
        <f t="shared" si="2"/>
        <v>Yes</v>
      </c>
      <c r="W26" s="244">
        <f t="shared" si="15"/>
        <v>0</v>
      </c>
      <c r="X26" s="407">
        <v>0</v>
      </c>
      <c r="Y26" s="391"/>
      <c r="AA26" s="411">
        <v>350</v>
      </c>
      <c r="AB26" s="405">
        <v>250</v>
      </c>
      <c r="AC26" s="405">
        <v>150</v>
      </c>
      <c r="AD26" s="405">
        <v>50</v>
      </c>
      <c r="AE26" s="195">
        <f t="shared" si="16"/>
        <v>800</v>
      </c>
      <c r="AF26" s="204" t="str">
        <f t="shared" si="3"/>
        <v>Match</v>
      </c>
      <c r="AG26" s="184">
        <f t="shared" si="4"/>
        <v>2735892.4657534244</v>
      </c>
      <c r="AH26" s="179">
        <f t="shared" si="5"/>
        <v>1954208.9041095891</v>
      </c>
      <c r="AI26" s="179">
        <f t="shared" si="6"/>
        <v>1172525.3424657534</v>
      </c>
      <c r="AJ26" s="179">
        <f t="shared" si="7"/>
        <v>390841.78082191781</v>
      </c>
      <c r="AK26" s="205">
        <f t="shared" si="17"/>
        <v>6253468.493150685</v>
      </c>
      <c r="AL26" s="176"/>
    </row>
    <row r="27" spans="2:38" x14ac:dyDescent="0.25">
      <c r="B27" s="392">
        <v>18</v>
      </c>
      <c r="C27" s="269">
        <v>2028</v>
      </c>
      <c r="D27" s="398">
        <f t="shared" si="21"/>
        <v>1.8800000000000001E-2</v>
      </c>
      <c r="E27" s="401">
        <v>1000</v>
      </c>
      <c r="F27" s="401">
        <v>800</v>
      </c>
      <c r="G27" s="402">
        <v>0.04</v>
      </c>
      <c r="H27" s="262">
        <f t="shared" si="18"/>
        <v>110000000</v>
      </c>
      <c r="I27" s="262">
        <f t="shared" si="19"/>
        <v>43197260.273972601</v>
      </c>
      <c r="J27" s="262">
        <f t="shared" si="8"/>
        <v>4400000</v>
      </c>
      <c r="K27" s="262">
        <f t="shared" si="9"/>
        <v>38797260.273972601</v>
      </c>
      <c r="L27" s="262">
        <f t="shared" si="20"/>
        <v>770748.49315068487</v>
      </c>
      <c r="M27" s="263">
        <f t="shared" si="10"/>
        <v>5170748.493150685</v>
      </c>
      <c r="N27" s="381">
        <f t="shared" si="0"/>
        <v>6463.4356164383562</v>
      </c>
      <c r="O27" s="405">
        <v>1000000</v>
      </c>
      <c r="P27" s="375">
        <f t="shared" si="11"/>
        <v>0</v>
      </c>
      <c r="Q27" s="375">
        <f t="shared" si="12"/>
        <v>1000000</v>
      </c>
      <c r="R27" s="375">
        <f t="shared" si="13"/>
        <v>1250</v>
      </c>
      <c r="S27" s="375">
        <f t="shared" si="14"/>
        <v>6170748.493150685</v>
      </c>
      <c r="T27" s="285">
        <f t="shared" si="1"/>
        <v>7713.4356164383562</v>
      </c>
      <c r="U27" s="407">
        <v>0</v>
      </c>
      <c r="V27" s="400" t="str">
        <f t="shared" si="2"/>
        <v>Yes</v>
      </c>
      <c r="W27" s="244">
        <f t="shared" si="15"/>
        <v>0</v>
      </c>
      <c r="X27" s="407">
        <v>0</v>
      </c>
      <c r="Y27" s="391"/>
      <c r="AA27" s="411">
        <v>350</v>
      </c>
      <c r="AB27" s="405">
        <v>250</v>
      </c>
      <c r="AC27" s="405">
        <v>150</v>
      </c>
      <c r="AD27" s="405">
        <v>50</v>
      </c>
      <c r="AE27" s="195">
        <f t="shared" si="16"/>
        <v>800</v>
      </c>
      <c r="AF27" s="204" t="str">
        <f t="shared" si="3"/>
        <v>Match</v>
      </c>
      <c r="AG27" s="184">
        <f t="shared" si="4"/>
        <v>2699702.4657534244</v>
      </c>
      <c r="AH27" s="179">
        <f t="shared" si="5"/>
        <v>1928358.9041095891</v>
      </c>
      <c r="AI27" s="179">
        <f t="shared" si="6"/>
        <v>1157015.3424657534</v>
      </c>
      <c r="AJ27" s="179">
        <f t="shared" si="7"/>
        <v>385671.78082191781</v>
      </c>
      <c r="AK27" s="205">
        <f t="shared" si="17"/>
        <v>6170748.493150685</v>
      </c>
      <c r="AL27" s="176"/>
    </row>
    <row r="28" spans="2:38" x14ac:dyDescent="0.25">
      <c r="B28" s="392">
        <v>19</v>
      </c>
      <c r="C28" s="269">
        <v>2029</v>
      </c>
      <c r="D28" s="398">
        <f t="shared" si="21"/>
        <v>1.8800000000000001E-2</v>
      </c>
      <c r="E28" s="401">
        <v>1000</v>
      </c>
      <c r="F28" s="401">
        <v>800</v>
      </c>
      <c r="G28" s="402">
        <v>0.04</v>
      </c>
      <c r="H28" s="262">
        <f t="shared" si="18"/>
        <v>110000000</v>
      </c>
      <c r="I28" s="262">
        <f t="shared" si="19"/>
        <v>38797260.273972601</v>
      </c>
      <c r="J28" s="262">
        <f t="shared" si="8"/>
        <v>4400000</v>
      </c>
      <c r="K28" s="262">
        <f t="shared" si="9"/>
        <v>34397260.273972601</v>
      </c>
      <c r="L28" s="262">
        <f t="shared" si="20"/>
        <v>688028.49315068487</v>
      </c>
      <c r="M28" s="263">
        <f t="shared" si="10"/>
        <v>5088028.493150685</v>
      </c>
      <c r="N28" s="381">
        <f t="shared" si="0"/>
        <v>6360.0356164383566</v>
      </c>
      <c r="O28" s="405">
        <v>1000000</v>
      </c>
      <c r="P28" s="375">
        <f t="shared" si="11"/>
        <v>0</v>
      </c>
      <c r="Q28" s="375">
        <f t="shared" si="12"/>
        <v>1000000</v>
      </c>
      <c r="R28" s="375">
        <f t="shared" si="13"/>
        <v>1250</v>
      </c>
      <c r="S28" s="375">
        <f t="shared" si="14"/>
        <v>6088028.493150685</v>
      </c>
      <c r="T28" s="285">
        <f t="shared" si="1"/>
        <v>7610.0356164383566</v>
      </c>
      <c r="U28" s="407">
        <v>0</v>
      </c>
      <c r="V28" s="400" t="str">
        <f t="shared" si="2"/>
        <v>Yes</v>
      </c>
      <c r="W28" s="244">
        <f t="shared" si="15"/>
        <v>0</v>
      </c>
      <c r="X28" s="407">
        <v>0</v>
      </c>
      <c r="Y28" s="391"/>
      <c r="Z28" s="165"/>
      <c r="AA28" s="411">
        <v>350</v>
      </c>
      <c r="AB28" s="405">
        <v>250</v>
      </c>
      <c r="AC28" s="405">
        <v>150</v>
      </c>
      <c r="AD28" s="405">
        <v>50</v>
      </c>
      <c r="AE28" s="195">
        <f t="shared" si="16"/>
        <v>800</v>
      </c>
      <c r="AF28" s="204" t="str">
        <f t="shared" si="3"/>
        <v>Match</v>
      </c>
      <c r="AG28" s="184">
        <f t="shared" si="4"/>
        <v>2663512.4657534249</v>
      </c>
      <c r="AH28" s="179">
        <f t="shared" si="5"/>
        <v>1902508.9041095891</v>
      </c>
      <c r="AI28" s="179">
        <f t="shared" si="6"/>
        <v>1141505.3424657534</v>
      </c>
      <c r="AJ28" s="179">
        <f t="shared" si="7"/>
        <v>380501.78082191781</v>
      </c>
      <c r="AK28" s="205">
        <f t="shared" si="17"/>
        <v>6088028.493150685</v>
      </c>
      <c r="AL28" s="176"/>
    </row>
    <row r="29" spans="2:38" x14ac:dyDescent="0.25">
      <c r="B29" s="392">
        <v>20</v>
      </c>
      <c r="C29" s="269">
        <v>2030</v>
      </c>
      <c r="D29" s="398">
        <f t="shared" si="21"/>
        <v>1.8800000000000001E-2</v>
      </c>
      <c r="E29" s="401">
        <v>1000</v>
      </c>
      <c r="F29" s="401">
        <v>800</v>
      </c>
      <c r="G29" s="402">
        <v>0.04</v>
      </c>
      <c r="H29" s="262">
        <f t="shared" si="18"/>
        <v>110000000</v>
      </c>
      <c r="I29" s="262">
        <f t="shared" si="19"/>
        <v>34397260.273972601</v>
      </c>
      <c r="J29" s="262">
        <f t="shared" si="8"/>
        <v>4400000</v>
      </c>
      <c r="K29" s="262">
        <f t="shared" si="9"/>
        <v>29997260.273972601</v>
      </c>
      <c r="L29" s="262">
        <f t="shared" si="20"/>
        <v>605308.49315068487</v>
      </c>
      <c r="M29" s="263">
        <f t="shared" si="10"/>
        <v>5005308.493150685</v>
      </c>
      <c r="N29" s="381">
        <f t="shared" si="0"/>
        <v>6256.635616438356</v>
      </c>
      <c r="O29" s="405">
        <v>1000000</v>
      </c>
      <c r="P29" s="375">
        <f t="shared" si="11"/>
        <v>0</v>
      </c>
      <c r="Q29" s="375">
        <f t="shared" si="12"/>
        <v>1000000</v>
      </c>
      <c r="R29" s="375">
        <f t="shared" si="13"/>
        <v>1250</v>
      </c>
      <c r="S29" s="375">
        <f t="shared" si="14"/>
        <v>6005308.493150685</v>
      </c>
      <c r="T29" s="285">
        <f t="shared" si="1"/>
        <v>7506.635616438356</v>
      </c>
      <c r="U29" s="407">
        <v>0</v>
      </c>
      <c r="V29" s="400" t="str">
        <f t="shared" si="2"/>
        <v>Yes</v>
      </c>
      <c r="W29" s="244">
        <f t="shared" si="15"/>
        <v>0</v>
      </c>
      <c r="X29" s="407">
        <v>0</v>
      </c>
      <c r="Y29" s="391"/>
      <c r="AA29" s="411">
        <v>350</v>
      </c>
      <c r="AB29" s="405">
        <v>250</v>
      </c>
      <c r="AC29" s="405">
        <v>150</v>
      </c>
      <c r="AD29" s="405">
        <v>50</v>
      </c>
      <c r="AE29" s="195">
        <f t="shared" si="16"/>
        <v>800</v>
      </c>
      <c r="AF29" s="204" t="str">
        <f t="shared" si="3"/>
        <v>Match</v>
      </c>
      <c r="AG29" s="184">
        <f t="shared" si="4"/>
        <v>2627322.4657534244</v>
      </c>
      <c r="AH29" s="179">
        <f t="shared" si="5"/>
        <v>1876658.9041095891</v>
      </c>
      <c r="AI29" s="179">
        <f t="shared" si="6"/>
        <v>1125995.3424657534</v>
      </c>
      <c r="AJ29" s="179">
        <f t="shared" si="7"/>
        <v>375331.78082191781</v>
      </c>
      <c r="AK29" s="205">
        <f t="shared" si="17"/>
        <v>6005308.493150685</v>
      </c>
      <c r="AL29" s="176"/>
    </row>
    <row r="30" spans="2:38" x14ac:dyDescent="0.25">
      <c r="B30" s="392">
        <v>21</v>
      </c>
      <c r="C30" s="269">
        <v>2031</v>
      </c>
      <c r="D30" s="398">
        <f t="shared" si="21"/>
        <v>1.8800000000000001E-2</v>
      </c>
      <c r="E30" s="401">
        <v>1000</v>
      </c>
      <c r="F30" s="401">
        <v>800</v>
      </c>
      <c r="G30" s="402">
        <v>0.04</v>
      </c>
      <c r="H30" s="262">
        <f t="shared" si="18"/>
        <v>110000000</v>
      </c>
      <c r="I30" s="262">
        <f t="shared" si="19"/>
        <v>29997260.273972601</v>
      </c>
      <c r="J30" s="262">
        <f t="shared" si="8"/>
        <v>4400000</v>
      </c>
      <c r="K30" s="262">
        <f t="shared" si="9"/>
        <v>25597260.273972601</v>
      </c>
      <c r="L30" s="262">
        <f t="shared" si="20"/>
        <v>522588.49315068492</v>
      </c>
      <c r="M30" s="263">
        <f t="shared" si="10"/>
        <v>4922588.493150685</v>
      </c>
      <c r="N30" s="381">
        <f t="shared" si="0"/>
        <v>6153.2356164383564</v>
      </c>
      <c r="O30" s="405">
        <v>1000000</v>
      </c>
      <c r="P30" s="375">
        <f t="shared" si="11"/>
        <v>0</v>
      </c>
      <c r="Q30" s="375">
        <f t="shared" si="12"/>
        <v>1000000</v>
      </c>
      <c r="R30" s="375">
        <f t="shared" si="13"/>
        <v>1250</v>
      </c>
      <c r="S30" s="375">
        <f t="shared" si="14"/>
        <v>5922588.493150685</v>
      </c>
      <c r="T30" s="285">
        <f t="shared" si="1"/>
        <v>7403.2356164383564</v>
      </c>
      <c r="U30" s="407">
        <v>0</v>
      </c>
      <c r="V30" s="400" t="str">
        <f t="shared" si="2"/>
        <v>Yes</v>
      </c>
      <c r="W30" s="244">
        <f t="shared" si="15"/>
        <v>0</v>
      </c>
      <c r="X30" s="407">
        <v>0</v>
      </c>
      <c r="Y30" s="391"/>
      <c r="AA30" s="411">
        <v>350</v>
      </c>
      <c r="AB30" s="405">
        <v>250</v>
      </c>
      <c r="AC30" s="405">
        <v>150</v>
      </c>
      <c r="AD30" s="405">
        <v>50</v>
      </c>
      <c r="AE30" s="195">
        <f t="shared" si="16"/>
        <v>800</v>
      </c>
      <c r="AF30" s="204" t="str">
        <f t="shared" si="3"/>
        <v>Match</v>
      </c>
      <c r="AG30" s="184">
        <f t="shared" si="4"/>
        <v>2591132.4657534249</v>
      </c>
      <c r="AH30" s="179">
        <f t="shared" si="5"/>
        <v>1850808.9041095891</v>
      </c>
      <c r="AI30" s="179">
        <f t="shared" si="6"/>
        <v>1110485.3424657534</v>
      </c>
      <c r="AJ30" s="179">
        <f t="shared" si="7"/>
        <v>370161.78082191781</v>
      </c>
      <c r="AK30" s="205">
        <f t="shared" si="17"/>
        <v>5922588.493150685</v>
      </c>
      <c r="AL30" s="176"/>
    </row>
    <row r="31" spans="2:38" x14ac:dyDescent="0.25">
      <c r="B31" s="392">
        <v>22</v>
      </c>
      <c r="C31" s="269">
        <v>2032</v>
      </c>
      <c r="D31" s="398">
        <f t="shared" si="21"/>
        <v>1.8800000000000001E-2</v>
      </c>
      <c r="E31" s="401">
        <v>1000</v>
      </c>
      <c r="F31" s="401">
        <v>800</v>
      </c>
      <c r="G31" s="402">
        <v>0.04</v>
      </c>
      <c r="H31" s="262">
        <f t="shared" si="18"/>
        <v>110000000</v>
      </c>
      <c r="I31" s="262">
        <f t="shared" si="19"/>
        <v>25597260.273972601</v>
      </c>
      <c r="J31" s="262">
        <f t="shared" si="8"/>
        <v>4400000</v>
      </c>
      <c r="K31" s="262">
        <f t="shared" si="9"/>
        <v>21197260.273972601</v>
      </c>
      <c r="L31" s="262">
        <f t="shared" si="20"/>
        <v>439868.49315068492</v>
      </c>
      <c r="M31" s="263">
        <f t="shared" si="10"/>
        <v>4839868.493150685</v>
      </c>
      <c r="N31" s="381">
        <f t="shared" si="0"/>
        <v>6049.8356164383558</v>
      </c>
      <c r="O31" s="405">
        <v>1000000</v>
      </c>
      <c r="P31" s="375">
        <f t="shared" si="11"/>
        <v>0</v>
      </c>
      <c r="Q31" s="375">
        <f t="shared" si="12"/>
        <v>1000000</v>
      </c>
      <c r="R31" s="375">
        <f t="shared" si="13"/>
        <v>1250</v>
      </c>
      <c r="S31" s="375">
        <f t="shared" si="14"/>
        <v>5839868.493150685</v>
      </c>
      <c r="T31" s="285">
        <f t="shared" si="1"/>
        <v>7299.8356164383558</v>
      </c>
      <c r="U31" s="407">
        <v>0</v>
      </c>
      <c r="V31" s="400" t="str">
        <f t="shared" si="2"/>
        <v>Yes</v>
      </c>
      <c r="W31" s="244">
        <f t="shared" si="15"/>
        <v>0</v>
      </c>
      <c r="X31" s="407">
        <v>0</v>
      </c>
      <c r="Y31" s="391"/>
      <c r="Z31" s="166"/>
      <c r="AA31" s="411">
        <v>350</v>
      </c>
      <c r="AB31" s="405">
        <v>250</v>
      </c>
      <c r="AC31" s="405">
        <v>150</v>
      </c>
      <c r="AD31" s="405">
        <v>50</v>
      </c>
      <c r="AE31" s="195">
        <f t="shared" si="16"/>
        <v>800</v>
      </c>
      <c r="AF31" s="204" t="str">
        <f t="shared" si="3"/>
        <v>Match</v>
      </c>
      <c r="AG31" s="184">
        <f t="shared" si="4"/>
        <v>2554942.4657534244</v>
      </c>
      <c r="AH31" s="179">
        <f t="shared" si="5"/>
        <v>1824958.9041095891</v>
      </c>
      <c r="AI31" s="179">
        <f t="shared" si="6"/>
        <v>1094975.3424657534</v>
      </c>
      <c r="AJ31" s="179">
        <f t="shared" si="7"/>
        <v>364991.78082191781</v>
      </c>
      <c r="AK31" s="205">
        <f t="shared" si="17"/>
        <v>5839868.493150685</v>
      </c>
      <c r="AL31" s="176"/>
    </row>
    <row r="32" spans="2:38" x14ac:dyDescent="0.25">
      <c r="B32" s="392">
        <v>23</v>
      </c>
      <c r="C32" s="269">
        <v>2033</v>
      </c>
      <c r="D32" s="398">
        <f t="shared" si="21"/>
        <v>1.8800000000000001E-2</v>
      </c>
      <c r="E32" s="401">
        <v>1000</v>
      </c>
      <c r="F32" s="401">
        <v>800</v>
      </c>
      <c r="G32" s="402">
        <v>0.04</v>
      </c>
      <c r="H32" s="262">
        <f t="shared" si="18"/>
        <v>110000000</v>
      </c>
      <c r="I32" s="262">
        <f t="shared" si="19"/>
        <v>21197260.273972601</v>
      </c>
      <c r="J32" s="262">
        <f t="shared" si="8"/>
        <v>4400000</v>
      </c>
      <c r="K32" s="262">
        <f t="shared" si="9"/>
        <v>16797260.273972601</v>
      </c>
      <c r="L32" s="262">
        <f t="shared" si="20"/>
        <v>357148.49315068492</v>
      </c>
      <c r="M32" s="263">
        <f t="shared" si="10"/>
        <v>4757148.493150685</v>
      </c>
      <c r="N32" s="381">
        <f t="shared" si="0"/>
        <v>5946.4356164383562</v>
      </c>
      <c r="O32" s="405">
        <v>1000000</v>
      </c>
      <c r="P32" s="375">
        <f t="shared" si="11"/>
        <v>0</v>
      </c>
      <c r="Q32" s="375">
        <f t="shared" si="12"/>
        <v>1000000</v>
      </c>
      <c r="R32" s="375">
        <f t="shared" si="13"/>
        <v>1250</v>
      </c>
      <c r="S32" s="375">
        <f t="shared" si="14"/>
        <v>5757148.493150685</v>
      </c>
      <c r="T32" s="285">
        <f t="shared" si="1"/>
        <v>7196.4356164383562</v>
      </c>
      <c r="U32" s="407">
        <v>0</v>
      </c>
      <c r="V32" s="400" t="str">
        <f t="shared" si="2"/>
        <v>Yes</v>
      </c>
      <c r="W32" s="244">
        <f t="shared" si="15"/>
        <v>0</v>
      </c>
      <c r="X32" s="407">
        <v>0</v>
      </c>
      <c r="Y32" s="391"/>
      <c r="AA32" s="411">
        <v>350</v>
      </c>
      <c r="AB32" s="405">
        <v>250</v>
      </c>
      <c r="AC32" s="405">
        <v>150</v>
      </c>
      <c r="AD32" s="405">
        <v>50</v>
      </c>
      <c r="AE32" s="195">
        <f t="shared" si="16"/>
        <v>800</v>
      </c>
      <c r="AF32" s="204" t="str">
        <f t="shared" si="3"/>
        <v>Match</v>
      </c>
      <c r="AG32" s="184">
        <f t="shared" si="4"/>
        <v>2518752.4657534244</v>
      </c>
      <c r="AH32" s="179">
        <f t="shared" si="5"/>
        <v>1799108.9041095891</v>
      </c>
      <c r="AI32" s="179">
        <f t="shared" si="6"/>
        <v>1079465.3424657534</v>
      </c>
      <c r="AJ32" s="179">
        <f t="shared" si="7"/>
        <v>359821.78082191781</v>
      </c>
      <c r="AK32" s="205">
        <f t="shared" si="17"/>
        <v>5757148.493150685</v>
      </c>
      <c r="AL32" s="176"/>
    </row>
    <row r="33" spans="2:38" x14ac:dyDescent="0.25">
      <c r="B33" s="392">
        <v>24</v>
      </c>
      <c r="C33" s="269">
        <v>2034</v>
      </c>
      <c r="D33" s="398">
        <f t="shared" si="21"/>
        <v>1.8800000000000001E-2</v>
      </c>
      <c r="E33" s="401">
        <v>1000</v>
      </c>
      <c r="F33" s="401">
        <v>800</v>
      </c>
      <c r="G33" s="402">
        <v>0.04</v>
      </c>
      <c r="H33" s="262">
        <f t="shared" si="18"/>
        <v>110000000</v>
      </c>
      <c r="I33" s="262">
        <f t="shared" si="19"/>
        <v>16797260.273972601</v>
      </c>
      <c r="J33" s="262">
        <f t="shared" si="8"/>
        <v>4400000</v>
      </c>
      <c r="K33" s="262">
        <f t="shared" si="9"/>
        <v>12397260.273972601</v>
      </c>
      <c r="L33" s="262">
        <f t="shared" si="20"/>
        <v>274428.49315068492</v>
      </c>
      <c r="M33" s="263">
        <f t="shared" si="10"/>
        <v>4674428.493150685</v>
      </c>
      <c r="N33" s="381">
        <f t="shared" si="0"/>
        <v>5843.0356164383566</v>
      </c>
      <c r="O33" s="405">
        <v>1000000</v>
      </c>
      <c r="P33" s="375">
        <f t="shared" si="11"/>
        <v>0</v>
      </c>
      <c r="Q33" s="375">
        <f t="shared" si="12"/>
        <v>1000000</v>
      </c>
      <c r="R33" s="375">
        <f t="shared" si="13"/>
        <v>1250</v>
      </c>
      <c r="S33" s="375">
        <f t="shared" si="14"/>
        <v>5674428.493150685</v>
      </c>
      <c r="T33" s="285">
        <f t="shared" si="1"/>
        <v>7093.0356164383566</v>
      </c>
      <c r="U33" s="407">
        <v>0</v>
      </c>
      <c r="V33" s="400" t="str">
        <f t="shared" si="2"/>
        <v>Yes</v>
      </c>
      <c r="W33" s="244">
        <f t="shared" si="15"/>
        <v>0</v>
      </c>
      <c r="X33" s="407">
        <v>0</v>
      </c>
      <c r="Y33" s="391"/>
      <c r="AA33" s="411">
        <v>350</v>
      </c>
      <c r="AB33" s="405">
        <v>250</v>
      </c>
      <c r="AC33" s="405">
        <v>150</v>
      </c>
      <c r="AD33" s="405">
        <v>50</v>
      </c>
      <c r="AE33" s="195">
        <f t="shared" si="16"/>
        <v>800</v>
      </c>
      <c r="AF33" s="204" t="str">
        <f t="shared" si="3"/>
        <v>Match</v>
      </c>
      <c r="AG33" s="184">
        <f t="shared" si="4"/>
        <v>2482562.4657534249</v>
      </c>
      <c r="AH33" s="179">
        <f t="shared" si="5"/>
        <v>1773258.9041095891</v>
      </c>
      <c r="AI33" s="179">
        <f t="shared" si="6"/>
        <v>1063955.3424657534</v>
      </c>
      <c r="AJ33" s="179">
        <f t="shared" si="7"/>
        <v>354651.78082191781</v>
      </c>
      <c r="AK33" s="205">
        <f t="shared" si="17"/>
        <v>5674428.493150685</v>
      </c>
      <c r="AL33" s="176"/>
    </row>
    <row r="34" spans="2:38" x14ac:dyDescent="0.25">
      <c r="B34" s="392">
        <v>25</v>
      </c>
      <c r="C34" s="269">
        <v>2035</v>
      </c>
      <c r="D34" s="398">
        <f t="shared" si="21"/>
        <v>1.8800000000000001E-2</v>
      </c>
      <c r="E34" s="401">
        <v>1000</v>
      </c>
      <c r="F34" s="401">
        <v>800</v>
      </c>
      <c r="G34" s="402">
        <v>0.04</v>
      </c>
      <c r="H34" s="262">
        <f t="shared" si="18"/>
        <v>110000000</v>
      </c>
      <c r="I34" s="262">
        <f t="shared" si="19"/>
        <v>12397260.273972601</v>
      </c>
      <c r="J34" s="262">
        <f t="shared" si="8"/>
        <v>4400000</v>
      </c>
      <c r="K34" s="262">
        <f t="shared" si="9"/>
        <v>7997260.2739726007</v>
      </c>
      <c r="L34" s="262">
        <f t="shared" si="20"/>
        <v>191708.4931506849</v>
      </c>
      <c r="M34" s="263">
        <f t="shared" si="10"/>
        <v>4591708.493150685</v>
      </c>
      <c r="N34" s="381">
        <f t="shared" si="0"/>
        <v>5739.635616438356</v>
      </c>
      <c r="O34" s="405">
        <v>1000000</v>
      </c>
      <c r="P34" s="375">
        <f t="shared" si="11"/>
        <v>0</v>
      </c>
      <c r="Q34" s="375">
        <f t="shared" si="12"/>
        <v>1000000</v>
      </c>
      <c r="R34" s="375">
        <f t="shared" si="13"/>
        <v>1250</v>
      </c>
      <c r="S34" s="375">
        <f t="shared" si="14"/>
        <v>5591708.493150685</v>
      </c>
      <c r="T34" s="285">
        <f t="shared" si="1"/>
        <v>6989.635616438356</v>
      </c>
      <c r="U34" s="407">
        <v>0</v>
      </c>
      <c r="V34" s="400" t="str">
        <f t="shared" si="2"/>
        <v>Yes</v>
      </c>
      <c r="W34" s="244">
        <f t="shared" si="15"/>
        <v>0</v>
      </c>
      <c r="X34" s="407">
        <v>0</v>
      </c>
      <c r="Y34" s="391"/>
      <c r="AA34" s="411">
        <v>350</v>
      </c>
      <c r="AB34" s="405">
        <v>250</v>
      </c>
      <c r="AC34" s="405">
        <v>150</v>
      </c>
      <c r="AD34" s="405">
        <v>50</v>
      </c>
      <c r="AE34" s="195">
        <f t="shared" si="16"/>
        <v>800</v>
      </c>
      <c r="AF34" s="204" t="str">
        <f t="shared" si="3"/>
        <v>Match</v>
      </c>
      <c r="AG34" s="184">
        <f t="shared" si="4"/>
        <v>2446372.4657534244</v>
      </c>
      <c r="AH34" s="179">
        <f t="shared" si="5"/>
        <v>1747408.9041095891</v>
      </c>
      <c r="AI34" s="179">
        <f t="shared" si="6"/>
        <v>1048445.3424657534</v>
      </c>
      <c r="AJ34" s="179">
        <f t="shared" si="7"/>
        <v>349481.78082191781</v>
      </c>
      <c r="AK34" s="205">
        <f t="shared" si="17"/>
        <v>5591708.493150685</v>
      </c>
      <c r="AL34" s="176"/>
    </row>
    <row r="35" spans="2:38" x14ac:dyDescent="0.25">
      <c r="B35" s="392">
        <v>26</v>
      </c>
      <c r="C35" s="269">
        <v>2036</v>
      </c>
      <c r="D35" s="398">
        <f t="shared" si="21"/>
        <v>1.8800000000000001E-2</v>
      </c>
      <c r="E35" s="401">
        <v>1000</v>
      </c>
      <c r="F35" s="401">
        <v>800</v>
      </c>
      <c r="G35" s="402">
        <v>0.04</v>
      </c>
      <c r="H35" s="262">
        <f t="shared" si="18"/>
        <v>110000000</v>
      </c>
      <c r="I35" s="262">
        <f t="shared" si="19"/>
        <v>7997260.2739726007</v>
      </c>
      <c r="J35" s="262">
        <f t="shared" si="8"/>
        <v>4400000</v>
      </c>
      <c r="K35" s="262">
        <f t="shared" si="9"/>
        <v>3597260.2739726007</v>
      </c>
      <c r="L35" s="262">
        <f t="shared" si="20"/>
        <v>108988.4931506849</v>
      </c>
      <c r="M35" s="263">
        <f t="shared" si="10"/>
        <v>4508988.493150685</v>
      </c>
      <c r="N35" s="381">
        <f t="shared" si="0"/>
        <v>5636.2356164383564</v>
      </c>
      <c r="O35" s="405">
        <v>1000000</v>
      </c>
      <c r="P35" s="375">
        <f t="shared" si="11"/>
        <v>0</v>
      </c>
      <c r="Q35" s="374">
        <f t="shared" si="12"/>
        <v>1000000</v>
      </c>
      <c r="R35" s="374">
        <f t="shared" si="13"/>
        <v>1250</v>
      </c>
      <c r="S35" s="374">
        <f t="shared" si="14"/>
        <v>5508988.493150685</v>
      </c>
      <c r="T35" s="285">
        <f t="shared" si="1"/>
        <v>6886.2356164383564</v>
      </c>
      <c r="U35" s="407">
        <v>0</v>
      </c>
      <c r="V35" s="400" t="str">
        <f t="shared" si="2"/>
        <v>Yes</v>
      </c>
      <c r="W35" s="244">
        <f t="shared" si="15"/>
        <v>0</v>
      </c>
      <c r="X35" s="407">
        <v>0</v>
      </c>
      <c r="Y35" s="391"/>
      <c r="AA35" s="411">
        <v>350</v>
      </c>
      <c r="AB35" s="405">
        <v>250</v>
      </c>
      <c r="AC35" s="405">
        <v>150</v>
      </c>
      <c r="AD35" s="405">
        <v>50</v>
      </c>
      <c r="AE35" s="195">
        <f t="shared" si="16"/>
        <v>800</v>
      </c>
      <c r="AF35" s="204" t="str">
        <f t="shared" si="3"/>
        <v>Match</v>
      </c>
      <c r="AG35" s="184">
        <f t="shared" si="4"/>
        <v>2410182.4657534249</v>
      </c>
      <c r="AH35" s="179">
        <f t="shared" si="5"/>
        <v>1721558.9041095891</v>
      </c>
      <c r="AI35" s="179">
        <f t="shared" si="6"/>
        <v>1032935.3424657534</v>
      </c>
      <c r="AJ35" s="179">
        <f t="shared" si="7"/>
        <v>344311.78082191781</v>
      </c>
      <c r="AK35" s="205">
        <f t="shared" si="17"/>
        <v>5508988.493150685</v>
      </c>
      <c r="AL35" s="176"/>
    </row>
    <row r="36" spans="2:38" x14ac:dyDescent="0.25">
      <c r="B36" s="392">
        <v>27</v>
      </c>
      <c r="C36" s="269">
        <v>2037</v>
      </c>
      <c r="D36" s="398">
        <f t="shared" si="21"/>
        <v>1.8800000000000001E-2</v>
      </c>
      <c r="E36" s="401">
        <v>1000</v>
      </c>
      <c r="F36" s="401">
        <v>800</v>
      </c>
      <c r="G36" s="402">
        <v>0.04</v>
      </c>
      <c r="H36" s="262">
        <f t="shared" si="18"/>
        <v>110000000</v>
      </c>
      <c r="I36" s="262">
        <f t="shared" si="19"/>
        <v>3597260.2739726007</v>
      </c>
      <c r="J36" s="262">
        <f t="shared" si="8"/>
        <v>3597260.2739726007</v>
      </c>
      <c r="K36" s="262">
        <f t="shared" si="9"/>
        <v>0</v>
      </c>
      <c r="L36" s="262">
        <f t="shared" si="20"/>
        <v>33814.246575342448</v>
      </c>
      <c r="M36" s="263">
        <f t="shared" si="10"/>
        <v>3631074.5205479432</v>
      </c>
      <c r="N36" s="381">
        <f t="shared" si="0"/>
        <v>4538.8431506849292</v>
      </c>
      <c r="O36" s="405">
        <v>1000000</v>
      </c>
      <c r="P36" s="375">
        <f t="shared" si="11"/>
        <v>0</v>
      </c>
      <c r="Q36" s="375">
        <f t="shared" si="12"/>
        <v>1000000</v>
      </c>
      <c r="R36" s="375">
        <f t="shared" si="13"/>
        <v>1250</v>
      </c>
      <c r="S36" s="375">
        <f t="shared" si="14"/>
        <v>4631074.5205479432</v>
      </c>
      <c r="T36" s="285">
        <f t="shared" si="1"/>
        <v>5788.8431506849292</v>
      </c>
      <c r="U36" s="407">
        <v>0</v>
      </c>
      <c r="V36" s="400" t="str">
        <f t="shared" si="2"/>
        <v>Yes</v>
      </c>
      <c r="W36" s="244">
        <f t="shared" si="15"/>
        <v>0</v>
      </c>
      <c r="X36" s="407">
        <v>0</v>
      </c>
      <c r="Y36" s="391"/>
      <c r="AA36" s="411">
        <v>350</v>
      </c>
      <c r="AB36" s="405">
        <v>250</v>
      </c>
      <c r="AC36" s="405">
        <v>150</v>
      </c>
      <c r="AD36" s="405">
        <v>50</v>
      </c>
      <c r="AE36" s="195">
        <f t="shared" si="16"/>
        <v>800</v>
      </c>
      <c r="AF36" s="204" t="str">
        <f t="shared" si="3"/>
        <v>Match</v>
      </c>
      <c r="AG36" s="184">
        <f t="shared" si="4"/>
        <v>2026095.1027397253</v>
      </c>
      <c r="AH36" s="179">
        <f t="shared" si="5"/>
        <v>1447210.7876712324</v>
      </c>
      <c r="AI36" s="179">
        <f t="shared" si="6"/>
        <v>868326.47260273935</v>
      </c>
      <c r="AJ36" s="179">
        <f t="shared" si="7"/>
        <v>289442.15753424645</v>
      </c>
      <c r="AK36" s="205">
        <f t="shared" si="17"/>
        <v>4631074.5205479432</v>
      </c>
      <c r="AL36" s="176"/>
    </row>
    <row r="37" spans="2:38" ht="13.8" thickBot="1" x14ac:dyDescent="0.3">
      <c r="B37" s="394"/>
      <c r="C37" s="326"/>
      <c r="D37" s="326"/>
      <c r="E37" s="326"/>
      <c r="F37" s="326"/>
      <c r="G37" s="326"/>
      <c r="H37" s="257"/>
      <c r="I37" s="258"/>
      <c r="J37" s="259"/>
      <c r="K37" s="259"/>
      <c r="L37" s="260"/>
      <c r="M37" s="260"/>
      <c r="N37" s="260"/>
      <c r="O37" s="260"/>
      <c r="P37" s="260"/>
      <c r="Q37" s="260"/>
      <c r="R37" s="260"/>
      <c r="S37" s="260"/>
      <c r="T37" s="260"/>
      <c r="U37" s="270"/>
      <c r="V37" s="380"/>
      <c r="W37" s="270"/>
      <c r="X37" s="270"/>
      <c r="Y37" s="395"/>
      <c r="AA37" s="183"/>
      <c r="AB37" s="172"/>
      <c r="AC37" s="172"/>
      <c r="AD37" s="172"/>
      <c r="AE37" s="188"/>
      <c r="AF37" s="206"/>
      <c r="AG37" s="183"/>
      <c r="AH37" s="172"/>
      <c r="AI37" s="172"/>
      <c r="AJ37" s="172"/>
      <c r="AK37" s="196"/>
    </row>
    <row r="38" spans="2:38" x14ac:dyDescent="0.25">
      <c r="H38" s="168"/>
      <c r="I38" s="164"/>
      <c r="X38" s="169"/>
      <c r="Y38" s="169"/>
    </row>
    <row r="39" spans="2:38" x14ac:dyDescent="0.25">
      <c r="I39" s="192" t="s">
        <v>62</v>
      </c>
      <c r="J39" s="176">
        <f>SUM(J10:J38)+H10-I10</f>
        <v>119000000</v>
      </c>
      <c r="X39" s="169"/>
      <c r="Y39" s="169"/>
    </row>
    <row r="40" spans="2:38" x14ac:dyDescent="0.25">
      <c r="B40" s="189"/>
      <c r="Q40" s="242"/>
      <c r="R40" s="242"/>
      <c r="S40" s="242"/>
      <c r="T40" s="242"/>
      <c r="U40" s="242"/>
      <c r="V40" s="241"/>
      <c r="W40" s="241"/>
      <c r="X40" s="242"/>
      <c r="Y40" s="242"/>
    </row>
    <row r="41" spans="2:38" x14ac:dyDescent="0.25">
      <c r="B41" s="189" t="s">
        <v>50</v>
      </c>
      <c r="F41" s="177"/>
      <c r="Q41" s="231" t="s">
        <v>48</v>
      </c>
      <c r="R41" s="216"/>
      <c r="S41" s="216"/>
      <c r="T41" s="216"/>
      <c r="U41" s="216"/>
      <c r="V41" s="217"/>
      <c r="W41" s="217"/>
      <c r="X41" s="218"/>
      <c r="Y41" s="219"/>
    </row>
    <row r="42" spans="2:38" x14ac:dyDescent="0.25">
      <c r="B42" s="177" t="s">
        <v>51</v>
      </c>
      <c r="F42" s="177"/>
      <c r="H42" s="175"/>
      <c r="Q42" s="220"/>
      <c r="R42" s="209"/>
      <c r="S42" s="209"/>
      <c r="T42" s="209"/>
      <c r="U42" s="209"/>
      <c r="V42" s="247" t="s">
        <v>41</v>
      </c>
      <c r="W42" s="221"/>
      <c r="X42" s="209"/>
      <c r="Y42" s="240">
        <f>-X24</f>
        <v>15000000</v>
      </c>
      <c r="Z42" s="237" t="s">
        <v>94</v>
      </c>
    </row>
    <row r="43" spans="2:38" x14ac:dyDescent="0.25">
      <c r="F43" s="177"/>
      <c r="G43" s="177"/>
      <c r="L43" s="242"/>
      <c r="Q43" s="220"/>
      <c r="R43" s="209"/>
      <c r="S43" s="209"/>
      <c r="T43" s="209"/>
      <c r="U43" s="209"/>
      <c r="V43" s="247" t="s">
        <v>45</v>
      </c>
      <c r="W43" s="221"/>
      <c r="X43" s="209"/>
      <c r="Y43" s="240"/>
    </row>
    <row r="44" spans="2:38" x14ac:dyDescent="0.25">
      <c r="B44" s="177" t="s">
        <v>55</v>
      </c>
      <c r="F44" s="177"/>
      <c r="Q44" s="297"/>
      <c r="R44" s="298" t="s">
        <v>42</v>
      </c>
      <c r="S44" s="408"/>
      <c r="T44" s="213" t="s">
        <v>43</v>
      </c>
      <c r="U44" s="409"/>
      <c r="V44" s="247" t="s">
        <v>44</v>
      </c>
      <c r="W44" s="222"/>
      <c r="X44" s="223">
        <f>Y42*S44*U44</f>
        <v>0</v>
      </c>
      <c r="Y44" s="224"/>
    </row>
    <row r="45" spans="2:38" x14ac:dyDescent="0.25">
      <c r="B45" s="177" t="s">
        <v>52</v>
      </c>
      <c r="F45" s="177"/>
      <c r="Q45" s="297"/>
      <c r="R45" s="298" t="s">
        <v>42</v>
      </c>
      <c r="S45" s="408">
        <v>15</v>
      </c>
      <c r="T45" s="213" t="s">
        <v>43</v>
      </c>
      <c r="U45" s="214">
        <v>0.04</v>
      </c>
      <c r="V45" s="246" t="s">
        <v>44</v>
      </c>
      <c r="W45" s="229"/>
      <c r="X45" s="215">
        <f>Y42*S45*U45</f>
        <v>9000000</v>
      </c>
      <c r="Y45" s="225">
        <f>-SUM(X44:X45)</f>
        <v>-9000000</v>
      </c>
    </row>
    <row r="46" spans="2:38" x14ac:dyDescent="0.25">
      <c r="B46" s="177" t="s">
        <v>61</v>
      </c>
      <c r="F46" s="177"/>
      <c r="Q46" s="220"/>
      <c r="R46" s="209"/>
      <c r="S46" s="209"/>
      <c r="T46" s="209"/>
      <c r="U46" s="209"/>
      <c r="V46" s="221"/>
      <c r="W46" s="221"/>
      <c r="X46" s="226"/>
      <c r="Y46" s="224"/>
    </row>
    <row r="47" spans="2:38" x14ac:dyDescent="0.25">
      <c r="B47" s="177" t="s">
        <v>54</v>
      </c>
      <c r="Q47" s="220"/>
      <c r="R47" s="209"/>
      <c r="S47" s="209"/>
      <c r="T47" s="209"/>
      <c r="U47" s="209"/>
      <c r="V47" s="221" t="s">
        <v>46</v>
      </c>
      <c r="W47" s="221"/>
      <c r="X47" s="226"/>
      <c r="Y47" s="158">
        <f>Y42+Y45</f>
        <v>6000000</v>
      </c>
      <c r="Z47" s="237" t="s">
        <v>85</v>
      </c>
      <c r="AA47" s="170"/>
    </row>
    <row r="48" spans="2:38" x14ac:dyDescent="0.25">
      <c r="Q48" s="227"/>
      <c r="R48" s="228"/>
      <c r="S48" s="228"/>
      <c r="T48" s="228"/>
      <c r="U48" s="228"/>
      <c r="V48" s="229"/>
      <c r="W48" s="229"/>
      <c r="X48" s="215"/>
      <c r="Y48" s="230"/>
    </row>
    <row r="49" spans="2:39" x14ac:dyDescent="0.25">
      <c r="B49" s="242" t="s">
        <v>27</v>
      </c>
      <c r="F49" s="72" t="s">
        <v>101</v>
      </c>
      <c r="Q49" s="242"/>
      <c r="R49" s="242"/>
      <c r="S49" s="242"/>
      <c r="T49" s="242"/>
      <c r="U49" s="242"/>
      <c r="V49" s="241"/>
      <c r="W49" s="241"/>
      <c r="X49" s="242"/>
      <c r="Y49" s="242"/>
    </row>
    <row r="50" spans="2:39" x14ac:dyDescent="0.25">
      <c r="Q50" s="232" t="s">
        <v>53</v>
      </c>
      <c r="R50" s="242"/>
      <c r="S50" s="242"/>
      <c r="T50" s="242"/>
      <c r="U50" s="242"/>
      <c r="V50" s="241"/>
      <c r="W50" s="241"/>
      <c r="X50" s="242"/>
      <c r="Y50" s="242"/>
    </row>
    <row r="53" spans="2:39" x14ac:dyDescent="0.25">
      <c r="AM53" s="163"/>
    </row>
    <row r="54" spans="2:39" x14ac:dyDescent="0.25">
      <c r="D54" s="178" t="s">
        <v>28</v>
      </c>
      <c r="E54" s="178"/>
      <c r="G54" s="207"/>
      <c r="I54" s="160" t="s">
        <v>0</v>
      </c>
      <c r="J54" s="161" t="s">
        <v>1</v>
      </c>
      <c r="K54" s="162" t="s">
        <v>2</v>
      </c>
      <c r="AM54" s="163"/>
    </row>
    <row r="55" spans="2:39" ht="12.75" customHeight="1" x14ac:dyDescent="0.25">
      <c r="G55" s="207"/>
      <c r="I55" s="208" t="s">
        <v>83</v>
      </c>
      <c r="J55" s="163"/>
      <c r="K55" s="163" t="s">
        <v>3</v>
      </c>
      <c r="L55" s="163" t="s">
        <v>4</v>
      </c>
      <c r="M55" s="438" t="s">
        <v>5</v>
      </c>
      <c r="N55" s="438"/>
      <c r="O55" s="438"/>
      <c r="P55" s="438"/>
      <c r="Q55" s="438"/>
      <c r="R55" s="438"/>
      <c r="S55" s="438"/>
      <c r="T55" s="438"/>
      <c r="U55" s="438"/>
      <c r="V55" s="438"/>
      <c r="W55" s="438"/>
      <c r="X55" s="438"/>
      <c r="Y55" s="438"/>
      <c r="Z55" s="438"/>
      <c r="AA55" s="438"/>
      <c r="AM55" s="163"/>
    </row>
    <row r="56" spans="2:39" x14ac:dyDescent="0.25">
      <c r="M56" s="212" t="s">
        <v>84</v>
      </c>
      <c r="AM56" s="163"/>
    </row>
  </sheetData>
  <mergeCells count="7">
    <mergeCell ref="AG7:AK7"/>
    <mergeCell ref="M55:AA55"/>
    <mergeCell ref="F4:I4"/>
    <mergeCell ref="F5:I5"/>
    <mergeCell ref="F6:I6"/>
    <mergeCell ref="AA7:AE7"/>
    <mergeCell ref="X6:Y6"/>
  </mergeCells>
  <hyperlinks>
    <hyperlink ref="F49"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N57"/>
  <sheetViews>
    <sheetView zoomScale="80" zoomScaleNormal="80" zoomScaleSheetLayoutView="90" workbookViewId="0">
      <selection activeCell="F49" sqref="F49"/>
    </sheetView>
  </sheetViews>
  <sheetFormatPr defaultColWidth="9.109375" defaultRowHeight="13.2" x14ac:dyDescent="0.25"/>
  <cols>
    <col min="1" max="1" width="2.109375" style="281" customWidth="1"/>
    <col min="2" max="2" width="7.44140625" style="281" customWidth="1"/>
    <col min="3" max="3" width="6.5546875" style="281" customWidth="1"/>
    <col min="4" max="4" width="8" style="281" customWidth="1"/>
    <col min="5" max="5" width="11" style="281" customWidth="1"/>
    <col min="6" max="6" width="9.44140625" style="252" customWidth="1"/>
    <col min="7" max="7" width="8.44140625" style="252" customWidth="1"/>
    <col min="8" max="8" width="15.44140625" style="281" customWidth="1"/>
    <col min="9" max="9" width="14.6640625" style="281" customWidth="1"/>
    <col min="10" max="10" width="14.88671875" style="281" customWidth="1"/>
    <col min="11" max="11" width="15.6640625" style="281" customWidth="1"/>
    <col min="12" max="12" width="13.5546875" style="281" customWidth="1"/>
    <col min="13" max="13" width="14" style="281" customWidth="1"/>
    <col min="14" max="14" width="11.5546875" style="281" customWidth="1"/>
    <col min="15" max="15" width="10.88671875" style="281" customWidth="1"/>
    <col min="16" max="17" width="12.33203125" style="281" bestFit="1" customWidth="1"/>
    <col min="18" max="18" width="11.6640625" style="281" customWidth="1"/>
    <col min="19" max="19" width="14.44140625" style="281" customWidth="1"/>
    <col min="20" max="20" width="12.5546875" style="281" bestFit="1" customWidth="1"/>
    <col min="21" max="23" width="14" style="264" customWidth="1"/>
    <col min="24" max="24" width="13.109375" style="281" customWidth="1"/>
    <col min="25" max="25" width="13.44140625" style="281" customWidth="1"/>
    <col min="26" max="26" width="8.109375" style="281" customWidth="1"/>
    <col min="27" max="31" width="10" style="281" customWidth="1"/>
    <col min="32" max="32" width="10" style="252" customWidth="1"/>
    <col min="33" max="33" width="12" style="252" bestFit="1" customWidth="1"/>
    <col min="34" max="34" width="11.33203125" style="281" bestFit="1" customWidth="1"/>
    <col min="35" max="35" width="12.109375" style="281" customWidth="1"/>
    <col min="36" max="36" width="11.33203125" style="281" bestFit="1" customWidth="1"/>
    <col min="37" max="37" width="14.109375" style="281" customWidth="1"/>
    <col min="38" max="38" width="11.33203125" style="281" bestFit="1" customWidth="1"/>
    <col min="39" max="39" width="15.109375" style="281" customWidth="1"/>
    <col min="40" max="40" width="15.88671875" style="252" customWidth="1"/>
    <col min="41" max="41" width="12.33203125" style="281" bestFit="1" customWidth="1"/>
    <col min="42" max="16384" width="9.109375" style="281"/>
  </cols>
  <sheetData>
    <row r="1" spans="1:40" x14ac:dyDescent="0.25">
      <c r="A1" s="256"/>
      <c r="B1" s="256"/>
      <c r="C1" s="256"/>
      <c r="D1" s="256"/>
      <c r="E1" s="256"/>
      <c r="F1" s="348"/>
      <c r="G1" s="348"/>
      <c r="H1" s="256"/>
      <c r="I1" s="348"/>
      <c r="J1" s="348"/>
      <c r="K1" s="348"/>
      <c r="L1" s="348"/>
      <c r="M1" s="383"/>
      <c r="N1" s="383"/>
      <c r="O1" s="383"/>
      <c r="P1" s="383"/>
      <c r="Q1" s="383"/>
      <c r="R1" s="383"/>
      <c r="S1" s="383"/>
      <c r="T1" s="383"/>
      <c r="U1" s="383"/>
      <c r="V1" s="383"/>
      <c r="W1" s="383"/>
      <c r="X1" s="383"/>
      <c r="Y1" s="383"/>
      <c r="Z1" s="383"/>
      <c r="AA1" s="418"/>
      <c r="AB1" s="418"/>
      <c r="AC1" s="418"/>
      <c r="AD1" s="418"/>
      <c r="AE1" s="418"/>
      <c r="AF1" s="320"/>
      <c r="AG1" s="320"/>
      <c r="AH1" s="418"/>
      <c r="AI1" s="418"/>
      <c r="AJ1" s="418"/>
      <c r="AK1" s="418"/>
      <c r="AL1" s="418"/>
      <c r="AM1" s="418"/>
      <c r="AN1" s="320"/>
    </row>
    <row r="3" spans="1:40" ht="13.8" thickBot="1" x14ac:dyDescent="0.3">
      <c r="F3" s="328" t="s">
        <v>60</v>
      </c>
      <c r="J3" s="252"/>
      <c r="K3" s="274"/>
    </row>
    <row r="4" spans="1:40" ht="14.25" customHeight="1" thickBot="1" x14ac:dyDescent="0.35">
      <c r="F4" s="439" t="s">
        <v>16</v>
      </c>
      <c r="G4" s="440"/>
      <c r="H4" s="441"/>
      <c r="I4" s="441"/>
      <c r="J4" s="403">
        <v>40544</v>
      </c>
      <c r="K4" s="274"/>
      <c r="L4" s="338" t="s">
        <v>99</v>
      </c>
    </row>
    <row r="5" spans="1:40" ht="14.25" customHeight="1" x14ac:dyDescent="0.25">
      <c r="F5" s="439" t="s">
        <v>26</v>
      </c>
      <c r="G5" s="440"/>
      <c r="H5" s="441"/>
      <c r="I5" s="441"/>
      <c r="J5" s="412">
        <f>DATE(YEAR(J4),12,31)-J4</f>
        <v>364</v>
      </c>
      <c r="K5" s="274"/>
      <c r="L5" s="447" t="s">
        <v>66</v>
      </c>
      <c r="M5" s="448"/>
      <c r="N5" s="440"/>
      <c r="O5" s="449" t="s">
        <v>90</v>
      </c>
      <c r="P5" s="450"/>
      <c r="Q5" s="450"/>
      <c r="R5" s="451"/>
    </row>
    <row r="6" spans="1:40" ht="13.8" thickBot="1" x14ac:dyDescent="0.3">
      <c r="B6" s="275"/>
      <c r="C6" s="265" t="s">
        <v>24</v>
      </c>
      <c r="F6" s="442" t="s">
        <v>25</v>
      </c>
      <c r="G6" s="443"/>
      <c r="H6" s="444"/>
      <c r="I6" s="444"/>
      <c r="J6" s="404">
        <v>0</v>
      </c>
      <c r="X6" s="445" t="s">
        <v>81</v>
      </c>
      <c r="Y6" s="446"/>
    </row>
    <row r="7" spans="1:40" ht="20.25" customHeight="1" thickBot="1" x14ac:dyDescent="0.3">
      <c r="AA7" s="435" t="s">
        <v>73</v>
      </c>
      <c r="AB7" s="436"/>
      <c r="AC7" s="436"/>
      <c r="AD7" s="436"/>
      <c r="AE7" s="437"/>
      <c r="AF7" s="417"/>
      <c r="AG7" s="435" t="s">
        <v>64</v>
      </c>
      <c r="AH7" s="436"/>
      <c r="AI7" s="436"/>
      <c r="AJ7" s="436"/>
      <c r="AK7" s="436"/>
      <c r="AL7" s="437"/>
      <c r="AM7" s="265"/>
      <c r="AN7" s="281"/>
    </row>
    <row r="8" spans="1:40" s="265" customFormat="1" ht="53.4" thickBot="1" x14ac:dyDescent="0.3">
      <c r="B8" s="377" t="s">
        <v>6</v>
      </c>
      <c r="C8" s="378" t="s">
        <v>23</v>
      </c>
      <c r="D8" s="386" t="s">
        <v>19</v>
      </c>
      <c r="E8" s="387" t="s">
        <v>82</v>
      </c>
      <c r="F8" s="378" t="s">
        <v>59</v>
      </c>
      <c r="G8" s="378" t="s">
        <v>58</v>
      </c>
      <c r="H8" s="378" t="s">
        <v>13</v>
      </c>
      <c r="I8" s="378" t="s">
        <v>14</v>
      </c>
      <c r="J8" s="378" t="s">
        <v>7</v>
      </c>
      <c r="K8" s="378" t="s">
        <v>15</v>
      </c>
      <c r="L8" s="378" t="s">
        <v>17</v>
      </c>
      <c r="M8" s="378" t="s">
        <v>8</v>
      </c>
      <c r="N8" s="378" t="s">
        <v>9</v>
      </c>
      <c r="O8" s="378" t="s">
        <v>10</v>
      </c>
      <c r="P8" s="388" t="s">
        <v>78</v>
      </c>
      <c r="Q8" s="378" t="s">
        <v>77</v>
      </c>
      <c r="R8" s="378" t="s">
        <v>11</v>
      </c>
      <c r="S8" s="378" t="s">
        <v>49</v>
      </c>
      <c r="T8" s="283" t="s">
        <v>12</v>
      </c>
      <c r="U8" s="272" t="s">
        <v>89</v>
      </c>
      <c r="V8" s="272" t="s">
        <v>76</v>
      </c>
      <c r="W8" s="272" t="s">
        <v>79</v>
      </c>
      <c r="X8" s="272" t="s">
        <v>87</v>
      </c>
      <c r="Y8" s="291" t="s">
        <v>88</v>
      </c>
      <c r="AA8" s="353" t="str">
        <f>O5</f>
        <v>OSR 500</v>
      </c>
      <c r="AB8" s="413" t="s">
        <v>31</v>
      </c>
      <c r="AC8" s="410" t="s">
        <v>32</v>
      </c>
      <c r="AD8" s="410" t="s">
        <v>33</v>
      </c>
      <c r="AE8" s="291" t="s">
        <v>72</v>
      </c>
      <c r="AF8" s="331" t="s">
        <v>63</v>
      </c>
      <c r="AG8" s="363" t="str">
        <f>AA8</f>
        <v>OSR 500</v>
      </c>
      <c r="AH8" s="290" t="str">
        <f>AB8</f>
        <v>OSR Project 1</v>
      </c>
      <c r="AI8" s="290" t="str">
        <f>AC8</f>
        <v>OSR Project 2</v>
      </c>
      <c r="AJ8" s="290" t="str">
        <f>AD8</f>
        <v>OSR Project 3</v>
      </c>
      <c r="AK8" s="378" t="s">
        <v>49</v>
      </c>
      <c r="AL8" s="336" t="s">
        <v>65</v>
      </c>
      <c r="AM8" s="281"/>
    </row>
    <row r="9" spans="1:40" ht="13.8" thickBot="1" x14ac:dyDescent="0.3">
      <c r="B9" s="396"/>
      <c r="C9" s="276"/>
      <c r="D9" s="279"/>
      <c r="E9" s="295"/>
      <c r="F9" s="277"/>
      <c r="G9" s="277"/>
      <c r="H9" s="277"/>
      <c r="I9" s="277"/>
      <c r="J9" s="277"/>
      <c r="K9" s="278"/>
      <c r="L9" s="277"/>
      <c r="M9" s="277"/>
      <c r="N9" s="277"/>
      <c r="O9" s="277"/>
      <c r="P9" s="277"/>
      <c r="Q9" s="277"/>
      <c r="R9" s="277"/>
      <c r="S9" s="277"/>
      <c r="T9" s="284"/>
      <c r="U9" s="288"/>
      <c r="V9" s="288"/>
      <c r="W9" s="288"/>
      <c r="X9" s="266"/>
      <c r="Y9" s="389"/>
      <c r="AA9" s="354"/>
      <c r="AB9" s="351"/>
      <c r="AC9" s="266"/>
      <c r="AD9" s="266"/>
      <c r="AE9" s="321"/>
      <c r="AF9" s="321"/>
      <c r="AG9" s="364"/>
      <c r="AH9" s="266"/>
      <c r="AI9" s="266"/>
      <c r="AJ9" s="266"/>
      <c r="AK9" s="296"/>
      <c r="AL9" s="350" t="str">
        <f>O5</f>
        <v>OSR 500</v>
      </c>
      <c r="AM9" s="280"/>
      <c r="AN9" s="281"/>
    </row>
    <row r="10" spans="1:40" x14ac:dyDescent="0.25">
      <c r="B10" s="390">
        <v>1</v>
      </c>
      <c r="C10" s="269">
        <f>YEAR(J4)</f>
        <v>2011</v>
      </c>
      <c r="D10" s="273">
        <f>IFERROR(VLOOKUP(C10,'LTBR &amp; RORC'!B$6:C$46,2,FALSE),"")</f>
        <v>3.2899999999999999E-2</v>
      </c>
      <c r="E10" s="401">
        <v>0</v>
      </c>
      <c r="F10" s="401">
        <v>0</v>
      </c>
      <c r="G10" s="402">
        <v>0.04</v>
      </c>
      <c r="H10" s="263">
        <f>$J$6</f>
        <v>0</v>
      </c>
      <c r="I10" s="263">
        <f>H10</f>
        <v>0</v>
      </c>
      <c r="J10" s="263">
        <f>(H10*G10)*J5/365</f>
        <v>0</v>
      </c>
      <c r="K10" s="263">
        <f t="shared" ref="K10:K36" si="0">I10-J10</f>
        <v>0</v>
      </c>
      <c r="L10" s="382">
        <f>IFERROR(((I10+K10)/2)*D10*J5/365,"")</f>
        <v>0</v>
      </c>
      <c r="M10" s="263">
        <f>IFERROR(L10+J10,"")</f>
        <v>0</v>
      </c>
      <c r="N10" s="381" t="str">
        <f t="shared" ref="N10:N36" si="1">IFERROR(IF(F10/E10&gt;0.75,M10/F10,M10/(E10*0.75))," ")</f>
        <v xml:space="preserve"> </v>
      </c>
      <c r="O10" s="405"/>
      <c r="P10" s="374">
        <f t="shared" ref="P10:P36" si="2">IF(V10="Yes",U10,0)</f>
        <v>0</v>
      </c>
      <c r="Q10" s="374">
        <f>IFERROR(O10+P10,"")</f>
        <v>0</v>
      </c>
      <c r="R10" s="374" t="str">
        <f>IFERROR(Q10/F10," ")</f>
        <v xml:space="preserve"> </v>
      </c>
      <c r="S10" s="374">
        <f>IFERROR(M10+Q10,"")</f>
        <v>0</v>
      </c>
      <c r="T10" s="285" t="str">
        <f t="shared" ref="T10:T36" si="3">IFERROR(N10+R10," ")</f>
        <v xml:space="preserve"> </v>
      </c>
      <c r="U10" s="425">
        <v>0</v>
      </c>
      <c r="V10" s="399" t="str">
        <f t="shared" ref="V10:V36" si="4">IF(U10&lt;(H10*0.1),"Yes","No")</f>
        <v>No</v>
      </c>
      <c r="W10" s="243">
        <f>IF(V10="No",U10,0)</f>
        <v>0</v>
      </c>
      <c r="X10" s="425">
        <v>0</v>
      </c>
      <c r="Y10" s="391"/>
      <c r="AA10" s="414"/>
      <c r="AB10" s="411"/>
      <c r="AC10" s="405"/>
      <c r="AD10" s="405"/>
      <c r="AE10" s="356">
        <f t="shared" ref="AE10:AE36" si="5">SUM(AA10:AD10)</f>
        <v>0</v>
      </c>
      <c r="AF10" s="335" t="str">
        <f t="shared" ref="AF10:AF36" si="6">IF(F10=AE10,"Match","Error")</f>
        <v>Match</v>
      </c>
      <c r="AG10" s="365" t="str">
        <f t="shared" ref="AG10:AG36" si="7">IFERROR(AA10*T10," ")</f>
        <v xml:space="preserve"> </v>
      </c>
      <c r="AH10" s="339" t="str">
        <f t="shared" ref="AH10:AH36" si="8">IFERROR(AB10*T10," ")</f>
        <v xml:space="preserve"> </v>
      </c>
      <c r="AI10" s="340" t="str">
        <f t="shared" ref="AI10:AI36" si="9">IFERROR(AC10*T10," ")</f>
        <v xml:space="preserve"> </v>
      </c>
      <c r="AJ10" s="340" t="str">
        <f t="shared" ref="AJ10:AJ36" si="10">IFERROR(AD10*T10," ")</f>
        <v xml:space="preserve"> </v>
      </c>
      <c r="AK10" s="344">
        <f t="shared" ref="AK10:AK36" si="11">SUM(AG10:AJ10)</f>
        <v>0</v>
      </c>
      <c r="AL10" s="352">
        <f t="shared" ref="AL10:AL36" si="12">SUM(AH10:AJ10)</f>
        <v>0</v>
      </c>
      <c r="AM10" s="280"/>
      <c r="AN10" s="281"/>
    </row>
    <row r="11" spans="1:40" x14ac:dyDescent="0.25">
      <c r="B11" s="392">
        <v>2</v>
      </c>
      <c r="C11" s="269">
        <f>C10+1</f>
        <v>2012</v>
      </c>
      <c r="D11" s="273">
        <f>IFERROR(VLOOKUP(C11,'LTBR &amp; RORC'!B$6:C$46,2,FALSE),"")</f>
        <v>2.4300000000000002E-2</v>
      </c>
      <c r="E11" s="401">
        <v>0</v>
      </c>
      <c r="F11" s="401">
        <v>0</v>
      </c>
      <c r="G11" s="402">
        <v>0.04</v>
      </c>
      <c r="H11" s="262">
        <f>H10+W10+X10</f>
        <v>0</v>
      </c>
      <c r="I11" s="262">
        <f>K10+W10+Y10</f>
        <v>0</v>
      </c>
      <c r="J11" s="262">
        <f t="shared" ref="J11:J36" si="13">IF((H11*G11)&gt;I11,I11,(H11*G11))</f>
        <v>0</v>
      </c>
      <c r="K11" s="262">
        <f t="shared" si="0"/>
        <v>0</v>
      </c>
      <c r="L11" s="262">
        <f>IFERROR(((I11+K11)/2)*D11,"")</f>
        <v>0</v>
      </c>
      <c r="M11" s="263">
        <f t="shared" ref="M11:M36" si="14">IFERROR(L11+J11,"")</f>
        <v>0</v>
      </c>
      <c r="N11" s="381" t="str">
        <f t="shared" si="1"/>
        <v xml:space="preserve"> </v>
      </c>
      <c r="O11" s="405"/>
      <c r="P11" s="375">
        <f t="shared" si="2"/>
        <v>0</v>
      </c>
      <c r="Q11" s="375">
        <f t="shared" ref="Q11:Q36" si="15">IFERROR(O11+P11,"")</f>
        <v>0</v>
      </c>
      <c r="R11" s="375" t="str">
        <f t="shared" ref="R11:R36" si="16">IFERROR(Q11/F11," ")</f>
        <v xml:space="preserve"> </v>
      </c>
      <c r="S11" s="375">
        <f t="shared" ref="S11:S36" si="17">IFERROR(M11+Q11,"")</f>
        <v>0</v>
      </c>
      <c r="T11" s="285" t="str">
        <f t="shared" si="3"/>
        <v xml:space="preserve"> </v>
      </c>
      <c r="U11" s="425">
        <v>0</v>
      </c>
      <c r="V11" s="399" t="str">
        <f t="shared" si="4"/>
        <v>No</v>
      </c>
      <c r="W11" s="243">
        <f t="shared" ref="W11:W36" si="18">IF(V11="No",U11,0)</f>
        <v>0</v>
      </c>
      <c r="X11" s="425">
        <v>0</v>
      </c>
      <c r="Y11" s="391"/>
      <c r="AA11" s="414"/>
      <c r="AB11" s="411"/>
      <c r="AC11" s="405"/>
      <c r="AD11" s="405"/>
      <c r="AE11" s="357">
        <f t="shared" si="5"/>
        <v>0</v>
      </c>
      <c r="AF11" s="335" t="str">
        <f t="shared" si="6"/>
        <v>Match</v>
      </c>
      <c r="AG11" s="366" t="str">
        <f t="shared" si="7"/>
        <v xml:space="preserve"> </v>
      </c>
      <c r="AH11" s="294" t="str">
        <f t="shared" si="8"/>
        <v xml:space="preserve"> </v>
      </c>
      <c r="AI11" s="289" t="str">
        <f t="shared" si="9"/>
        <v xml:space="preserve"> </v>
      </c>
      <c r="AJ11" s="289" t="str">
        <f t="shared" si="10"/>
        <v xml:space="preserve"> </v>
      </c>
      <c r="AK11" s="346">
        <f t="shared" si="11"/>
        <v>0</v>
      </c>
      <c r="AL11" s="352">
        <f t="shared" si="12"/>
        <v>0</v>
      </c>
      <c r="AM11" s="280"/>
      <c r="AN11" s="281"/>
    </row>
    <row r="12" spans="1:40" x14ac:dyDescent="0.25">
      <c r="B12" s="392">
        <v>3</v>
      </c>
      <c r="C12" s="269">
        <f t="shared" ref="C12:C36" si="19">C11+1</f>
        <v>2013</v>
      </c>
      <c r="D12" s="273">
        <f>IFERROR(VLOOKUP(C12,'LTBR &amp; RORC'!B$6:C$46,2,FALSE),"")</f>
        <v>2.8400000000000002E-2</v>
      </c>
      <c r="E12" s="401">
        <v>0</v>
      </c>
      <c r="F12" s="401">
        <v>0</v>
      </c>
      <c r="G12" s="402">
        <v>0.04</v>
      </c>
      <c r="H12" s="267">
        <f t="shared" ref="H12:H36" si="20">H11+W11+X11</f>
        <v>0</v>
      </c>
      <c r="I12" s="267">
        <f t="shared" ref="I12:I36" si="21">K11+W11+Y11</f>
        <v>0</v>
      </c>
      <c r="J12" s="267">
        <f t="shared" si="13"/>
        <v>0</v>
      </c>
      <c r="K12" s="267">
        <f t="shared" si="0"/>
        <v>0</v>
      </c>
      <c r="L12" s="262">
        <f t="shared" ref="L12:L36" si="22">IFERROR(((I12+K12)/2)*D12,"")</f>
        <v>0</v>
      </c>
      <c r="M12" s="268">
        <f t="shared" si="14"/>
        <v>0</v>
      </c>
      <c r="N12" s="381" t="str">
        <f t="shared" si="1"/>
        <v xml:space="preserve"> </v>
      </c>
      <c r="O12" s="405"/>
      <c r="P12" s="376">
        <f t="shared" si="2"/>
        <v>0</v>
      </c>
      <c r="Q12" s="376">
        <f t="shared" si="15"/>
        <v>0</v>
      </c>
      <c r="R12" s="376" t="str">
        <f t="shared" si="16"/>
        <v xml:space="preserve"> </v>
      </c>
      <c r="S12" s="376">
        <f t="shared" si="17"/>
        <v>0</v>
      </c>
      <c r="T12" s="285" t="str">
        <f t="shared" si="3"/>
        <v xml:space="preserve"> </v>
      </c>
      <c r="U12" s="425">
        <v>0</v>
      </c>
      <c r="V12" s="399" t="str">
        <f t="shared" si="4"/>
        <v>No</v>
      </c>
      <c r="W12" s="243">
        <f t="shared" si="18"/>
        <v>0</v>
      </c>
      <c r="X12" s="425">
        <v>0</v>
      </c>
      <c r="Y12" s="391"/>
      <c r="AA12" s="414"/>
      <c r="AB12" s="411"/>
      <c r="AC12" s="405"/>
      <c r="AD12" s="405"/>
      <c r="AE12" s="357">
        <f t="shared" si="5"/>
        <v>0</v>
      </c>
      <c r="AF12" s="335" t="str">
        <f t="shared" si="6"/>
        <v>Match</v>
      </c>
      <c r="AG12" s="366" t="str">
        <f t="shared" si="7"/>
        <v xml:space="preserve"> </v>
      </c>
      <c r="AH12" s="294" t="str">
        <f t="shared" si="8"/>
        <v xml:space="preserve"> </v>
      </c>
      <c r="AI12" s="289" t="str">
        <f t="shared" si="9"/>
        <v xml:space="preserve"> </v>
      </c>
      <c r="AJ12" s="289" t="str">
        <f t="shared" si="10"/>
        <v xml:space="preserve"> </v>
      </c>
      <c r="AK12" s="346">
        <f t="shared" si="11"/>
        <v>0</v>
      </c>
      <c r="AL12" s="352">
        <f t="shared" si="12"/>
        <v>0</v>
      </c>
      <c r="AM12" s="280"/>
      <c r="AN12" s="281"/>
    </row>
    <row r="13" spans="1:40" x14ac:dyDescent="0.25">
      <c r="B13" s="392">
        <v>4</v>
      </c>
      <c r="C13" s="269">
        <f t="shared" si="19"/>
        <v>2014</v>
      </c>
      <c r="D13" s="273">
        <f>IFERROR(VLOOKUP(C13,'LTBR &amp; RORC'!B$6:C$46,2,FALSE),"")</f>
        <v>2.7300000000000001E-2</v>
      </c>
      <c r="E13" s="401">
        <v>0</v>
      </c>
      <c r="F13" s="401">
        <v>0</v>
      </c>
      <c r="G13" s="402">
        <v>0.04</v>
      </c>
      <c r="H13" s="262">
        <f t="shared" si="20"/>
        <v>0</v>
      </c>
      <c r="I13" s="262">
        <f t="shared" si="21"/>
        <v>0</v>
      </c>
      <c r="J13" s="262">
        <f t="shared" si="13"/>
        <v>0</v>
      </c>
      <c r="K13" s="262">
        <f t="shared" si="0"/>
        <v>0</v>
      </c>
      <c r="L13" s="262">
        <f t="shared" si="22"/>
        <v>0</v>
      </c>
      <c r="M13" s="263">
        <f t="shared" si="14"/>
        <v>0</v>
      </c>
      <c r="N13" s="381" t="str">
        <f t="shared" si="1"/>
        <v xml:space="preserve"> </v>
      </c>
      <c r="O13" s="405"/>
      <c r="P13" s="375">
        <f t="shared" si="2"/>
        <v>0</v>
      </c>
      <c r="Q13" s="375">
        <f t="shared" si="15"/>
        <v>0</v>
      </c>
      <c r="R13" s="375" t="str">
        <f t="shared" si="16"/>
        <v xml:space="preserve"> </v>
      </c>
      <c r="S13" s="375">
        <f t="shared" si="17"/>
        <v>0</v>
      </c>
      <c r="T13" s="285" t="str">
        <f t="shared" si="3"/>
        <v xml:space="preserve"> </v>
      </c>
      <c r="U13" s="425">
        <v>0</v>
      </c>
      <c r="V13" s="399" t="str">
        <f t="shared" si="4"/>
        <v>No</v>
      </c>
      <c r="W13" s="243">
        <f t="shared" si="18"/>
        <v>0</v>
      </c>
      <c r="X13" s="425">
        <v>0</v>
      </c>
      <c r="Y13" s="391"/>
      <c r="AA13" s="414"/>
      <c r="AB13" s="411"/>
      <c r="AC13" s="405"/>
      <c r="AD13" s="405"/>
      <c r="AE13" s="357">
        <f t="shared" si="5"/>
        <v>0</v>
      </c>
      <c r="AF13" s="335" t="str">
        <f t="shared" si="6"/>
        <v>Match</v>
      </c>
      <c r="AG13" s="366" t="str">
        <f t="shared" si="7"/>
        <v xml:space="preserve"> </v>
      </c>
      <c r="AH13" s="294" t="str">
        <f t="shared" si="8"/>
        <v xml:space="preserve"> </v>
      </c>
      <c r="AI13" s="289" t="str">
        <f t="shared" si="9"/>
        <v xml:space="preserve"> </v>
      </c>
      <c r="AJ13" s="289" t="str">
        <f t="shared" si="10"/>
        <v xml:space="preserve"> </v>
      </c>
      <c r="AK13" s="346">
        <f t="shared" si="11"/>
        <v>0</v>
      </c>
      <c r="AL13" s="352">
        <f t="shared" si="12"/>
        <v>0</v>
      </c>
      <c r="AM13" s="280"/>
      <c r="AN13" s="281"/>
    </row>
    <row r="14" spans="1:40" x14ac:dyDescent="0.25">
      <c r="B14" s="392">
        <v>5</v>
      </c>
      <c r="C14" s="269">
        <f t="shared" si="19"/>
        <v>2015</v>
      </c>
      <c r="D14" s="398">
        <f>IFERROR(VLOOKUP(C14,'LTBR &amp; RORC'!B$6:C$46,2,FALSE),"")</f>
        <v>2.1700000000000001E-2</v>
      </c>
      <c r="E14" s="401">
        <v>0</v>
      </c>
      <c r="F14" s="401">
        <v>0</v>
      </c>
      <c r="G14" s="402">
        <v>0.04</v>
      </c>
      <c r="H14" s="262">
        <f t="shared" si="20"/>
        <v>0</v>
      </c>
      <c r="I14" s="262">
        <f t="shared" si="21"/>
        <v>0</v>
      </c>
      <c r="J14" s="262">
        <f t="shared" si="13"/>
        <v>0</v>
      </c>
      <c r="K14" s="262">
        <f t="shared" si="0"/>
        <v>0</v>
      </c>
      <c r="L14" s="262">
        <f t="shared" si="22"/>
        <v>0</v>
      </c>
      <c r="M14" s="263">
        <f t="shared" si="14"/>
        <v>0</v>
      </c>
      <c r="N14" s="381" t="str">
        <f t="shared" si="1"/>
        <v xml:space="preserve"> </v>
      </c>
      <c r="O14" s="405"/>
      <c r="P14" s="375">
        <f t="shared" si="2"/>
        <v>0</v>
      </c>
      <c r="Q14" s="375">
        <f t="shared" si="15"/>
        <v>0</v>
      </c>
      <c r="R14" s="375" t="str">
        <f t="shared" si="16"/>
        <v xml:space="preserve"> </v>
      </c>
      <c r="S14" s="375">
        <f t="shared" si="17"/>
        <v>0</v>
      </c>
      <c r="T14" s="285" t="str">
        <f t="shared" si="3"/>
        <v xml:space="preserve"> </v>
      </c>
      <c r="U14" s="425">
        <v>0</v>
      </c>
      <c r="V14" s="399" t="str">
        <f t="shared" si="4"/>
        <v>No</v>
      </c>
      <c r="W14" s="243">
        <f t="shared" si="18"/>
        <v>0</v>
      </c>
      <c r="X14" s="425">
        <v>0</v>
      </c>
      <c r="Y14" s="391"/>
      <c r="AA14" s="414"/>
      <c r="AB14" s="411"/>
      <c r="AC14" s="405"/>
      <c r="AD14" s="405"/>
      <c r="AE14" s="357">
        <f t="shared" si="5"/>
        <v>0</v>
      </c>
      <c r="AF14" s="335" t="str">
        <f t="shared" si="6"/>
        <v>Match</v>
      </c>
      <c r="AG14" s="366" t="str">
        <f t="shared" si="7"/>
        <v xml:space="preserve"> </v>
      </c>
      <c r="AH14" s="294" t="str">
        <f t="shared" si="8"/>
        <v xml:space="preserve"> </v>
      </c>
      <c r="AI14" s="289" t="str">
        <f t="shared" si="9"/>
        <v xml:space="preserve"> </v>
      </c>
      <c r="AJ14" s="289" t="str">
        <f t="shared" si="10"/>
        <v xml:space="preserve"> </v>
      </c>
      <c r="AK14" s="346">
        <f t="shared" si="11"/>
        <v>0</v>
      </c>
      <c r="AL14" s="352">
        <f t="shared" si="12"/>
        <v>0</v>
      </c>
      <c r="AM14" s="280"/>
      <c r="AN14" s="281"/>
    </row>
    <row r="15" spans="1:40" x14ac:dyDescent="0.25">
      <c r="B15" s="392">
        <v>6</v>
      </c>
      <c r="C15" s="269">
        <f t="shared" si="19"/>
        <v>2016</v>
      </c>
      <c r="D15" s="398">
        <f>IFERROR(VLOOKUP(C15,'LTBR &amp; RORC'!B$6:C$46,2,FALSE),"")</f>
        <v>1.9199999999999998E-2</v>
      </c>
      <c r="E15" s="401">
        <v>0</v>
      </c>
      <c r="F15" s="401">
        <v>0</v>
      </c>
      <c r="G15" s="402">
        <v>0.04</v>
      </c>
      <c r="H15" s="262">
        <f t="shared" si="20"/>
        <v>0</v>
      </c>
      <c r="I15" s="262">
        <f t="shared" si="21"/>
        <v>0</v>
      </c>
      <c r="J15" s="262">
        <f t="shared" si="13"/>
        <v>0</v>
      </c>
      <c r="K15" s="262">
        <f t="shared" si="0"/>
        <v>0</v>
      </c>
      <c r="L15" s="262">
        <f t="shared" si="22"/>
        <v>0</v>
      </c>
      <c r="M15" s="263">
        <f t="shared" si="14"/>
        <v>0</v>
      </c>
      <c r="N15" s="381" t="str">
        <f t="shared" si="1"/>
        <v xml:space="preserve"> </v>
      </c>
      <c r="O15" s="405"/>
      <c r="P15" s="375">
        <f t="shared" si="2"/>
        <v>0</v>
      </c>
      <c r="Q15" s="375">
        <f t="shared" si="15"/>
        <v>0</v>
      </c>
      <c r="R15" s="375" t="str">
        <f t="shared" si="16"/>
        <v xml:space="preserve"> </v>
      </c>
      <c r="S15" s="375">
        <f t="shared" si="17"/>
        <v>0</v>
      </c>
      <c r="T15" s="285" t="str">
        <f t="shared" si="3"/>
        <v xml:space="preserve"> </v>
      </c>
      <c r="U15" s="425">
        <v>0</v>
      </c>
      <c r="V15" s="399" t="str">
        <f t="shared" si="4"/>
        <v>No</v>
      </c>
      <c r="W15" s="243">
        <f t="shared" si="18"/>
        <v>0</v>
      </c>
      <c r="X15" s="425">
        <v>0</v>
      </c>
      <c r="Y15" s="391"/>
      <c r="AA15" s="414"/>
      <c r="AB15" s="411"/>
      <c r="AC15" s="405"/>
      <c r="AD15" s="405"/>
      <c r="AE15" s="357">
        <f t="shared" si="5"/>
        <v>0</v>
      </c>
      <c r="AF15" s="335" t="str">
        <f t="shared" si="6"/>
        <v>Match</v>
      </c>
      <c r="AG15" s="366" t="str">
        <f t="shared" si="7"/>
        <v xml:space="preserve"> </v>
      </c>
      <c r="AH15" s="294" t="str">
        <f t="shared" si="8"/>
        <v xml:space="preserve"> </v>
      </c>
      <c r="AI15" s="289" t="str">
        <f t="shared" si="9"/>
        <v xml:space="preserve"> </v>
      </c>
      <c r="AJ15" s="289" t="str">
        <f t="shared" si="10"/>
        <v xml:space="preserve"> </v>
      </c>
      <c r="AK15" s="346">
        <f t="shared" si="11"/>
        <v>0</v>
      </c>
      <c r="AL15" s="352">
        <f t="shared" si="12"/>
        <v>0</v>
      </c>
      <c r="AM15" s="280"/>
      <c r="AN15" s="281"/>
    </row>
    <row r="16" spans="1:40" x14ac:dyDescent="0.25">
      <c r="B16" s="392">
        <v>7</v>
      </c>
      <c r="C16" s="269">
        <f t="shared" si="19"/>
        <v>2017</v>
      </c>
      <c r="D16" s="398">
        <f>IFERROR(VLOOKUP(C16,'LTBR &amp; RORC'!B$6:C$46,2,FALSE),"")</f>
        <v>2.2800000000000001E-2</v>
      </c>
      <c r="E16" s="401">
        <v>0</v>
      </c>
      <c r="F16" s="401">
        <v>0</v>
      </c>
      <c r="G16" s="402">
        <v>0.04</v>
      </c>
      <c r="H16" s="262">
        <f t="shared" si="20"/>
        <v>0</v>
      </c>
      <c r="I16" s="262">
        <f t="shared" si="21"/>
        <v>0</v>
      </c>
      <c r="J16" s="262">
        <f t="shared" si="13"/>
        <v>0</v>
      </c>
      <c r="K16" s="262">
        <f t="shared" si="0"/>
        <v>0</v>
      </c>
      <c r="L16" s="262">
        <f t="shared" si="22"/>
        <v>0</v>
      </c>
      <c r="M16" s="263">
        <f t="shared" si="14"/>
        <v>0</v>
      </c>
      <c r="N16" s="381" t="str">
        <f t="shared" si="1"/>
        <v xml:space="preserve"> </v>
      </c>
      <c r="O16" s="405"/>
      <c r="P16" s="375">
        <f t="shared" si="2"/>
        <v>0</v>
      </c>
      <c r="Q16" s="375">
        <f t="shared" si="15"/>
        <v>0</v>
      </c>
      <c r="R16" s="375" t="str">
        <f t="shared" si="16"/>
        <v xml:space="preserve"> </v>
      </c>
      <c r="S16" s="375">
        <f t="shared" si="17"/>
        <v>0</v>
      </c>
      <c r="T16" s="285" t="str">
        <f t="shared" si="3"/>
        <v xml:space="preserve"> </v>
      </c>
      <c r="U16" s="425">
        <v>0</v>
      </c>
      <c r="V16" s="400" t="str">
        <f t="shared" si="4"/>
        <v>No</v>
      </c>
      <c r="W16" s="244">
        <f t="shared" si="18"/>
        <v>0</v>
      </c>
      <c r="X16" s="407">
        <v>0</v>
      </c>
      <c r="Y16" s="391"/>
      <c r="AA16" s="414"/>
      <c r="AB16" s="411"/>
      <c r="AC16" s="405"/>
      <c r="AD16" s="405"/>
      <c r="AE16" s="357">
        <f t="shared" si="5"/>
        <v>0</v>
      </c>
      <c r="AF16" s="335" t="str">
        <f t="shared" si="6"/>
        <v>Match</v>
      </c>
      <c r="AG16" s="366" t="str">
        <f t="shared" si="7"/>
        <v xml:space="preserve"> </v>
      </c>
      <c r="AH16" s="294" t="str">
        <f t="shared" si="8"/>
        <v xml:space="preserve"> </v>
      </c>
      <c r="AI16" s="289" t="str">
        <f t="shared" si="9"/>
        <v xml:space="preserve"> </v>
      </c>
      <c r="AJ16" s="289" t="str">
        <f t="shared" si="10"/>
        <v xml:space="preserve"> </v>
      </c>
      <c r="AK16" s="346">
        <f t="shared" si="11"/>
        <v>0</v>
      </c>
      <c r="AL16" s="352">
        <f t="shared" si="12"/>
        <v>0</v>
      </c>
      <c r="AM16" s="280"/>
      <c r="AN16" s="281"/>
    </row>
    <row r="17" spans="2:40" x14ac:dyDescent="0.25">
      <c r="B17" s="392">
        <v>8</v>
      </c>
      <c r="C17" s="269">
        <f t="shared" si="19"/>
        <v>2018</v>
      </c>
      <c r="D17" s="398">
        <f>IFERROR(VLOOKUP(C17,'LTBR &amp; RORC'!B$6:C$46,2,FALSE),"")</f>
        <v>2.3300000000000001E-2</v>
      </c>
      <c r="E17" s="401">
        <v>0</v>
      </c>
      <c r="F17" s="401">
        <v>0</v>
      </c>
      <c r="G17" s="402">
        <v>0.04</v>
      </c>
      <c r="H17" s="262">
        <f t="shared" si="20"/>
        <v>0</v>
      </c>
      <c r="I17" s="262">
        <f t="shared" si="21"/>
        <v>0</v>
      </c>
      <c r="J17" s="262">
        <f t="shared" si="13"/>
        <v>0</v>
      </c>
      <c r="K17" s="262">
        <f t="shared" si="0"/>
        <v>0</v>
      </c>
      <c r="L17" s="262">
        <f t="shared" si="22"/>
        <v>0</v>
      </c>
      <c r="M17" s="263">
        <f t="shared" si="14"/>
        <v>0</v>
      </c>
      <c r="N17" s="381" t="str">
        <f t="shared" si="1"/>
        <v xml:space="preserve"> </v>
      </c>
      <c r="O17" s="405"/>
      <c r="P17" s="375">
        <f t="shared" si="2"/>
        <v>0</v>
      </c>
      <c r="Q17" s="375">
        <f t="shared" si="15"/>
        <v>0</v>
      </c>
      <c r="R17" s="375" t="str">
        <f t="shared" si="16"/>
        <v xml:space="preserve"> </v>
      </c>
      <c r="S17" s="375">
        <f t="shared" si="17"/>
        <v>0</v>
      </c>
      <c r="T17" s="285" t="str">
        <f t="shared" si="3"/>
        <v xml:space="preserve"> </v>
      </c>
      <c r="U17" s="407">
        <v>0</v>
      </c>
      <c r="V17" s="400" t="str">
        <f t="shared" si="4"/>
        <v>No</v>
      </c>
      <c r="W17" s="244">
        <f t="shared" si="18"/>
        <v>0</v>
      </c>
      <c r="X17" s="407">
        <v>0</v>
      </c>
      <c r="Y17" s="391"/>
      <c r="AA17" s="414"/>
      <c r="AB17" s="411"/>
      <c r="AC17" s="405"/>
      <c r="AD17" s="405"/>
      <c r="AE17" s="357">
        <f t="shared" si="5"/>
        <v>0</v>
      </c>
      <c r="AF17" s="335" t="str">
        <f t="shared" si="6"/>
        <v>Match</v>
      </c>
      <c r="AG17" s="366" t="str">
        <f t="shared" si="7"/>
        <v xml:space="preserve"> </v>
      </c>
      <c r="AH17" s="294" t="str">
        <f t="shared" si="8"/>
        <v xml:space="preserve"> </v>
      </c>
      <c r="AI17" s="289" t="str">
        <f t="shared" si="9"/>
        <v xml:space="preserve"> </v>
      </c>
      <c r="AJ17" s="289" t="str">
        <f t="shared" si="10"/>
        <v xml:space="preserve"> </v>
      </c>
      <c r="AK17" s="346">
        <f t="shared" si="11"/>
        <v>0</v>
      </c>
      <c r="AL17" s="352">
        <f t="shared" si="12"/>
        <v>0</v>
      </c>
      <c r="AM17" s="280"/>
      <c r="AN17" s="281"/>
    </row>
    <row r="18" spans="2:40" x14ac:dyDescent="0.25">
      <c r="B18" s="392">
        <v>9</v>
      </c>
      <c r="C18" s="269">
        <f t="shared" si="19"/>
        <v>2019</v>
      </c>
      <c r="D18" s="398">
        <f>IFERROR(VLOOKUP(C18,'LTBR &amp; RORC'!B$6:C$46,2,FALSE),"")</f>
        <v>1.77E-2</v>
      </c>
      <c r="E18" s="401">
        <v>0</v>
      </c>
      <c r="F18" s="401">
        <v>0</v>
      </c>
      <c r="G18" s="402">
        <v>0.04</v>
      </c>
      <c r="H18" s="262">
        <f t="shared" si="20"/>
        <v>0</v>
      </c>
      <c r="I18" s="262">
        <f t="shared" si="21"/>
        <v>0</v>
      </c>
      <c r="J18" s="262">
        <f t="shared" si="13"/>
        <v>0</v>
      </c>
      <c r="K18" s="262">
        <f t="shared" si="0"/>
        <v>0</v>
      </c>
      <c r="L18" s="262">
        <f t="shared" si="22"/>
        <v>0</v>
      </c>
      <c r="M18" s="263">
        <f t="shared" si="14"/>
        <v>0</v>
      </c>
      <c r="N18" s="381" t="str">
        <f t="shared" si="1"/>
        <v xml:space="preserve"> </v>
      </c>
      <c r="O18" s="405"/>
      <c r="P18" s="375">
        <f t="shared" si="2"/>
        <v>0</v>
      </c>
      <c r="Q18" s="375">
        <f t="shared" si="15"/>
        <v>0</v>
      </c>
      <c r="R18" s="375" t="str">
        <f t="shared" si="16"/>
        <v xml:space="preserve"> </v>
      </c>
      <c r="S18" s="375">
        <f t="shared" si="17"/>
        <v>0</v>
      </c>
      <c r="T18" s="285" t="str">
        <f t="shared" si="3"/>
        <v xml:space="preserve"> </v>
      </c>
      <c r="U18" s="407">
        <v>0</v>
      </c>
      <c r="V18" s="400" t="str">
        <f t="shared" si="4"/>
        <v>No</v>
      </c>
      <c r="W18" s="244">
        <f t="shared" si="18"/>
        <v>0</v>
      </c>
      <c r="X18" s="407">
        <v>0</v>
      </c>
      <c r="Y18" s="391"/>
      <c r="AA18" s="414"/>
      <c r="AB18" s="411"/>
      <c r="AC18" s="405"/>
      <c r="AD18" s="405"/>
      <c r="AE18" s="357">
        <f t="shared" si="5"/>
        <v>0</v>
      </c>
      <c r="AF18" s="335" t="str">
        <f t="shared" si="6"/>
        <v>Match</v>
      </c>
      <c r="AG18" s="366" t="str">
        <f t="shared" si="7"/>
        <v xml:space="preserve"> </v>
      </c>
      <c r="AH18" s="294" t="str">
        <f t="shared" si="8"/>
        <v xml:space="preserve"> </v>
      </c>
      <c r="AI18" s="289" t="str">
        <f t="shared" si="9"/>
        <v xml:space="preserve"> </v>
      </c>
      <c r="AJ18" s="289" t="str">
        <f t="shared" si="10"/>
        <v xml:space="preserve"> </v>
      </c>
      <c r="AK18" s="346">
        <f t="shared" si="11"/>
        <v>0</v>
      </c>
      <c r="AL18" s="352">
        <f t="shared" si="12"/>
        <v>0</v>
      </c>
      <c r="AM18" s="280"/>
      <c r="AN18" s="281"/>
    </row>
    <row r="19" spans="2:40" x14ac:dyDescent="0.25">
      <c r="B19" s="392">
        <v>10</v>
      </c>
      <c r="C19" s="269">
        <f t="shared" si="19"/>
        <v>2020</v>
      </c>
      <c r="D19" s="398">
        <f>IFERROR(VLOOKUP(C19,'LTBR &amp; RORC'!B$6:C$46,2,FALSE),"")</f>
        <v>1.1900000000000001E-2</v>
      </c>
      <c r="E19" s="401">
        <v>0</v>
      </c>
      <c r="F19" s="401">
        <v>0</v>
      </c>
      <c r="G19" s="402">
        <v>0.04</v>
      </c>
      <c r="H19" s="262">
        <f t="shared" si="20"/>
        <v>0</v>
      </c>
      <c r="I19" s="262">
        <f t="shared" si="21"/>
        <v>0</v>
      </c>
      <c r="J19" s="262">
        <f t="shared" si="13"/>
        <v>0</v>
      </c>
      <c r="K19" s="262">
        <f t="shared" si="0"/>
        <v>0</v>
      </c>
      <c r="L19" s="262">
        <f t="shared" si="22"/>
        <v>0</v>
      </c>
      <c r="M19" s="263">
        <f t="shared" si="14"/>
        <v>0</v>
      </c>
      <c r="N19" s="381" t="str">
        <f t="shared" si="1"/>
        <v xml:space="preserve"> </v>
      </c>
      <c r="O19" s="405"/>
      <c r="P19" s="375">
        <f t="shared" si="2"/>
        <v>0</v>
      </c>
      <c r="Q19" s="375">
        <f t="shared" si="15"/>
        <v>0</v>
      </c>
      <c r="R19" s="375" t="str">
        <f t="shared" si="16"/>
        <v xml:space="preserve"> </v>
      </c>
      <c r="S19" s="375">
        <f t="shared" si="17"/>
        <v>0</v>
      </c>
      <c r="T19" s="285" t="str">
        <f t="shared" si="3"/>
        <v xml:space="preserve"> </v>
      </c>
      <c r="U19" s="407">
        <v>0</v>
      </c>
      <c r="V19" s="400" t="str">
        <f t="shared" si="4"/>
        <v>No</v>
      </c>
      <c r="W19" s="244">
        <f t="shared" si="18"/>
        <v>0</v>
      </c>
      <c r="X19" s="407">
        <v>0</v>
      </c>
      <c r="Y19" s="391"/>
      <c r="AA19" s="414"/>
      <c r="AB19" s="411"/>
      <c r="AC19" s="405"/>
      <c r="AD19" s="405"/>
      <c r="AE19" s="357">
        <f t="shared" si="5"/>
        <v>0</v>
      </c>
      <c r="AF19" s="335" t="str">
        <f t="shared" si="6"/>
        <v>Match</v>
      </c>
      <c r="AG19" s="366" t="str">
        <f t="shared" si="7"/>
        <v xml:space="preserve"> </v>
      </c>
      <c r="AH19" s="294" t="str">
        <f t="shared" si="8"/>
        <v xml:space="preserve"> </v>
      </c>
      <c r="AI19" s="289" t="str">
        <f t="shared" si="9"/>
        <v xml:space="preserve"> </v>
      </c>
      <c r="AJ19" s="289" t="str">
        <f t="shared" si="10"/>
        <v xml:space="preserve"> </v>
      </c>
      <c r="AK19" s="346">
        <f t="shared" si="11"/>
        <v>0</v>
      </c>
      <c r="AL19" s="352">
        <f t="shared" si="12"/>
        <v>0</v>
      </c>
      <c r="AM19" s="280"/>
      <c r="AN19" s="281"/>
    </row>
    <row r="20" spans="2:40" x14ac:dyDescent="0.25">
      <c r="B20" s="392">
        <v>11</v>
      </c>
      <c r="C20" s="269">
        <f t="shared" si="19"/>
        <v>2021</v>
      </c>
      <c r="D20" s="398">
        <f>IFERROR(VLOOKUP(C20,'LTBR &amp; RORC'!B$6:C$46,2,FALSE),"")</f>
        <v>1.8800000000000001E-2</v>
      </c>
      <c r="E20" s="401">
        <v>0</v>
      </c>
      <c r="F20" s="401">
        <v>0</v>
      </c>
      <c r="G20" s="402">
        <v>0.04</v>
      </c>
      <c r="H20" s="262">
        <f t="shared" si="20"/>
        <v>0</v>
      </c>
      <c r="I20" s="262">
        <f t="shared" si="21"/>
        <v>0</v>
      </c>
      <c r="J20" s="262">
        <f t="shared" si="13"/>
        <v>0</v>
      </c>
      <c r="K20" s="262">
        <f t="shared" si="0"/>
        <v>0</v>
      </c>
      <c r="L20" s="262">
        <f t="shared" si="22"/>
        <v>0</v>
      </c>
      <c r="M20" s="263">
        <f t="shared" si="14"/>
        <v>0</v>
      </c>
      <c r="N20" s="381" t="str">
        <f t="shared" si="1"/>
        <v xml:space="preserve"> </v>
      </c>
      <c r="O20" s="405"/>
      <c r="P20" s="375">
        <f t="shared" si="2"/>
        <v>0</v>
      </c>
      <c r="Q20" s="375">
        <f t="shared" si="15"/>
        <v>0</v>
      </c>
      <c r="R20" s="375" t="str">
        <f t="shared" si="16"/>
        <v xml:space="preserve"> </v>
      </c>
      <c r="S20" s="375">
        <f t="shared" si="17"/>
        <v>0</v>
      </c>
      <c r="T20" s="285" t="str">
        <f t="shared" si="3"/>
        <v xml:space="preserve"> </v>
      </c>
      <c r="U20" s="407">
        <v>0</v>
      </c>
      <c r="V20" s="400" t="str">
        <f t="shared" si="4"/>
        <v>No</v>
      </c>
      <c r="W20" s="244">
        <f t="shared" si="18"/>
        <v>0</v>
      </c>
      <c r="X20" s="407">
        <v>0</v>
      </c>
      <c r="Y20" s="391"/>
      <c r="AA20" s="414"/>
      <c r="AB20" s="411"/>
      <c r="AC20" s="405"/>
      <c r="AD20" s="405"/>
      <c r="AE20" s="357">
        <f t="shared" si="5"/>
        <v>0</v>
      </c>
      <c r="AF20" s="335" t="str">
        <f t="shared" si="6"/>
        <v>Match</v>
      </c>
      <c r="AG20" s="366" t="str">
        <f t="shared" si="7"/>
        <v xml:space="preserve"> </v>
      </c>
      <c r="AH20" s="294" t="str">
        <f t="shared" si="8"/>
        <v xml:space="preserve"> </v>
      </c>
      <c r="AI20" s="289" t="str">
        <f t="shared" si="9"/>
        <v xml:space="preserve"> </v>
      </c>
      <c r="AJ20" s="289" t="str">
        <f t="shared" si="10"/>
        <v xml:space="preserve"> </v>
      </c>
      <c r="AK20" s="346">
        <f t="shared" si="11"/>
        <v>0</v>
      </c>
      <c r="AL20" s="352">
        <f t="shared" si="12"/>
        <v>0</v>
      </c>
      <c r="AM20" s="280"/>
      <c r="AN20" s="281"/>
    </row>
    <row r="21" spans="2:40" x14ac:dyDescent="0.25">
      <c r="B21" s="392">
        <v>12</v>
      </c>
      <c r="C21" s="269">
        <f t="shared" si="19"/>
        <v>2022</v>
      </c>
      <c r="D21" s="398">
        <f>IFERROR(VLOOKUP(C21,'LTBR &amp; RORC'!B$6:C$46,2,FALSE),"")</f>
        <v>0</v>
      </c>
      <c r="E21" s="401">
        <v>0</v>
      </c>
      <c r="F21" s="401">
        <v>0</v>
      </c>
      <c r="G21" s="402">
        <v>0.04</v>
      </c>
      <c r="H21" s="262">
        <f t="shared" si="20"/>
        <v>0</v>
      </c>
      <c r="I21" s="262">
        <f t="shared" si="21"/>
        <v>0</v>
      </c>
      <c r="J21" s="262">
        <f t="shared" si="13"/>
        <v>0</v>
      </c>
      <c r="K21" s="262">
        <f t="shared" si="0"/>
        <v>0</v>
      </c>
      <c r="L21" s="262">
        <f t="shared" si="22"/>
        <v>0</v>
      </c>
      <c r="M21" s="263">
        <f t="shared" si="14"/>
        <v>0</v>
      </c>
      <c r="N21" s="381" t="str">
        <f t="shared" si="1"/>
        <v xml:space="preserve"> </v>
      </c>
      <c r="O21" s="405"/>
      <c r="P21" s="375">
        <f t="shared" si="2"/>
        <v>0</v>
      </c>
      <c r="Q21" s="375">
        <f t="shared" si="15"/>
        <v>0</v>
      </c>
      <c r="R21" s="375" t="str">
        <f t="shared" si="16"/>
        <v xml:space="preserve"> </v>
      </c>
      <c r="S21" s="375">
        <f t="shared" si="17"/>
        <v>0</v>
      </c>
      <c r="T21" s="285" t="str">
        <f t="shared" si="3"/>
        <v xml:space="preserve"> </v>
      </c>
      <c r="U21" s="407">
        <v>0</v>
      </c>
      <c r="V21" s="400" t="str">
        <f t="shared" si="4"/>
        <v>No</v>
      </c>
      <c r="W21" s="244">
        <f t="shared" si="18"/>
        <v>0</v>
      </c>
      <c r="X21" s="407">
        <v>0</v>
      </c>
      <c r="Y21" s="391"/>
      <c r="AA21" s="414"/>
      <c r="AB21" s="411"/>
      <c r="AC21" s="405"/>
      <c r="AD21" s="405"/>
      <c r="AE21" s="357">
        <f t="shared" si="5"/>
        <v>0</v>
      </c>
      <c r="AF21" s="335" t="str">
        <f t="shared" si="6"/>
        <v>Match</v>
      </c>
      <c r="AG21" s="366" t="str">
        <f t="shared" si="7"/>
        <v xml:space="preserve"> </v>
      </c>
      <c r="AH21" s="294" t="str">
        <f t="shared" si="8"/>
        <v xml:space="preserve"> </v>
      </c>
      <c r="AI21" s="289" t="str">
        <f t="shared" si="9"/>
        <v xml:space="preserve"> </v>
      </c>
      <c r="AJ21" s="289" t="str">
        <f t="shared" si="10"/>
        <v xml:space="preserve"> </v>
      </c>
      <c r="AK21" s="346">
        <f t="shared" si="11"/>
        <v>0</v>
      </c>
      <c r="AL21" s="352">
        <f t="shared" si="12"/>
        <v>0</v>
      </c>
      <c r="AM21" s="280"/>
      <c r="AN21" s="281"/>
    </row>
    <row r="22" spans="2:40" x14ac:dyDescent="0.25">
      <c r="B22" s="392">
        <v>13</v>
      </c>
      <c r="C22" s="269">
        <f t="shared" si="19"/>
        <v>2023</v>
      </c>
      <c r="D22" s="398">
        <f>IFERROR(VLOOKUP(C22,'LTBR &amp; RORC'!B$6:C$46,2,FALSE),"")</f>
        <v>0</v>
      </c>
      <c r="E22" s="401">
        <v>0</v>
      </c>
      <c r="F22" s="401">
        <v>0</v>
      </c>
      <c r="G22" s="402">
        <v>0.04</v>
      </c>
      <c r="H22" s="262">
        <f t="shared" si="20"/>
        <v>0</v>
      </c>
      <c r="I22" s="262">
        <f t="shared" si="21"/>
        <v>0</v>
      </c>
      <c r="J22" s="262">
        <f t="shared" si="13"/>
        <v>0</v>
      </c>
      <c r="K22" s="262">
        <f t="shared" si="0"/>
        <v>0</v>
      </c>
      <c r="L22" s="262">
        <f t="shared" si="22"/>
        <v>0</v>
      </c>
      <c r="M22" s="263">
        <f t="shared" si="14"/>
        <v>0</v>
      </c>
      <c r="N22" s="381" t="str">
        <f t="shared" si="1"/>
        <v xml:space="preserve"> </v>
      </c>
      <c r="O22" s="405"/>
      <c r="P22" s="375">
        <f t="shared" si="2"/>
        <v>0</v>
      </c>
      <c r="Q22" s="375">
        <f t="shared" si="15"/>
        <v>0</v>
      </c>
      <c r="R22" s="375" t="str">
        <f t="shared" si="16"/>
        <v xml:space="preserve"> </v>
      </c>
      <c r="S22" s="375">
        <f t="shared" si="17"/>
        <v>0</v>
      </c>
      <c r="T22" s="285" t="str">
        <f t="shared" si="3"/>
        <v xml:space="preserve"> </v>
      </c>
      <c r="U22" s="407">
        <v>0</v>
      </c>
      <c r="V22" s="400" t="str">
        <f t="shared" si="4"/>
        <v>No</v>
      </c>
      <c r="W22" s="244">
        <f t="shared" si="18"/>
        <v>0</v>
      </c>
      <c r="X22" s="407">
        <v>0</v>
      </c>
      <c r="Y22" s="391"/>
      <c r="AA22" s="414"/>
      <c r="AB22" s="411"/>
      <c r="AC22" s="405"/>
      <c r="AD22" s="405"/>
      <c r="AE22" s="357">
        <f t="shared" si="5"/>
        <v>0</v>
      </c>
      <c r="AF22" s="335" t="str">
        <f t="shared" si="6"/>
        <v>Match</v>
      </c>
      <c r="AG22" s="366" t="str">
        <f t="shared" si="7"/>
        <v xml:space="preserve"> </v>
      </c>
      <c r="AH22" s="294" t="str">
        <f t="shared" si="8"/>
        <v xml:space="preserve"> </v>
      </c>
      <c r="AI22" s="289" t="str">
        <f t="shared" si="9"/>
        <v xml:space="preserve"> </v>
      </c>
      <c r="AJ22" s="289" t="str">
        <f t="shared" si="10"/>
        <v xml:space="preserve"> </v>
      </c>
      <c r="AK22" s="346">
        <f t="shared" si="11"/>
        <v>0</v>
      </c>
      <c r="AL22" s="352">
        <f t="shared" si="12"/>
        <v>0</v>
      </c>
      <c r="AM22" s="280"/>
      <c r="AN22" s="281"/>
    </row>
    <row r="23" spans="2:40" x14ac:dyDescent="0.25">
      <c r="B23" s="392">
        <v>14</v>
      </c>
      <c r="C23" s="269">
        <f t="shared" si="19"/>
        <v>2024</v>
      </c>
      <c r="D23" s="398">
        <f>IFERROR(VLOOKUP(C23,'LTBR &amp; RORC'!B$6:C$46,2,FALSE),"")</f>
        <v>0</v>
      </c>
      <c r="E23" s="401">
        <v>0</v>
      </c>
      <c r="F23" s="401">
        <v>0</v>
      </c>
      <c r="G23" s="402">
        <v>0.04</v>
      </c>
      <c r="H23" s="262">
        <f t="shared" si="20"/>
        <v>0</v>
      </c>
      <c r="I23" s="262">
        <f t="shared" si="21"/>
        <v>0</v>
      </c>
      <c r="J23" s="262">
        <f t="shared" si="13"/>
        <v>0</v>
      </c>
      <c r="K23" s="262">
        <f t="shared" si="0"/>
        <v>0</v>
      </c>
      <c r="L23" s="262">
        <f t="shared" si="22"/>
        <v>0</v>
      </c>
      <c r="M23" s="263">
        <f t="shared" si="14"/>
        <v>0</v>
      </c>
      <c r="N23" s="381" t="str">
        <f t="shared" si="1"/>
        <v xml:space="preserve"> </v>
      </c>
      <c r="O23" s="405"/>
      <c r="P23" s="375">
        <f t="shared" si="2"/>
        <v>0</v>
      </c>
      <c r="Q23" s="375">
        <f t="shared" si="15"/>
        <v>0</v>
      </c>
      <c r="R23" s="375" t="str">
        <f t="shared" si="16"/>
        <v xml:space="preserve"> </v>
      </c>
      <c r="S23" s="375">
        <f t="shared" si="17"/>
        <v>0</v>
      </c>
      <c r="T23" s="285" t="str">
        <f t="shared" si="3"/>
        <v xml:space="preserve"> </v>
      </c>
      <c r="U23" s="407">
        <v>0</v>
      </c>
      <c r="V23" s="400" t="str">
        <f t="shared" si="4"/>
        <v>No</v>
      </c>
      <c r="W23" s="244">
        <f t="shared" si="18"/>
        <v>0</v>
      </c>
      <c r="X23" s="407">
        <v>0</v>
      </c>
      <c r="Y23" s="391"/>
      <c r="AA23" s="414"/>
      <c r="AB23" s="411"/>
      <c r="AC23" s="405"/>
      <c r="AD23" s="405"/>
      <c r="AE23" s="357">
        <f t="shared" si="5"/>
        <v>0</v>
      </c>
      <c r="AF23" s="335" t="str">
        <f t="shared" si="6"/>
        <v>Match</v>
      </c>
      <c r="AG23" s="366" t="str">
        <f t="shared" si="7"/>
        <v xml:space="preserve"> </v>
      </c>
      <c r="AH23" s="294" t="str">
        <f t="shared" si="8"/>
        <v xml:space="preserve"> </v>
      </c>
      <c r="AI23" s="289" t="str">
        <f t="shared" si="9"/>
        <v xml:space="preserve"> </v>
      </c>
      <c r="AJ23" s="289" t="str">
        <f t="shared" si="10"/>
        <v xml:space="preserve"> </v>
      </c>
      <c r="AK23" s="346">
        <f t="shared" si="11"/>
        <v>0</v>
      </c>
      <c r="AL23" s="352">
        <f t="shared" si="12"/>
        <v>0</v>
      </c>
      <c r="AM23" s="280"/>
      <c r="AN23" s="281"/>
    </row>
    <row r="24" spans="2:40" x14ac:dyDescent="0.25">
      <c r="B24" s="392">
        <v>15</v>
      </c>
      <c r="C24" s="269">
        <f t="shared" si="19"/>
        <v>2025</v>
      </c>
      <c r="D24" s="398">
        <f>IFERROR(VLOOKUP(C24,'LTBR &amp; RORC'!B$6:C$46,2,FALSE),"")</f>
        <v>0</v>
      </c>
      <c r="E24" s="401">
        <v>0</v>
      </c>
      <c r="F24" s="401">
        <v>0</v>
      </c>
      <c r="G24" s="402">
        <v>0.04</v>
      </c>
      <c r="H24" s="262">
        <f t="shared" si="20"/>
        <v>0</v>
      </c>
      <c r="I24" s="262">
        <f t="shared" si="21"/>
        <v>0</v>
      </c>
      <c r="J24" s="262">
        <f t="shared" si="13"/>
        <v>0</v>
      </c>
      <c r="K24" s="262">
        <f t="shared" si="0"/>
        <v>0</v>
      </c>
      <c r="L24" s="262">
        <f t="shared" si="22"/>
        <v>0</v>
      </c>
      <c r="M24" s="263">
        <f t="shared" si="14"/>
        <v>0</v>
      </c>
      <c r="N24" s="381" t="str">
        <f t="shared" si="1"/>
        <v xml:space="preserve"> </v>
      </c>
      <c r="O24" s="405"/>
      <c r="P24" s="375">
        <f t="shared" si="2"/>
        <v>0</v>
      </c>
      <c r="Q24" s="375">
        <f t="shared" si="15"/>
        <v>0</v>
      </c>
      <c r="R24" s="375" t="str">
        <f t="shared" si="16"/>
        <v xml:space="preserve"> </v>
      </c>
      <c r="S24" s="375">
        <f t="shared" si="17"/>
        <v>0</v>
      </c>
      <c r="T24" s="285" t="str">
        <f t="shared" si="3"/>
        <v xml:space="preserve"> </v>
      </c>
      <c r="U24" s="407">
        <v>0</v>
      </c>
      <c r="V24" s="400" t="str">
        <f t="shared" si="4"/>
        <v>No</v>
      </c>
      <c r="W24" s="244">
        <f t="shared" si="18"/>
        <v>0</v>
      </c>
      <c r="X24" s="407">
        <v>0</v>
      </c>
      <c r="Y24" s="391"/>
      <c r="AA24" s="414"/>
      <c r="AB24" s="411"/>
      <c r="AC24" s="405"/>
      <c r="AD24" s="405"/>
      <c r="AE24" s="357">
        <f t="shared" si="5"/>
        <v>0</v>
      </c>
      <c r="AF24" s="335" t="str">
        <f t="shared" si="6"/>
        <v>Match</v>
      </c>
      <c r="AG24" s="366" t="str">
        <f t="shared" si="7"/>
        <v xml:space="preserve"> </v>
      </c>
      <c r="AH24" s="294" t="str">
        <f t="shared" si="8"/>
        <v xml:space="preserve"> </v>
      </c>
      <c r="AI24" s="289" t="str">
        <f t="shared" si="9"/>
        <v xml:space="preserve"> </v>
      </c>
      <c r="AJ24" s="289" t="str">
        <f t="shared" si="10"/>
        <v xml:space="preserve"> </v>
      </c>
      <c r="AK24" s="346">
        <f t="shared" si="11"/>
        <v>0</v>
      </c>
      <c r="AL24" s="352">
        <f t="shared" si="12"/>
        <v>0</v>
      </c>
      <c r="AM24" s="280"/>
      <c r="AN24" s="281"/>
    </row>
    <row r="25" spans="2:40" x14ac:dyDescent="0.25">
      <c r="B25" s="392">
        <v>16</v>
      </c>
      <c r="C25" s="269">
        <f t="shared" si="19"/>
        <v>2026</v>
      </c>
      <c r="D25" s="398">
        <f>IFERROR(VLOOKUP(C25,'LTBR &amp; RORC'!B$6:C$46,2,FALSE),"")</f>
        <v>0</v>
      </c>
      <c r="E25" s="401">
        <v>0</v>
      </c>
      <c r="F25" s="401">
        <v>0</v>
      </c>
      <c r="G25" s="402">
        <v>0.04</v>
      </c>
      <c r="H25" s="262">
        <f t="shared" si="20"/>
        <v>0</v>
      </c>
      <c r="I25" s="262">
        <f t="shared" si="21"/>
        <v>0</v>
      </c>
      <c r="J25" s="262">
        <f t="shared" si="13"/>
        <v>0</v>
      </c>
      <c r="K25" s="262">
        <f t="shared" si="0"/>
        <v>0</v>
      </c>
      <c r="L25" s="262">
        <f t="shared" si="22"/>
        <v>0</v>
      </c>
      <c r="M25" s="263">
        <f t="shared" si="14"/>
        <v>0</v>
      </c>
      <c r="N25" s="381" t="str">
        <f t="shared" si="1"/>
        <v xml:space="preserve"> </v>
      </c>
      <c r="O25" s="405"/>
      <c r="P25" s="375">
        <f t="shared" si="2"/>
        <v>0</v>
      </c>
      <c r="Q25" s="375">
        <f t="shared" si="15"/>
        <v>0</v>
      </c>
      <c r="R25" s="375" t="str">
        <f t="shared" si="16"/>
        <v xml:space="preserve"> </v>
      </c>
      <c r="S25" s="375">
        <f t="shared" si="17"/>
        <v>0</v>
      </c>
      <c r="T25" s="285" t="str">
        <f t="shared" si="3"/>
        <v xml:space="preserve"> </v>
      </c>
      <c r="U25" s="407">
        <v>0</v>
      </c>
      <c r="V25" s="400" t="str">
        <f t="shared" si="4"/>
        <v>No</v>
      </c>
      <c r="W25" s="244">
        <f t="shared" si="18"/>
        <v>0</v>
      </c>
      <c r="X25" s="407">
        <v>0</v>
      </c>
      <c r="Y25" s="391"/>
      <c r="AA25" s="414"/>
      <c r="AB25" s="411"/>
      <c r="AC25" s="405"/>
      <c r="AD25" s="405"/>
      <c r="AE25" s="357">
        <f t="shared" si="5"/>
        <v>0</v>
      </c>
      <c r="AF25" s="335" t="str">
        <f t="shared" si="6"/>
        <v>Match</v>
      </c>
      <c r="AG25" s="366" t="str">
        <f t="shared" si="7"/>
        <v xml:space="preserve"> </v>
      </c>
      <c r="AH25" s="294" t="str">
        <f t="shared" si="8"/>
        <v xml:space="preserve"> </v>
      </c>
      <c r="AI25" s="289" t="str">
        <f t="shared" si="9"/>
        <v xml:space="preserve"> </v>
      </c>
      <c r="AJ25" s="289" t="str">
        <f t="shared" si="10"/>
        <v xml:space="preserve"> </v>
      </c>
      <c r="AK25" s="346">
        <f t="shared" si="11"/>
        <v>0</v>
      </c>
      <c r="AL25" s="352">
        <f t="shared" si="12"/>
        <v>0</v>
      </c>
      <c r="AM25" s="280"/>
      <c r="AN25" s="281"/>
    </row>
    <row r="26" spans="2:40" x14ac:dyDescent="0.25">
      <c r="B26" s="392">
        <v>17</v>
      </c>
      <c r="C26" s="269">
        <f t="shared" si="19"/>
        <v>2027</v>
      </c>
      <c r="D26" s="398">
        <f>IFERROR(VLOOKUP(C26,'LTBR &amp; RORC'!B$6:C$46,2,FALSE),"")</f>
        <v>0</v>
      </c>
      <c r="E26" s="401">
        <v>0</v>
      </c>
      <c r="F26" s="401">
        <v>0</v>
      </c>
      <c r="G26" s="402">
        <v>0.04</v>
      </c>
      <c r="H26" s="262">
        <f t="shared" si="20"/>
        <v>0</v>
      </c>
      <c r="I26" s="262">
        <f t="shared" si="21"/>
        <v>0</v>
      </c>
      <c r="J26" s="262">
        <f t="shared" si="13"/>
        <v>0</v>
      </c>
      <c r="K26" s="262">
        <f t="shared" si="0"/>
        <v>0</v>
      </c>
      <c r="L26" s="262">
        <f t="shared" si="22"/>
        <v>0</v>
      </c>
      <c r="M26" s="263">
        <f t="shared" si="14"/>
        <v>0</v>
      </c>
      <c r="N26" s="381" t="str">
        <f t="shared" si="1"/>
        <v xml:space="preserve"> </v>
      </c>
      <c r="O26" s="405"/>
      <c r="P26" s="375">
        <f t="shared" si="2"/>
        <v>0</v>
      </c>
      <c r="Q26" s="375">
        <f t="shared" si="15"/>
        <v>0</v>
      </c>
      <c r="R26" s="375" t="str">
        <f t="shared" si="16"/>
        <v xml:space="preserve"> </v>
      </c>
      <c r="S26" s="375">
        <f t="shared" si="17"/>
        <v>0</v>
      </c>
      <c r="T26" s="285" t="str">
        <f t="shared" si="3"/>
        <v xml:space="preserve"> </v>
      </c>
      <c r="U26" s="407">
        <v>0</v>
      </c>
      <c r="V26" s="400" t="str">
        <f t="shared" si="4"/>
        <v>No</v>
      </c>
      <c r="W26" s="244">
        <f t="shared" si="18"/>
        <v>0</v>
      </c>
      <c r="X26" s="407">
        <v>0</v>
      </c>
      <c r="Y26" s="391"/>
      <c r="AA26" s="414"/>
      <c r="AB26" s="411"/>
      <c r="AC26" s="405"/>
      <c r="AD26" s="405"/>
      <c r="AE26" s="357">
        <f t="shared" si="5"/>
        <v>0</v>
      </c>
      <c r="AF26" s="335" t="str">
        <f t="shared" si="6"/>
        <v>Match</v>
      </c>
      <c r="AG26" s="366" t="str">
        <f t="shared" si="7"/>
        <v xml:space="preserve"> </v>
      </c>
      <c r="AH26" s="294" t="str">
        <f t="shared" si="8"/>
        <v xml:space="preserve"> </v>
      </c>
      <c r="AI26" s="289" t="str">
        <f t="shared" si="9"/>
        <v xml:space="preserve"> </v>
      </c>
      <c r="AJ26" s="289" t="str">
        <f t="shared" si="10"/>
        <v xml:space="preserve"> </v>
      </c>
      <c r="AK26" s="346">
        <f t="shared" si="11"/>
        <v>0</v>
      </c>
      <c r="AL26" s="352">
        <f t="shared" si="12"/>
        <v>0</v>
      </c>
      <c r="AM26" s="280"/>
      <c r="AN26" s="281"/>
    </row>
    <row r="27" spans="2:40" x14ac:dyDescent="0.25">
      <c r="B27" s="392">
        <v>18</v>
      </c>
      <c r="C27" s="269">
        <f t="shared" si="19"/>
        <v>2028</v>
      </c>
      <c r="D27" s="398">
        <f>IFERROR(VLOOKUP(C27,'LTBR &amp; RORC'!B$6:C$46,2,FALSE),"")</f>
        <v>0</v>
      </c>
      <c r="E27" s="401">
        <v>0</v>
      </c>
      <c r="F27" s="401">
        <v>0</v>
      </c>
      <c r="G27" s="402">
        <v>0.04</v>
      </c>
      <c r="H27" s="262">
        <f t="shared" si="20"/>
        <v>0</v>
      </c>
      <c r="I27" s="262">
        <f t="shared" si="21"/>
        <v>0</v>
      </c>
      <c r="J27" s="262">
        <f t="shared" si="13"/>
        <v>0</v>
      </c>
      <c r="K27" s="262">
        <f t="shared" si="0"/>
        <v>0</v>
      </c>
      <c r="L27" s="262">
        <f t="shared" si="22"/>
        <v>0</v>
      </c>
      <c r="M27" s="263">
        <f t="shared" si="14"/>
        <v>0</v>
      </c>
      <c r="N27" s="381" t="str">
        <f t="shared" si="1"/>
        <v xml:space="preserve"> </v>
      </c>
      <c r="O27" s="405"/>
      <c r="P27" s="375">
        <f t="shared" si="2"/>
        <v>0</v>
      </c>
      <c r="Q27" s="375">
        <f t="shared" si="15"/>
        <v>0</v>
      </c>
      <c r="R27" s="375" t="str">
        <f t="shared" si="16"/>
        <v xml:space="preserve"> </v>
      </c>
      <c r="S27" s="375">
        <f t="shared" si="17"/>
        <v>0</v>
      </c>
      <c r="T27" s="285" t="str">
        <f t="shared" si="3"/>
        <v xml:space="preserve"> </v>
      </c>
      <c r="U27" s="407">
        <v>0</v>
      </c>
      <c r="V27" s="400" t="str">
        <f t="shared" si="4"/>
        <v>No</v>
      </c>
      <c r="W27" s="244">
        <f t="shared" si="18"/>
        <v>0</v>
      </c>
      <c r="X27" s="407">
        <v>0</v>
      </c>
      <c r="Y27" s="391"/>
      <c r="AA27" s="414"/>
      <c r="AB27" s="411"/>
      <c r="AC27" s="405"/>
      <c r="AD27" s="405"/>
      <c r="AE27" s="357">
        <f t="shared" si="5"/>
        <v>0</v>
      </c>
      <c r="AF27" s="335" t="str">
        <f t="shared" si="6"/>
        <v>Match</v>
      </c>
      <c r="AG27" s="366" t="str">
        <f t="shared" si="7"/>
        <v xml:space="preserve"> </v>
      </c>
      <c r="AH27" s="294" t="str">
        <f t="shared" si="8"/>
        <v xml:space="preserve"> </v>
      </c>
      <c r="AI27" s="289" t="str">
        <f t="shared" si="9"/>
        <v xml:space="preserve"> </v>
      </c>
      <c r="AJ27" s="289" t="str">
        <f t="shared" si="10"/>
        <v xml:space="preserve"> </v>
      </c>
      <c r="AK27" s="346">
        <f t="shared" si="11"/>
        <v>0</v>
      </c>
      <c r="AL27" s="352">
        <f t="shared" si="12"/>
        <v>0</v>
      </c>
      <c r="AM27" s="280"/>
      <c r="AN27" s="281"/>
    </row>
    <row r="28" spans="2:40" x14ac:dyDescent="0.25">
      <c r="B28" s="392">
        <v>19</v>
      </c>
      <c r="C28" s="269">
        <f t="shared" si="19"/>
        <v>2029</v>
      </c>
      <c r="D28" s="398">
        <f>IFERROR(VLOOKUP(C28,'LTBR &amp; RORC'!B$6:C$46,2,FALSE),"")</f>
        <v>0</v>
      </c>
      <c r="E28" s="401">
        <v>0</v>
      </c>
      <c r="F28" s="401">
        <v>0</v>
      </c>
      <c r="G28" s="402">
        <v>0.04</v>
      </c>
      <c r="H28" s="262">
        <f t="shared" si="20"/>
        <v>0</v>
      </c>
      <c r="I28" s="262">
        <f t="shared" si="21"/>
        <v>0</v>
      </c>
      <c r="J28" s="262">
        <f t="shared" si="13"/>
        <v>0</v>
      </c>
      <c r="K28" s="262">
        <f t="shared" si="0"/>
        <v>0</v>
      </c>
      <c r="L28" s="262">
        <f t="shared" si="22"/>
        <v>0</v>
      </c>
      <c r="M28" s="263">
        <f t="shared" si="14"/>
        <v>0</v>
      </c>
      <c r="N28" s="381" t="str">
        <f t="shared" si="1"/>
        <v xml:space="preserve"> </v>
      </c>
      <c r="O28" s="405"/>
      <c r="P28" s="375">
        <f t="shared" si="2"/>
        <v>0</v>
      </c>
      <c r="Q28" s="375">
        <f t="shared" si="15"/>
        <v>0</v>
      </c>
      <c r="R28" s="375" t="str">
        <f t="shared" si="16"/>
        <v xml:space="preserve"> </v>
      </c>
      <c r="S28" s="375">
        <f t="shared" si="17"/>
        <v>0</v>
      </c>
      <c r="T28" s="285" t="str">
        <f t="shared" si="3"/>
        <v xml:space="preserve"> </v>
      </c>
      <c r="U28" s="407">
        <v>0</v>
      </c>
      <c r="V28" s="400" t="str">
        <f t="shared" si="4"/>
        <v>No</v>
      </c>
      <c r="W28" s="244">
        <f t="shared" si="18"/>
        <v>0</v>
      </c>
      <c r="X28" s="407">
        <v>0</v>
      </c>
      <c r="Y28" s="391"/>
      <c r="Z28" s="254"/>
      <c r="AA28" s="414"/>
      <c r="AB28" s="411"/>
      <c r="AC28" s="405"/>
      <c r="AD28" s="405"/>
      <c r="AE28" s="357">
        <f t="shared" si="5"/>
        <v>0</v>
      </c>
      <c r="AF28" s="335" t="str">
        <f t="shared" si="6"/>
        <v>Match</v>
      </c>
      <c r="AG28" s="366" t="str">
        <f t="shared" si="7"/>
        <v xml:space="preserve"> </v>
      </c>
      <c r="AH28" s="294" t="str">
        <f t="shared" si="8"/>
        <v xml:space="preserve"> </v>
      </c>
      <c r="AI28" s="289" t="str">
        <f t="shared" si="9"/>
        <v xml:space="preserve"> </v>
      </c>
      <c r="AJ28" s="289" t="str">
        <f t="shared" si="10"/>
        <v xml:space="preserve"> </v>
      </c>
      <c r="AK28" s="346">
        <f t="shared" si="11"/>
        <v>0</v>
      </c>
      <c r="AL28" s="352">
        <f t="shared" si="12"/>
        <v>0</v>
      </c>
      <c r="AM28" s="280"/>
      <c r="AN28" s="281"/>
    </row>
    <row r="29" spans="2:40" x14ac:dyDescent="0.25">
      <c r="B29" s="392">
        <v>20</v>
      </c>
      <c r="C29" s="269">
        <f t="shared" si="19"/>
        <v>2030</v>
      </c>
      <c r="D29" s="398">
        <f>IFERROR(VLOOKUP(C29,'LTBR &amp; RORC'!B$6:C$46,2,FALSE),"")</f>
        <v>0</v>
      </c>
      <c r="E29" s="401">
        <v>0</v>
      </c>
      <c r="F29" s="401">
        <v>0</v>
      </c>
      <c r="G29" s="402">
        <v>0.04</v>
      </c>
      <c r="H29" s="262">
        <f t="shared" si="20"/>
        <v>0</v>
      </c>
      <c r="I29" s="262">
        <f t="shared" si="21"/>
        <v>0</v>
      </c>
      <c r="J29" s="262">
        <f t="shared" si="13"/>
        <v>0</v>
      </c>
      <c r="K29" s="262">
        <f t="shared" si="0"/>
        <v>0</v>
      </c>
      <c r="L29" s="262">
        <f t="shared" si="22"/>
        <v>0</v>
      </c>
      <c r="M29" s="263">
        <f t="shared" si="14"/>
        <v>0</v>
      </c>
      <c r="N29" s="381" t="str">
        <f t="shared" si="1"/>
        <v xml:space="preserve"> </v>
      </c>
      <c r="O29" s="405"/>
      <c r="P29" s="375">
        <f t="shared" si="2"/>
        <v>0</v>
      </c>
      <c r="Q29" s="375">
        <f t="shared" si="15"/>
        <v>0</v>
      </c>
      <c r="R29" s="375" t="str">
        <f t="shared" si="16"/>
        <v xml:space="preserve"> </v>
      </c>
      <c r="S29" s="375">
        <f t="shared" si="17"/>
        <v>0</v>
      </c>
      <c r="T29" s="285" t="str">
        <f t="shared" si="3"/>
        <v xml:space="preserve"> </v>
      </c>
      <c r="U29" s="407">
        <v>0</v>
      </c>
      <c r="V29" s="400" t="str">
        <f t="shared" si="4"/>
        <v>No</v>
      </c>
      <c r="W29" s="244">
        <f t="shared" si="18"/>
        <v>0</v>
      </c>
      <c r="X29" s="407">
        <v>0</v>
      </c>
      <c r="Y29" s="391"/>
      <c r="AA29" s="414"/>
      <c r="AB29" s="411"/>
      <c r="AC29" s="405"/>
      <c r="AD29" s="405"/>
      <c r="AE29" s="357">
        <f t="shared" si="5"/>
        <v>0</v>
      </c>
      <c r="AF29" s="335" t="str">
        <f t="shared" si="6"/>
        <v>Match</v>
      </c>
      <c r="AG29" s="366" t="str">
        <f t="shared" si="7"/>
        <v xml:space="preserve"> </v>
      </c>
      <c r="AH29" s="294" t="str">
        <f t="shared" si="8"/>
        <v xml:space="preserve"> </v>
      </c>
      <c r="AI29" s="289" t="str">
        <f t="shared" si="9"/>
        <v xml:space="preserve"> </v>
      </c>
      <c r="AJ29" s="289" t="str">
        <f t="shared" si="10"/>
        <v xml:space="preserve"> </v>
      </c>
      <c r="AK29" s="346">
        <f t="shared" si="11"/>
        <v>0</v>
      </c>
      <c r="AL29" s="352">
        <f t="shared" si="12"/>
        <v>0</v>
      </c>
      <c r="AM29" s="280"/>
      <c r="AN29" s="281"/>
    </row>
    <row r="30" spans="2:40" x14ac:dyDescent="0.25">
      <c r="B30" s="392">
        <v>21</v>
      </c>
      <c r="C30" s="269">
        <f t="shared" si="19"/>
        <v>2031</v>
      </c>
      <c r="D30" s="398">
        <f>IFERROR(VLOOKUP(C30,'LTBR &amp; RORC'!B$6:C$46,2,FALSE),"")</f>
        <v>0</v>
      </c>
      <c r="E30" s="401">
        <v>0</v>
      </c>
      <c r="F30" s="401">
        <v>0</v>
      </c>
      <c r="G30" s="402">
        <v>0.04</v>
      </c>
      <c r="H30" s="262">
        <f t="shared" si="20"/>
        <v>0</v>
      </c>
      <c r="I30" s="262">
        <f t="shared" si="21"/>
        <v>0</v>
      </c>
      <c r="J30" s="262">
        <f t="shared" si="13"/>
        <v>0</v>
      </c>
      <c r="K30" s="262">
        <f t="shared" si="0"/>
        <v>0</v>
      </c>
      <c r="L30" s="262">
        <f t="shared" si="22"/>
        <v>0</v>
      </c>
      <c r="M30" s="263">
        <f t="shared" si="14"/>
        <v>0</v>
      </c>
      <c r="N30" s="381" t="str">
        <f t="shared" si="1"/>
        <v xml:space="preserve"> </v>
      </c>
      <c r="O30" s="405"/>
      <c r="P30" s="375">
        <f t="shared" si="2"/>
        <v>0</v>
      </c>
      <c r="Q30" s="375">
        <f t="shared" si="15"/>
        <v>0</v>
      </c>
      <c r="R30" s="375" t="str">
        <f t="shared" si="16"/>
        <v xml:space="preserve"> </v>
      </c>
      <c r="S30" s="375">
        <f t="shared" si="17"/>
        <v>0</v>
      </c>
      <c r="T30" s="285" t="str">
        <f t="shared" si="3"/>
        <v xml:space="preserve"> </v>
      </c>
      <c r="U30" s="407">
        <v>0</v>
      </c>
      <c r="V30" s="400" t="str">
        <f t="shared" si="4"/>
        <v>No</v>
      </c>
      <c r="W30" s="244">
        <f t="shared" si="18"/>
        <v>0</v>
      </c>
      <c r="X30" s="407">
        <v>0</v>
      </c>
      <c r="Y30" s="391"/>
      <c r="AA30" s="414"/>
      <c r="AB30" s="411"/>
      <c r="AC30" s="405"/>
      <c r="AD30" s="405"/>
      <c r="AE30" s="357">
        <f t="shared" si="5"/>
        <v>0</v>
      </c>
      <c r="AF30" s="335" t="str">
        <f t="shared" si="6"/>
        <v>Match</v>
      </c>
      <c r="AG30" s="366" t="str">
        <f t="shared" si="7"/>
        <v xml:space="preserve"> </v>
      </c>
      <c r="AH30" s="294" t="str">
        <f t="shared" si="8"/>
        <v xml:space="preserve"> </v>
      </c>
      <c r="AI30" s="289" t="str">
        <f t="shared" si="9"/>
        <v xml:space="preserve"> </v>
      </c>
      <c r="AJ30" s="289" t="str">
        <f t="shared" si="10"/>
        <v xml:space="preserve"> </v>
      </c>
      <c r="AK30" s="346">
        <f t="shared" si="11"/>
        <v>0</v>
      </c>
      <c r="AL30" s="352">
        <f t="shared" si="12"/>
        <v>0</v>
      </c>
      <c r="AM30" s="280"/>
      <c r="AN30" s="281"/>
    </row>
    <row r="31" spans="2:40" x14ac:dyDescent="0.25">
      <c r="B31" s="392">
        <v>22</v>
      </c>
      <c r="C31" s="269">
        <f t="shared" si="19"/>
        <v>2032</v>
      </c>
      <c r="D31" s="398">
        <f>IFERROR(VLOOKUP(C31,'LTBR &amp; RORC'!B$6:C$46,2,FALSE),"")</f>
        <v>0</v>
      </c>
      <c r="E31" s="401">
        <v>0</v>
      </c>
      <c r="F31" s="401">
        <v>0</v>
      </c>
      <c r="G31" s="402">
        <v>0.04</v>
      </c>
      <c r="H31" s="262">
        <f t="shared" si="20"/>
        <v>0</v>
      </c>
      <c r="I31" s="262">
        <f t="shared" si="21"/>
        <v>0</v>
      </c>
      <c r="J31" s="262">
        <f t="shared" si="13"/>
        <v>0</v>
      </c>
      <c r="K31" s="262">
        <f t="shared" si="0"/>
        <v>0</v>
      </c>
      <c r="L31" s="262">
        <f t="shared" si="22"/>
        <v>0</v>
      </c>
      <c r="M31" s="263">
        <f t="shared" si="14"/>
        <v>0</v>
      </c>
      <c r="N31" s="381" t="str">
        <f t="shared" si="1"/>
        <v xml:space="preserve"> </v>
      </c>
      <c r="O31" s="405"/>
      <c r="P31" s="375">
        <f t="shared" si="2"/>
        <v>0</v>
      </c>
      <c r="Q31" s="375">
        <f t="shared" si="15"/>
        <v>0</v>
      </c>
      <c r="R31" s="375" t="str">
        <f t="shared" si="16"/>
        <v xml:space="preserve"> </v>
      </c>
      <c r="S31" s="375">
        <f t="shared" si="17"/>
        <v>0</v>
      </c>
      <c r="T31" s="285" t="str">
        <f t="shared" si="3"/>
        <v xml:space="preserve"> </v>
      </c>
      <c r="U31" s="407">
        <v>0</v>
      </c>
      <c r="V31" s="400" t="str">
        <f t="shared" si="4"/>
        <v>No</v>
      </c>
      <c r="W31" s="244">
        <f t="shared" si="18"/>
        <v>0</v>
      </c>
      <c r="X31" s="407">
        <v>0</v>
      </c>
      <c r="Y31" s="391"/>
      <c r="Z31" s="255"/>
      <c r="AA31" s="414"/>
      <c r="AB31" s="411"/>
      <c r="AC31" s="405"/>
      <c r="AD31" s="405"/>
      <c r="AE31" s="357">
        <f t="shared" si="5"/>
        <v>0</v>
      </c>
      <c r="AF31" s="335" t="str">
        <f t="shared" si="6"/>
        <v>Match</v>
      </c>
      <c r="AG31" s="366" t="str">
        <f t="shared" si="7"/>
        <v xml:space="preserve"> </v>
      </c>
      <c r="AH31" s="294" t="str">
        <f t="shared" si="8"/>
        <v xml:space="preserve"> </v>
      </c>
      <c r="AI31" s="289" t="str">
        <f t="shared" si="9"/>
        <v xml:space="preserve"> </v>
      </c>
      <c r="AJ31" s="289" t="str">
        <f t="shared" si="10"/>
        <v xml:space="preserve"> </v>
      </c>
      <c r="AK31" s="346">
        <f t="shared" si="11"/>
        <v>0</v>
      </c>
      <c r="AL31" s="352">
        <f t="shared" si="12"/>
        <v>0</v>
      </c>
      <c r="AM31" s="280"/>
      <c r="AN31" s="281"/>
    </row>
    <row r="32" spans="2:40" x14ac:dyDescent="0.25">
      <c r="B32" s="392">
        <v>23</v>
      </c>
      <c r="C32" s="269">
        <f t="shared" si="19"/>
        <v>2033</v>
      </c>
      <c r="D32" s="398">
        <f>IFERROR(VLOOKUP(C32,'LTBR &amp; RORC'!B$6:C$46,2,FALSE),"")</f>
        <v>0</v>
      </c>
      <c r="E32" s="401">
        <v>0</v>
      </c>
      <c r="F32" s="401">
        <v>0</v>
      </c>
      <c r="G32" s="402">
        <v>0.04</v>
      </c>
      <c r="H32" s="262">
        <f t="shared" si="20"/>
        <v>0</v>
      </c>
      <c r="I32" s="262">
        <f t="shared" si="21"/>
        <v>0</v>
      </c>
      <c r="J32" s="262">
        <f t="shared" si="13"/>
        <v>0</v>
      </c>
      <c r="K32" s="262">
        <f t="shared" si="0"/>
        <v>0</v>
      </c>
      <c r="L32" s="262">
        <f t="shared" si="22"/>
        <v>0</v>
      </c>
      <c r="M32" s="263">
        <f t="shared" si="14"/>
        <v>0</v>
      </c>
      <c r="N32" s="381" t="str">
        <f t="shared" si="1"/>
        <v xml:space="preserve"> </v>
      </c>
      <c r="O32" s="405"/>
      <c r="P32" s="375">
        <f t="shared" si="2"/>
        <v>0</v>
      </c>
      <c r="Q32" s="375">
        <f t="shared" si="15"/>
        <v>0</v>
      </c>
      <c r="R32" s="375" t="str">
        <f t="shared" si="16"/>
        <v xml:space="preserve"> </v>
      </c>
      <c r="S32" s="375">
        <f t="shared" si="17"/>
        <v>0</v>
      </c>
      <c r="T32" s="285" t="str">
        <f t="shared" si="3"/>
        <v xml:space="preserve"> </v>
      </c>
      <c r="U32" s="407">
        <v>0</v>
      </c>
      <c r="V32" s="400" t="str">
        <f t="shared" si="4"/>
        <v>No</v>
      </c>
      <c r="W32" s="244">
        <f t="shared" si="18"/>
        <v>0</v>
      </c>
      <c r="X32" s="407">
        <v>0</v>
      </c>
      <c r="Y32" s="391"/>
      <c r="AA32" s="414"/>
      <c r="AB32" s="411"/>
      <c r="AC32" s="405"/>
      <c r="AD32" s="405"/>
      <c r="AE32" s="357">
        <f t="shared" si="5"/>
        <v>0</v>
      </c>
      <c r="AF32" s="335" t="str">
        <f t="shared" si="6"/>
        <v>Match</v>
      </c>
      <c r="AG32" s="366" t="str">
        <f t="shared" si="7"/>
        <v xml:space="preserve"> </v>
      </c>
      <c r="AH32" s="294" t="str">
        <f t="shared" si="8"/>
        <v xml:space="preserve"> </v>
      </c>
      <c r="AI32" s="289" t="str">
        <f t="shared" si="9"/>
        <v xml:space="preserve"> </v>
      </c>
      <c r="AJ32" s="289" t="str">
        <f t="shared" si="10"/>
        <v xml:space="preserve"> </v>
      </c>
      <c r="AK32" s="346">
        <f t="shared" si="11"/>
        <v>0</v>
      </c>
      <c r="AL32" s="352">
        <f t="shared" si="12"/>
        <v>0</v>
      </c>
      <c r="AM32" s="280"/>
      <c r="AN32" s="281"/>
    </row>
    <row r="33" spans="2:40" x14ac:dyDescent="0.25">
      <c r="B33" s="392">
        <v>24</v>
      </c>
      <c r="C33" s="269">
        <f t="shared" si="19"/>
        <v>2034</v>
      </c>
      <c r="D33" s="398">
        <f>IFERROR(VLOOKUP(C33,'LTBR &amp; RORC'!B$6:C$46,2,FALSE),"")</f>
        <v>0</v>
      </c>
      <c r="E33" s="401">
        <v>0</v>
      </c>
      <c r="F33" s="401">
        <v>0</v>
      </c>
      <c r="G33" s="402">
        <v>0.04</v>
      </c>
      <c r="H33" s="262">
        <f t="shared" si="20"/>
        <v>0</v>
      </c>
      <c r="I33" s="262">
        <f t="shared" si="21"/>
        <v>0</v>
      </c>
      <c r="J33" s="262">
        <f t="shared" si="13"/>
        <v>0</v>
      </c>
      <c r="K33" s="262">
        <f t="shared" si="0"/>
        <v>0</v>
      </c>
      <c r="L33" s="262">
        <f t="shared" si="22"/>
        <v>0</v>
      </c>
      <c r="M33" s="263">
        <f t="shared" si="14"/>
        <v>0</v>
      </c>
      <c r="N33" s="381" t="str">
        <f t="shared" si="1"/>
        <v xml:space="preserve"> </v>
      </c>
      <c r="O33" s="405"/>
      <c r="P33" s="375">
        <f t="shared" si="2"/>
        <v>0</v>
      </c>
      <c r="Q33" s="375">
        <f t="shared" si="15"/>
        <v>0</v>
      </c>
      <c r="R33" s="375" t="str">
        <f t="shared" si="16"/>
        <v xml:space="preserve"> </v>
      </c>
      <c r="S33" s="375">
        <f t="shared" si="17"/>
        <v>0</v>
      </c>
      <c r="T33" s="285" t="str">
        <f t="shared" si="3"/>
        <v xml:space="preserve"> </v>
      </c>
      <c r="U33" s="407">
        <v>0</v>
      </c>
      <c r="V33" s="400" t="str">
        <f t="shared" si="4"/>
        <v>No</v>
      </c>
      <c r="W33" s="244">
        <f t="shared" si="18"/>
        <v>0</v>
      </c>
      <c r="X33" s="407">
        <v>0</v>
      </c>
      <c r="Y33" s="391"/>
      <c r="AA33" s="414"/>
      <c r="AB33" s="411"/>
      <c r="AC33" s="405"/>
      <c r="AD33" s="405"/>
      <c r="AE33" s="357">
        <f t="shared" si="5"/>
        <v>0</v>
      </c>
      <c r="AF33" s="335" t="str">
        <f t="shared" si="6"/>
        <v>Match</v>
      </c>
      <c r="AG33" s="366" t="str">
        <f t="shared" si="7"/>
        <v xml:space="preserve"> </v>
      </c>
      <c r="AH33" s="294" t="str">
        <f t="shared" si="8"/>
        <v xml:space="preserve"> </v>
      </c>
      <c r="AI33" s="289" t="str">
        <f t="shared" si="9"/>
        <v xml:space="preserve"> </v>
      </c>
      <c r="AJ33" s="289" t="str">
        <f t="shared" si="10"/>
        <v xml:space="preserve"> </v>
      </c>
      <c r="AK33" s="346">
        <f t="shared" si="11"/>
        <v>0</v>
      </c>
      <c r="AL33" s="352">
        <f t="shared" si="12"/>
        <v>0</v>
      </c>
      <c r="AM33" s="280"/>
      <c r="AN33" s="281"/>
    </row>
    <row r="34" spans="2:40" x14ac:dyDescent="0.25">
      <c r="B34" s="392">
        <v>25</v>
      </c>
      <c r="C34" s="269">
        <f t="shared" si="19"/>
        <v>2035</v>
      </c>
      <c r="D34" s="398">
        <f>IFERROR(VLOOKUP(C34,'LTBR &amp; RORC'!B$6:C$46,2,FALSE),"")</f>
        <v>0</v>
      </c>
      <c r="E34" s="401">
        <v>0</v>
      </c>
      <c r="F34" s="401">
        <v>0</v>
      </c>
      <c r="G34" s="402">
        <v>0.04</v>
      </c>
      <c r="H34" s="262">
        <f t="shared" si="20"/>
        <v>0</v>
      </c>
      <c r="I34" s="262">
        <f t="shared" si="21"/>
        <v>0</v>
      </c>
      <c r="J34" s="262">
        <f t="shared" si="13"/>
        <v>0</v>
      </c>
      <c r="K34" s="262">
        <f t="shared" si="0"/>
        <v>0</v>
      </c>
      <c r="L34" s="262">
        <f t="shared" si="22"/>
        <v>0</v>
      </c>
      <c r="M34" s="263">
        <f t="shared" si="14"/>
        <v>0</v>
      </c>
      <c r="N34" s="381" t="str">
        <f t="shared" si="1"/>
        <v xml:space="preserve"> </v>
      </c>
      <c r="O34" s="405"/>
      <c r="P34" s="375">
        <f t="shared" si="2"/>
        <v>0</v>
      </c>
      <c r="Q34" s="375">
        <f t="shared" si="15"/>
        <v>0</v>
      </c>
      <c r="R34" s="375" t="str">
        <f t="shared" si="16"/>
        <v xml:space="preserve"> </v>
      </c>
      <c r="S34" s="375">
        <f t="shared" si="17"/>
        <v>0</v>
      </c>
      <c r="T34" s="285" t="str">
        <f t="shared" si="3"/>
        <v xml:space="preserve"> </v>
      </c>
      <c r="U34" s="407">
        <v>0</v>
      </c>
      <c r="V34" s="400" t="str">
        <f t="shared" si="4"/>
        <v>No</v>
      </c>
      <c r="W34" s="244">
        <f t="shared" si="18"/>
        <v>0</v>
      </c>
      <c r="X34" s="407">
        <v>0</v>
      </c>
      <c r="Y34" s="391"/>
      <c r="AA34" s="414"/>
      <c r="AB34" s="411"/>
      <c r="AC34" s="405"/>
      <c r="AD34" s="405"/>
      <c r="AE34" s="357">
        <f t="shared" si="5"/>
        <v>0</v>
      </c>
      <c r="AF34" s="335" t="str">
        <f t="shared" si="6"/>
        <v>Match</v>
      </c>
      <c r="AG34" s="366" t="str">
        <f t="shared" si="7"/>
        <v xml:space="preserve"> </v>
      </c>
      <c r="AH34" s="294" t="str">
        <f t="shared" si="8"/>
        <v xml:space="preserve"> </v>
      </c>
      <c r="AI34" s="289" t="str">
        <f t="shared" si="9"/>
        <v xml:space="preserve"> </v>
      </c>
      <c r="AJ34" s="289" t="str">
        <f t="shared" si="10"/>
        <v xml:space="preserve"> </v>
      </c>
      <c r="AK34" s="346">
        <f t="shared" si="11"/>
        <v>0</v>
      </c>
      <c r="AL34" s="352">
        <f t="shared" si="12"/>
        <v>0</v>
      </c>
      <c r="AM34" s="280"/>
      <c r="AN34" s="281"/>
    </row>
    <row r="35" spans="2:40" x14ac:dyDescent="0.25">
      <c r="B35" s="392">
        <v>26</v>
      </c>
      <c r="C35" s="269">
        <f t="shared" si="19"/>
        <v>2036</v>
      </c>
      <c r="D35" s="398">
        <f>IFERROR(VLOOKUP(C35,'LTBR &amp; RORC'!B$6:C$46,2,FALSE),"")</f>
        <v>0</v>
      </c>
      <c r="E35" s="401">
        <v>0</v>
      </c>
      <c r="F35" s="401">
        <v>0</v>
      </c>
      <c r="G35" s="402">
        <v>0.04</v>
      </c>
      <c r="H35" s="262">
        <f t="shared" si="20"/>
        <v>0</v>
      </c>
      <c r="I35" s="262">
        <f t="shared" si="21"/>
        <v>0</v>
      </c>
      <c r="J35" s="262">
        <f t="shared" si="13"/>
        <v>0</v>
      </c>
      <c r="K35" s="262">
        <f t="shared" si="0"/>
        <v>0</v>
      </c>
      <c r="L35" s="262">
        <f t="shared" si="22"/>
        <v>0</v>
      </c>
      <c r="M35" s="263">
        <f t="shared" si="14"/>
        <v>0</v>
      </c>
      <c r="N35" s="381" t="str">
        <f t="shared" si="1"/>
        <v xml:space="preserve"> </v>
      </c>
      <c r="O35" s="405"/>
      <c r="P35" s="375">
        <f t="shared" si="2"/>
        <v>0</v>
      </c>
      <c r="Q35" s="374">
        <f t="shared" si="15"/>
        <v>0</v>
      </c>
      <c r="R35" s="374" t="str">
        <f t="shared" si="16"/>
        <v xml:space="preserve"> </v>
      </c>
      <c r="S35" s="374">
        <f t="shared" si="17"/>
        <v>0</v>
      </c>
      <c r="T35" s="285" t="str">
        <f t="shared" si="3"/>
        <v xml:space="preserve"> </v>
      </c>
      <c r="U35" s="407">
        <v>0</v>
      </c>
      <c r="V35" s="400" t="str">
        <f t="shared" si="4"/>
        <v>No</v>
      </c>
      <c r="W35" s="244">
        <f t="shared" si="18"/>
        <v>0</v>
      </c>
      <c r="X35" s="407">
        <v>0</v>
      </c>
      <c r="Y35" s="391"/>
      <c r="AA35" s="414"/>
      <c r="AB35" s="411"/>
      <c r="AC35" s="405"/>
      <c r="AD35" s="405"/>
      <c r="AE35" s="357">
        <f t="shared" si="5"/>
        <v>0</v>
      </c>
      <c r="AF35" s="335" t="str">
        <f t="shared" si="6"/>
        <v>Match</v>
      </c>
      <c r="AG35" s="366" t="str">
        <f t="shared" si="7"/>
        <v xml:space="preserve"> </v>
      </c>
      <c r="AH35" s="294" t="str">
        <f t="shared" si="8"/>
        <v xml:space="preserve"> </v>
      </c>
      <c r="AI35" s="289" t="str">
        <f t="shared" si="9"/>
        <v xml:space="preserve"> </v>
      </c>
      <c r="AJ35" s="289" t="str">
        <f t="shared" si="10"/>
        <v xml:space="preserve"> </v>
      </c>
      <c r="AK35" s="346">
        <f t="shared" si="11"/>
        <v>0</v>
      </c>
      <c r="AL35" s="352">
        <f t="shared" si="12"/>
        <v>0</v>
      </c>
      <c r="AM35" s="280"/>
      <c r="AN35" s="281"/>
    </row>
    <row r="36" spans="2:40" x14ac:dyDescent="0.25">
      <c r="B36" s="392">
        <v>27</v>
      </c>
      <c r="C36" s="269">
        <f t="shared" si="19"/>
        <v>2037</v>
      </c>
      <c r="D36" s="398">
        <f>IFERROR(VLOOKUP(C36,'LTBR &amp; RORC'!B$6:C$46,2,FALSE),"")</f>
        <v>0</v>
      </c>
      <c r="E36" s="401">
        <v>0</v>
      </c>
      <c r="F36" s="401">
        <v>0</v>
      </c>
      <c r="G36" s="402">
        <v>0.04</v>
      </c>
      <c r="H36" s="262">
        <f t="shared" si="20"/>
        <v>0</v>
      </c>
      <c r="I36" s="262">
        <f t="shared" si="21"/>
        <v>0</v>
      </c>
      <c r="J36" s="262">
        <f t="shared" si="13"/>
        <v>0</v>
      </c>
      <c r="K36" s="262">
        <f t="shared" si="0"/>
        <v>0</v>
      </c>
      <c r="L36" s="262">
        <f t="shared" si="22"/>
        <v>0</v>
      </c>
      <c r="M36" s="263">
        <f t="shared" si="14"/>
        <v>0</v>
      </c>
      <c r="N36" s="381" t="str">
        <f t="shared" si="1"/>
        <v xml:space="preserve"> </v>
      </c>
      <c r="O36" s="405"/>
      <c r="P36" s="375">
        <f t="shared" si="2"/>
        <v>0</v>
      </c>
      <c r="Q36" s="375">
        <f t="shared" si="15"/>
        <v>0</v>
      </c>
      <c r="R36" s="375" t="str">
        <f t="shared" si="16"/>
        <v xml:space="preserve"> </v>
      </c>
      <c r="S36" s="375">
        <f t="shared" si="17"/>
        <v>0</v>
      </c>
      <c r="T36" s="285" t="str">
        <f t="shared" si="3"/>
        <v xml:space="preserve"> </v>
      </c>
      <c r="U36" s="407">
        <v>0</v>
      </c>
      <c r="V36" s="400" t="str">
        <f t="shared" si="4"/>
        <v>No</v>
      </c>
      <c r="W36" s="244">
        <f t="shared" si="18"/>
        <v>0</v>
      </c>
      <c r="X36" s="407">
        <v>0</v>
      </c>
      <c r="Y36" s="391"/>
      <c r="AA36" s="414"/>
      <c r="AB36" s="411"/>
      <c r="AC36" s="405"/>
      <c r="AD36" s="405"/>
      <c r="AE36" s="357">
        <f t="shared" si="5"/>
        <v>0</v>
      </c>
      <c r="AF36" s="335" t="str">
        <f t="shared" si="6"/>
        <v>Match</v>
      </c>
      <c r="AG36" s="366" t="str">
        <f t="shared" si="7"/>
        <v xml:space="preserve"> </v>
      </c>
      <c r="AH36" s="294" t="str">
        <f t="shared" si="8"/>
        <v xml:space="preserve"> </v>
      </c>
      <c r="AI36" s="289" t="str">
        <f t="shared" si="9"/>
        <v xml:space="preserve"> </v>
      </c>
      <c r="AJ36" s="289" t="str">
        <f t="shared" si="10"/>
        <v xml:space="preserve"> </v>
      </c>
      <c r="AK36" s="346">
        <f t="shared" si="11"/>
        <v>0</v>
      </c>
      <c r="AL36" s="352">
        <f t="shared" si="12"/>
        <v>0</v>
      </c>
      <c r="AN36" s="281"/>
    </row>
    <row r="37" spans="2:40" ht="13.8" thickBot="1" x14ac:dyDescent="0.3">
      <c r="B37" s="394"/>
      <c r="C37" s="326"/>
      <c r="D37" s="326"/>
      <c r="E37" s="326"/>
      <c r="F37" s="326"/>
      <c r="G37" s="326"/>
      <c r="H37" s="257"/>
      <c r="I37" s="258"/>
      <c r="J37" s="259"/>
      <c r="K37" s="259"/>
      <c r="L37" s="260"/>
      <c r="M37" s="260"/>
      <c r="N37" s="260"/>
      <c r="O37" s="260"/>
      <c r="P37" s="260"/>
      <c r="Q37" s="260"/>
      <c r="R37" s="260"/>
      <c r="S37" s="260"/>
      <c r="T37" s="260"/>
      <c r="U37" s="270"/>
      <c r="V37" s="380"/>
      <c r="W37" s="270"/>
      <c r="X37" s="270"/>
      <c r="Y37" s="395"/>
      <c r="AA37" s="355"/>
      <c r="AB37" s="293"/>
      <c r="AC37" s="270"/>
      <c r="AD37" s="270"/>
      <c r="AE37" s="358"/>
      <c r="AF37" s="332"/>
      <c r="AG37" s="367"/>
      <c r="AH37" s="293"/>
      <c r="AI37" s="270"/>
      <c r="AJ37" s="270"/>
      <c r="AK37" s="334"/>
      <c r="AL37" s="334"/>
      <c r="AN37" s="281"/>
    </row>
    <row r="38" spans="2:40" x14ac:dyDescent="0.25">
      <c r="H38" s="261"/>
      <c r="I38" s="253"/>
      <c r="X38" s="264"/>
      <c r="Y38" s="264"/>
    </row>
    <row r="39" spans="2:40" x14ac:dyDescent="0.25">
      <c r="I39" s="329" t="s">
        <v>62</v>
      </c>
      <c r="J39" s="280">
        <f>SUM(J10:J38)</f>
        <v>0</v>
      </c>
      <c r="X39" s="264"/>
      <c r="Y39" s="264"/>
    </row>
    <row r="40" spans="2:40" x14ac:dyDescent="0.25">
      <c r="B40" s="324"/>
      <c r="U40" s="281"/>
    </row>
    <row r="41" spans="2:40" x14ac:dyDescent="0.25">
      <c r="B41" s="324" t="s">
        <v>50</v>
      </c>
      <c r="F41" s="281"/>
      <c r="Q41" s="318" t="s">
        <v>48</v>
      </c>
      <c r="R41" s="302"/>
      <c r="S41" s="302"/>
      <c r="T41" s="302"/>
      <c r="U41" s="302"/>
      <c r="V41" s="303"/>
      <c r="W41" s="303"/>
      <c r="X41" s="304"/>
      <c r="Y41" s="305"/>
    </row>
    <row r="42" spans="2:40" x14ac:dyDescent="0.25">
      <c r="B42" s="281" t="s">
        <v>51</v>
      </c>
      <c r="F42" s="281"/>
      <c r="H42" s="275"/>
      <c r="Q42" s="306"/>
      <c r="R42" s="256"/>
      <c r="S42" s="256"/>
      <c r="T42" s="256"/>
      <c r="U42" s="256"/>
      <c r="V42" s="247" t="s">
        <v>41</v>
      </c>
      <c r="W42" s="307"/>
      <c r="X42" s="256"/>
      <c r="Y42" s="308">
        <f>-X24</f>
        <v>0</v>
      </c>
      <c r="Z42" s="265" t="s">
        <v>86</v>
      </c>
    </row>
    <row r="43" spans="2:40" x14ac:dyDescent="0.25">
      <c r="F43" s="281"/>
      <c r="G43" s="281"/>
      <c r="Q43" s="306"/>
      <c r="R43" s="256"/>
      <c r="S43" s="256"/>
      <c r="T43" s="256"/>
      <c r="U43" s="256"/>
      <c r="V43" s="247" t="s">
        <v>45</v>
      </c>
      <c r="W43" s="307"/>
      <c r="X43" s="256"/>
      <c r="Y43" s="308"/>
    </row>
    <row r="44" spans="2:40" x14ac:dyDescent="0.25">
      <c r="B44" s="281" t="s">
        <v>55</v>
      </c>
      <c r="F44" s="281"/>
      <c r="Q44" s="297"/>
      <c r="R44" s="298" t="s">
        <v>42</v>
      </c>
      <c r="S44" s="408"/>
      <c r="T44" s="299" t="s">
        <v>43</v>
      </c>
      <c r="U44" s="409"/>
      <c r="V44" s="247" t="s">
        <v>44</v>
      </c>
      <c r="W44" s="309"/>
      <c r="X44" s="310">
        <f>Y42*S44*U44</f>
        <v>0</v>
      </c>
      <c r="Y44" s="311"/>
    </row>
    <row r="45" spans="2:40" x14ac:dyDescent="0.25">
      <c r="B45" s="281" t="s">
        <v>52</v>
      </c>
      <c r="F45" s="281"/>
      <c r="Q45" s="297"/>
      <c r="R45" s="298" t="s">
        <v>42</v>
      </c>
      <c r="S45" s="408">
        <v>15</v>
      </c>
      <c r="T45" s="299" t="s">
        <v>43</v>
      </c>
      <c r="U45" s="300">
        <v>0.04</v>
      </c>
      <c r="V45" s="246" t="s">
        <v>44</v>
      </c>
      <c r="W45" s="316"/>
      <c r="X45" s="301">
        <f>Y42*S45*U45</f>
        <v>0</v>
      </c>
      <c r="Y45" s="312">
        <f>-SUM(X44:X45)</f>
        <v>0</v>
      </c>
    </row>
    <row r="46" spans="2:40" x14ac:dyDescent="0.25">
      <c r="B46" s="281" t="s">
        <v>61</v>
      </c>
      <c r="F46" s="281"/>
      <c r="Q46" s="306"/>
      <c r="R46" s="256"/>
      <c r="S46" s="256"/>
      <c r="T46" s="256"/>
      <c r="U46" s="256"/>
      <c r="V46" s="307"/>
      <c r="W46" s="307"/>
      <c r="X46" s="313"/>
      <c r="Y46" s="311"/>
    </row>
    <row r="47" spans="2:40" x14ac:dyDescent="0.25">
      <c r="B47" s="281" t="s">
        <v>54</v>
      </c>
      <c r="Q47" s="306"/>
      <c r="R47" s="256"/>
      <c r="S47" s="256"/>
      <c r="T47" s="256"/>
      <c r="U47" s="256"/>
      <c r="V47" s="307" t="s">
        <v>46</v>
      </c>
      <c r="W47" s="307"/>
      <c r="X47" s="313"/>
      <c r="Y47" s="372">
        <f>Y42+Y45</f>
        <v>0</v>
      </c>
      <c r="Z47" s="265" t="s">
        <v>85</v>
      </c>
      <c r="AB47" s="265"/>
    </row>
    <row r="48" spans="2:40" x14ac:dyDescent="0.25">
      <c r="Q48" s="314"/>
      <c r="R48" s="315"/>
      <c r="S48" s="315"/>
      <c r="T48" s="315"/>
      <c r="U48" s="315"/>
      <c r="V48" s="316"/>
      <c r="W48" s="316"/>
      <c r="X48" s="301"/>
      <c r="Y48" s="317"/>
    </row>
    <row r="49" spans="2:28" x14ac:dyDescent="0.25">
      <c r="B49" s="281" t="s">
        <v>27</v>
      </c>
      <c r="F49" s="72" t="s">
        <v>101</v>
      </c>
      <c r="U49" s="281"/>
    </row>
    <row r="50" spans="2:28" x14ac:dyDescent="0.25">
      <c r="Q50" s="323" t="s">
        <v>53</v>
      </c>
      <c r="U50" s="281"/>
    </row>
    <row r="55" spans="2:28" x14ac:dyDescent="0.25">
      <c r="D55" s="282" t="s">
        <v>28</v>
      </c>
      <c r="E55" s="282"/>
      <c r="I55" s="249" t="s">
        <v>0</v>
      </c>
      <c r="J55" s="250" t="s">
        <v>1</v>
      </c>
      <c r="K55" s="251" t="s">
        <v>2</v>
      </c>
    </row>
    <row r="56" spans="2:28" ht="12.75" customHeight="1" x14ac:dyDescent="0.25">
      <c r="I56" s="252" t="s">
        <v>83</v>
      </c>
      <c r="J56" s="252"/>
      <c r="K56" s="252" t="s">
        <v>3</v>
      </c>
      <c r="L56" s="252" t="s">
        <v>4</v>
      </c>
      <c r="M56" s="438" t="s">
        <v>5</v>
      </c>
      <c r="N56" s="438"/>
      <c r="O56" s="438"/>
      <c r="P56" s="438"/>
      <c r="Q56" s="438"/>
      <c r="R56" s="438"/>
      <c r="S56" s="438"/>
      <c r="T56" s="438"/>
      <c r="U56" s="438"/>
      <c r="V56" s="438"/>
      <c r="W56" s="438"/>
      <c r="X56" s="438"/>
      <c r="Y56" s="438"/>
      <c r="Z56" s="438"/>
      <c r="AA56" s="438"/>
      <c r="AB56" s="418"/>
    </row>
    <row r="57" spans="2:28" x14ac:dyDescent="0.25">
      <c r="M57" s="281" t="s">
        <v>84</v>
      </c>
    </row>
  </sheetData>
  <mergeCells count="9">
    <mergeCell ref="AA7:AE7"/>
    <mergeCell ref="AG7:AL7"/>
    <mergeCell ref="M56:AA56"/>
    <mergeCell ref="F4:I4"/>
    <mergeCell ref="F5:I5"/>
    <mergeCell ref="L5:N5"/>
    <mergeCell ref="O5:R5"/>
    <mergeCell ref="F6:I6"/>
    <mergeCell ref="X6:Y6"/>
  </mergeCells>
  <hyperlinks>
    <hyperlink ref="F49"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N57"/>
  <sheetViews>
    <sheetView zoomScale="80" zoomScaleNormal="80" zoomScaleSheetLayoutView="90" workbookViewId="0">
      <selection activeCell="D20" sqref="D20"/>
    </sheetView>
  </sheetViews>
  <sheetFormatPr defaultColWidth="9.109375" defaultRowHeight="13.2" x14ac:dyDescent="0.25"/>
  <cols>
    <col min="1" max="1" width="2.109375" style="51" customWidth="1"/>
    <col min="2" max="2" width="7.44140625" style="51" customWidth="1"/>
    <col min="3" max="3" width="6.5546875" style="51" customWidth="1"/>
    <col min="4" max="4" width="8" style="51" customWidth="1"/>
    <col min="5" max="5" width="11" style="51" customWidth="1"/>
    <col min="6" max="6" width="9.44140625" style="4" customWidth="1"/>
    <col min="7" max="7" width="8.44140625" style="4" customWidth="1"/>
    <col min="8" max="8" width="15.44140625" style="51" customWidth="1"/>
    <col min="9" max="9" width="14.6640625" style="51" customWidth="1"/>
    <col min="10" max="10" width="14.88671875" style="51" customWidth="1"/>
    <col min="11" max="11" width="15.6640625" style="51" customWidth="1"/>
    <col min="12" max="12" width="13.5546875" style="51" customWidth="1"/>
    <col min="13" max="13" width="14" style="51" customWidth="1"/>
    <col min="14" max="14" width="11.5546875" style="51" customWidth="1"/>
    <col min="15" max="15" width="10.88671875" style="51" customWidth="1"/>
    <col min="16" max="17" width="12.33203125" style="242" bestFit="1" customWidth="1"/>
    <col min="18" max="18" width="11.6640625" style="51" customWidth="1"/>
    <col min="19" max="19" width="14.44140625" style="51" customWidth="1"/>
    <col min="20" max="20" width="12.5546875" style="51" bestFit="1" customWidth="1"/>
    <col min="21" max="21" width="14" style="19" customWidth="1"/>
    <col min="22" max="23" width="14" style="241" customWidth="1"/>
    <col min="24" max="24" width="13.109375" style="51" customWidth="1"/>
    <col min="25" max="25" width="13.44140625" style="51" customWidth="1"/>
    <col min="26" max="26" width="8.109375" style="51" customWidth="1"/>
    <col min="27" max="31" width="10" style="51" customWidth="1"/>
    <col min="32" max="32" width="10" style="4" customWidth="1"/>
    <col min="33" max="33" width="12" style="4" bestFit="1" customWidth="1"/>
    <col min="34" max="34" width="11.33203125" style="51" bestFit="1" customWidth="1"/>
    <col min="35" max="35" width="12.109375" style="51" customWidth="1"/>
    <col min="36" max="36" width="11.33203125" style="51" bestFit="1" customWidth="1"/>
    <col min="37" max="37" width="14.109375" style="51" customWidth="1"/>
    <col min="38" max="38" width="11.33203125" style="51" bestFit="1" customWidth="1"/>
    <col min="39" max="39" width="15.109375" style="51" customWidth="1"/>
    <col min="40" max="40" width="15.88671875" style="4" customWidth="1"/>
    <col min="41" max="41" width="12.33203125" style="51" bestFit="1" customWidth="1"/>
    <col min="42" max="16384" width="9.109375" style="51"/>
  </cols>
  <sheetData>
    <row r="1" spans="1:40" x14ac:dyDescent="0.25">
      <c r="A1" s="256"/>
      <c r="B1" s="256"/>
      <c r="C1" s="256"/>
      <c r="D1" s="256"/>
      <c r="E1" s="256"/>
      <c r="F1" s="348"/>
      <c r="G1" s="348"/>
      <c r="H1" s="256"/>
      <c r="I1" s="348"/>
      <c r="J1" s="348"/>
      <c r="K1" s="348"/>
      <c r="L1" s="348"/>
      <c r="M1" s="383"/>
      <c r="N1" s="383"/>
      <c r="O1" s="383"/>
      <c r="P1" s="383"/>
      <c r="Q1" s="383"/>
      <c r="R1" s="383"/>
      <c r="S1" s="383"/>
      <c r="T1" s="383"/>
      <c r="U1" s="383"/>
      <c r="V1" s="383"/>
      <c r="W1" s="383"/>
      <c r="X1" s="383"/>
      <c r="Y1" s="383"/>
      <c r="Z1" s="383"/>
      <c r="AA1" s="120"/>
      <c r="AB1" s="133"/>
      <c r="AC1" s="120"/>
      <c r="AD1" s="120"/>
      <c r="AE1" s="120"/>
      <c r="AF1" s="108"/>
      <c r="AG1" s="108"/>
      <c r="AH1" s="120"/>
      <c r="AI1" s="133"/>
      <c r="AJ1" s="120"/>
      <c r="AK1" s="120"/>
      <c r="AL1" s="120"/>
      <c r="AM1" s="120"/>
      <c r="AN1" s="108"/>
    </row>
    <row r="3" spans="1:40" ht="13.8" thickBot="1" x14ac:dyDescent="0.3">
      <c r="F3" s="118" t="s">
        <v>60</v>
      </c>
      <c r="J3" s="4"/>
      <c r="K3" s="39"/>
    </row>
    <row r="4" spans="1:40" ht="14.25" customHeight="1" thickBot="1" x14ac:dyDescent="0.35">
      <c r="F4" s="439" t="s">
        <v>16</v>
      </c>
      <c r="G4" s="440"/>
      <c r="H4" s="441"/>
      <c r="I4" s="441"/>
      <c r="J4" s="403">
        <v>40544</v>
      </c>
      <c r="K4" s="39"/>
      <c r="L4" s="128" t="s">
        <v>99</v>
      </c>
    </row>
    <row r="5" spans="1:40" ht="14.25" customHeight="1" x14ac:dyDescent="0.25">
      <c r="F5" s="439" t="s">
        <v>26</v>
      </c>
      <c r="G5" s="440"/>
      <c r="H5" s="441"/>
      <c r="I5" s="441"/>
      <c r="J5" s="412">
        <f>DATE(YEAR(J4),12,31)-J4</f>
        <v>364</v>
      </c>
      <c r="K5" s="39"/>
      <c r="L5" s="447" t="s">
        <v>66</v>
      </c>
      <c r="M5" s="448"/>
      <c r="N5" s="440"/>
      <c r="O5" s="449" t="s">
        <v>90</v>
      </c>
      <c r="P5" s="450"/>
      <c r="Q5" s="450"/>
      <c r="R5" s="451"/>
    </row>
    <row r="6" spans="1:40" ht="13.8" thickBot="1" x14ac:dyDescent="0.3">
      <c r="B6" s="41"/>
      <c r="C6" s="21" t="s">
        <v>24</v>
      </c>
      <c r="F6" s="442" t="s">
        <v>25</v>
      </c>
      <c r="G6" s="443"/>
      <c r="H6" s="444"/>
      <c r="I6" s="444"/>
      <c r="J6" s="404">
        <v>100000000</v>
      </c>
      <c r="U6" s="241"/>
      <c r="X6" s="445" t="s">
        <v>81</v>
      </c>
      <c r="Y6" s="446"/>
    </row>
    <row r="7" spans="1:40" ht="27.75" customHeight="1" thickBot="1" x14ac:dyDescent="0.3">
      <c r="U7" s="241"/>
      <c r="X7" s="242"/>
      <c r="Y7" s="242"/>
      <c r="AA7" s="435" t="s">
        <v>73</v>
      </c>
      <c r="AB7" s="436"/>
      <c r="AC7" s="436"/>
      <c r="AD7" s="436"/>
      <c r="AE7" s="437"/>
      <c r="AF7" s="417"/>
      <c r="AG7" s="435" t="s">
        <v>64</v>
      </c>
      <c r="AH7" s="436"/>
      <c r="AI7" s="436"/>
      <c r="AJ7" s="436"/>
      <c r="AK7" s="436"/>
      <c r="AL7" s="437"/>
      <c r="AM7" s="21"/>
      <c r="AN7" s="51"/>
    </row>
    <row r="8" spans="1:40" s="21" customFormat="1" ht="53.4" thickBot="1" x14ac:dyDescent="0.3">
      <c r="B8" s="377" t="s">
        <v>6</v>
      </c>
      <c r="C8" s="378" t="s">
        <v>23</v>
      </c>
      <c r="D8" s="386" t="s">
        <v>19</v>
      </c>
      <c r="E8" s="387" t="s">
        <v>82</v>
      </c>
      <c r="F8" s="378" t="s">
        <v>59</v>
      </c>
      <c r="G8" s="378" t="s">
        <v>58</v>
      </c>
      <c r="H8" s="378" t="s">
        <v>13</v>
      </c>
      <c r="I8" s="378" t="s">
        <v>14</v>
      </c>
      <c r="J8" s="378" t="s">
        <v>7</v>
      </c>
      <c r="K8" s="378" t="s">
        <v>15</v>
      </c>
      <c r="L8" s="378" t="s">
        <v>17</v>
      </c>
      <c r="M8" s="378" t="s">
        <v>8</v>
      </c>
      <c r="N8" s="378" t="s">
        <v>9</v>
      </c>
      <c r="O8" s="378" t="s">
        <v>10</v>
      </c>
      <c r="P8" s="388" t="s">
        <v>78</v>
      </c>
      <c r="Q8" s="378" t="s">
        <v>77</v>
      </c>
      <c r="R8" s="378" t="s">
        <v>11</v>
      </c>
      <c r="S8" s="378" t="s">
        <v>49</v>
      </c>
      <c r="T8" s="283" t="s">
        <v>12</v>
      </c>
      <c r="U8" s="272" t="s">
        <v>89</v>
      </c>
      <c r="V8" s="272" t="s">
        <v>76</v>
      </c>
      <c r="W8" s="272" t="s">
        <v>79</v>
      </c>
      <c r="X8" s="272" t="s">
        <v>87</v>
      </c>
      <c r="Y8" s="291" t="s">
        <v>88</v>
      </c>
      <c r="AA8" s="138" t="str">
        <f>O5</f>
        <v>OSR 500</v>
      </c>
      <c r="AB8" s="413" t="s">
        <v>31</v>
      </c>
      <c r="AC8" s="410" t="s">
        <v>32</v>
      </c>
      <c r="AD8" s="410" t="s">
        <v>33</v>
      </c>
      <c r="AE8" s="67" t="s">
        <v>72</v>
      </c>
      <c r="AF8" s="121" t="s">
        <v>63</v>
      </c>
      <c r="AG8" s="147" t="str">
        <f>AA8</f>
        <v>OSR 500</v>
      </c>
      <c r="AH8" s="66" t="str">
        <f>AB8</f>
        <v>OSR Project 1</v>
      </c>
      <c r="AI8" s="66" t="str">
        <f>AC8</f>
        <v>OSR Project 2</v>
      </c>
      <c r="AJ8" s="66" t="str">
        <f>AD8</f>
        <v>OSR Project 3</v>
      </c>
      <c r="AK8" s="378" t="s">
        <v>49</v>
      </c>
      <c r="AL8" s="126" t="s">
        <v>65</v>
      </c>
      <c r="AM8" s="51"/>
    </row>
    <row r="9" spans="1:40" ht="13.8" thickBot="1" x14ac:dyDescent="0.3">
      <c r="B9" s="396"/>
      <c r="C9" s="276"/>
      <c r="D9" s="279"/>
      <c r="E9" s="295"/>
      <c r="F9" s="277"/>
      <c r="G9" s="277"/>
      <c r="H9" s="277"/>
      <c r="I9" s="277"/>
      <c r="J9" s="277"/>
      <c r="K9" s="278"/>
      <c r="L9" s="277"/>
      <c r="M9" s="277"/>
      <c r="N9" s="277"/>
      <c r="O9" s="277"/>
      <c r="P9" s="277"/>
      <c r="Q9" s="277"/>
      <c r="R9" s="277"/>
      <c r="S9" s="277"/>
      <c r="T9" s="284"/>
      <c r="U9" s="288"/>
      <c r="V9" s="288"/>
      <c r="W9" s="288"/>
      <c r="X9" s="266"/>
      <c r="Y9" s="389"/>
      <c r="AA9" s="139"/>
      <c r="AB9" s="136"/>
      <c r="AC9" s="22"/>
      <c r="AD9" s="22"/>
      <c r="AE9" s="109"/>
      <c r="AF9" s="321"/>
      <c r="AG9" s="148"/>
      <c r="AH9" s="22"/>
      <c r="AI9" s="22"/>
      <c r="AJ9" s="22"/>
      <c r="AK9" s="77"/>
      <c r="AL9" s="135" t="str">
        <f>O5</f>
        <v>OSR 500</v>
      </c>
      <c r="AM9" s="49"/>
      <c r="AN9" s="51"/>
    </row>
    <row r="10" spans="1:40" x14ac:dyDescent="0.25">
      <c r="B10" s="390">
        <v>1</v>
      </c>
      <c r="C10" s="269">
        <f>YEAR(J4)</f>
        <v>2011</v>
      </c>
      <c r="D10" s="273">
        <v>3.2899999999999999E-2</v>
      </c>
      <c r="E10" s="401">
        <v>1000</v>
      </c>
      <c r="F10" s="401">
        <v>800</v>
      </c>
      <c r="G10" s="402">
        <v>0.04</v>
      </c>
      <c r="H10" s="263">
        <f>J6</f>
        <v>100000000</v>
      </c>
      <c r="I10" s="263">
        <f>H10</f>
        <v>100000000</v>
      </c>
      <c r="J10" s="263">
        <f>(H10*G10)*J5/365</f>
        <v>3989041.0958904112</v>
      </c>
      <c r="K10" s="263">
        <f>I10-J10</f>
        <v>96010958.904109582</v>
      </c>
      <c r="L10" s="382">
        <f>IFERROR(((I10+K10)/2)*D10*J5/365,"")</f>
        <v>3215546.3554137731</v>
      </c>
      <c r="M10" s="263">
        <f>IFERROR(L10+J10,"")</f>
        <v>7204587.4513041843</v>
      </c>
      <c r="N10" s="381">
        <f t="shared" ref="N10:N36" si="0">IFERROR(IF(F10/E10&gt;0.75,M10/F10,M10/(E10*0.75))," ")</f>
        <v>9005.7343141302299</v>
      </c>
      <c r="O10" s="405">
        <v>1000000</v>
      </c>
      <c r="P10" s="374">
        <f>IF(V10="Yes",U10,0)</f>
        <v>0</v>
      </c>
      <c r="Q10" s="374">
        <f>IFERROR(O10+P10,"")</f>
        <v>1000000</v>
      </c>
      <c r="R10" s="374">
        <f>IFERROR(Q10/F10," ")</f>
        <v>1250</v>
      </c>
      <c r="S10" s="374">
        <f>IFERROR((M10+Q10),"")</f>
        <v>8204587.4513041843</v>
      </c>
      <c r="T10" s="285">
        <f t="shared" ref="T10:T36" si="1">IFERROR(N10+R10," ")</f>
        <v>10255.73431413023</v>
      </c>
      <c r="U10" s="406">
        <v>0</v>
      </c>
      <c r="V10" s="399" t="str">
        <f t="shared" ref="V10:V36" si="2">IF(U10&lt;(H10*0.1),"Yes","No")</f>
        <v>Yes</v>
      </c>
      <c r="W10" s="243">
        <f>IF(V10="No",U10,0)</f>
        <v>0</v>
      </c>
      <c r="X10" s="406">
        <v>0</v>
      </c>
      <c r="Y10" s="391"/>
      <c r="AA10" s="414">
        <v>600</v>
      </c>
      <c r="AB10" s="411">
        <v>25</v>
      </c>
      <c r="AC10" s="405">
        <v>50</v>
      </c>
      <c r="AD10" s="405">
        <v>125</v>
      </c>
      <c r="AE10" s="141">
        <f t="shared" ref="AE10:AE36" si="3">SUM(AA10:AD10)</f>
        <v>800</v>
      </c>
      <c r="AF10" s="125" t="str">
        <f t="shared" ref="AF10:AF36" si="4">IF(F10=AE10,"Match","Error")</f>
        <v>Match</v>
      </c>
      <c r="AG10" s="149">
        <f t="shared" ref="AG10:AG36" si="5">IFERROR(AA10*T10," ")</f>
        <v>6153440.5884781377</v>
      </c>
      <c r="AH10" s="129">
        <f t="shared" ref="AH10:AH36" si="6">IFERROR(AB10*T10," ")</f>
        <v>256393.35785325576</v>
      </c>
      <c r="AI10" s="130">
        <f t="shared" ref="AI10:AI36" si="7">IFERROR(AC10*T10," ")</f>
        <v>512786.71570651152</v>
      </c>
      <c r="AJ10" s="130">
        <f t="shared" ref="AJ10:AJ36" si="8">IFERROR(AD10*T10," ")</f>
        <v>1281966.7892662787</v>
      </c>
      <c r="AK10" s="131">
        <f t="shared" ref="AK10:AK36" si="9">SUM(AG10:AJ10)</f>
        <v>8204587.4513041843</v>
      </c>
      <c r="AL10" s="137">
        <f t="shared" ref="AL10:AL36" si="10">SUM(AH10:AJ10)</f>
        <v>2051146.8628260461</v>
      </c>
      <c r="AM10" s="49"/>
      <c r="AN10" s="51"/>
    </row>
    <row r="11" spans="1:40" x14ac:dyDescent="0.25">
      <c r="B11" s="392">
        <v>2</v>
      </c>
      <c r="C11" s="269">
        <f>C10+1</f>
        <v>2012</v>
      </c>
      <c r="D11" s="273">
        <v>2.4299999999999999E-2</v>
      </c>
      <c r="E11" s="401">
        <v>1000</v>
      </c>
      <c r="F11" s="401">
        <v>800</v>
      </c>
      <c r="G11" s="402">
        <v>0.04</v>
      </c>
      <c r="H11" s="262">
        <f>H10+W10+X10</f>
        <v>100000000</v>
      </c>
      <c r="I11" s="262">
        <f>K10+W10+Y10</f>
        <v>96010958.904109582</v>
      </c>
      <c r="J11" s="262">
        <f t="shared" ref="J11:J36" si="11">IF((H11*G11)&gt;I11,I11,(H11*G11))</f>
        <v>4000000</v>
      </c>
      <c r="K11" s="262">
        <f t="shared" ref="K11:K36" si="12">I11-J11</f>
        <v>92010958.904109582</v>
      </c>
      <c r="L11" s="262">
        <f>IFERROR(((I11+K11)/2)*D11,"")</f>
        <v>2284466.3013698626</v>
      </c>
      <c r="M11" s="263">
        <f t="shared" ref="M11:M36" si="13">IFERROR(L11+J11,"")</f>
        <v>6284466.3013698626</v>
      </c>
      <c r="N11" s="381">
        <f t="shared" si="0"/>
        <v>7855.5828767123285</v>
      </c>
      <c r="O11" s="405">
        <v>1000000</v>
      </c>
      <c r="P11" s="375">
        <f t="shared" ref="P11:P36" si="14">IF(V11="Yes",U11,0)</f>
        <v>0</v>
      </c>
      <c r="Q11" s="375">
        <f t="shared" ref="Q11:Q36" si="15">IFERROR(O11+P11,"")</f>
        <v>1000000</v>
      </c>
      <c r="R11" s="375">
        <f t="shared" ref="R11:R36" si="16">IFERROR(Q11/F11," ")</f>
        <v>1250</v>
      </c>
      <c r="S11" s="375">
        <f t="shared" ref="S11:S36" si="17">IFERROR(M11+Q11,"")</f>
        <v>7284466.3013698626</v>
      </c>
      <c r="T11" s="285">
        <f t="shared" si="1"/>
        <v>9105.5828767123276</v>
      </c>
      <c r="U11" s="406">
        <v>0</v>
      </c>
      <c r="V11" s="399" t="str">
        <f t="shared" si="2"/>
        <v>Yes</v>
      </c>
      <c r="W11" s="243">
        <f t="shared" ref="W11:W36" si="18">IF(V11="No",U11,0)</f>
        <v>0</v>
      </c>
      <c r="X11" s="406">
        <v>0</v>
      </c>
      <c r="Y11" s="391"/>
      <c r="AA11" s="414">
        <v>600</v>
      </c>
      <c r="AB11" s="411">
        <v>25</v>
      </c>
      <c r="AC11" s="405">
        <v>50</v>
      </c>
      <c r="AD11" s="405">
        <v>125</v>
      </c>
      <c r="AE11" s="142">
        <f t="shared" si="3"/>
        <v>800</v>
      </c>
      <c r="AF11" s="125" t="str">
        <f t="shared" si="4"/>
        <v>Match</v>
      </c>
      <c r="AG11" s="150">
        <f t="shared" si="5"/>
        <v>5463349.7260273965</v>
      </c>
      <c r="AH11" s="70">
        <f t="shared" si="6"/>
        <v>227639.57191780818</v>
      </c>
      <c r="AI11" s="65">
        <f t="shared" si="7"/>
        <v>455279.14383561636</v>
      </c>
      <c r="AJ11" s="65">
        <f t="shared" si="8"/>
        <v>1138197.859589041</v>
      </c>
      <c r="AK11" s="132">
        <f t="shared" si="9"/>
        <v>7284466.3013698626</v>
      </c>
      <c r="AL11" s="137">
        <f t="shared" si="10"/>
        <v>1821116.5753424657</v>
      </c>
      <c r="AM11" s="49"/>
      <c r="AN11" s="51"/>
    </row>
    <row r="12" spans="1:40" x14ac:dyDescent="0.25">
      <c r="B12" s="392">
        <v>3</v>
      </c>
      <c r="C12" s="269">
        <f t="shared" ref="C12:C36" si="19">C11+1</f>
        <v>2013</v>
      </c>
      <c r="D12" s="273">
        <v>2.8400000000000002E-2</v>
      </c>
      <c r="E12" s="401">
        <v>1000</v>
      </c>
      <c r="F12" s="401">
        <v>800</v>
      </c>
      <c r="G12" s="402">
        <v>0.04</v>
      </c>
      <c r="H12" s="267">
        <f t="shared" ref="H12:H36" si="20">H11+W11+X11</f>
        <v>100000000</v>
      </c>
      <c r="I12" s="267">
        <f t="shared" ref="I12:I36" si="21">K11+W11+Y11</f>
        <v>92010958.904109582</v>
      </c>
      <c r="J12" s="267">
        <f t="shared" si="11"/>
        <v>4000000</v>
      </c>
      <c r="K12" s="267">
        <f t="shared" si="12"/>
        <v>88010958.904109582</v>
      </c>
      <c r="L12" s="262">
        <f t="shared" ref="L12:L36" si="22">IFERROR(((I12+K12)/2)*D12,"")</f>
        <v>2556311.2328767125</v>
      </c>
      <c r="M12" s="268">
        <f t="shared" si="13"/>
        <v>6556311.2328767125</v>
      </c>
      <c r="N12" s="381">
        <f t="shared" si="0"/>
        <v>8195.3890410958902</v>
      </c>
      <c r="O12" s="405">
        <v>1000000</v>
      </c>
      <c r="P12" s="376">
        <f t="shared" si="14"/>
        <v>1000000</v>
      </c>
      <c r="Q12" s="376">
        <f t="shared" si="15"/>
        <v>2000000</v>
      </c>
      <c r="R12" s="376">
        <f t="shared" si="16"/>
        <v>2500</v>
      </c>
      <c r="S12" s="376">
        <f t="shared" si="17"/>
        <v>8556311.2328767125</v>
      </c>
      <c r="T12" s="285">
        <f t="shared" si="1"/>
        <v>10695.38904109589</v>
      </c>
      <c r="U12" s="406">
        <v>1000000</v>
      </c>
      <c r="V12" s="399" t="str">
        <f t="shared" si="2"/>
        <v>Yes</v>
      </c>
      <c r="W12" s="243">
        <f t="shared" si="18"/>
        <v>0</v>
      </c>
      <c r="X12" s="406">
        <v>0</v>
      </c>
      <c r="Y12" s="391"/>
      <c r="AA12" s="414">
        <v>600</v>
      </c>
      <c r="AB12" s="411">
        <v>25</v>
      </c>
      <c r="AC12" s="405">
        <v>50</v>
      </c>
      <c r="AD12" s="405">
        <v>125</v>
      </c>
      <c r="AE12" s="142">
        <f t="shared" si="3"/>
        <v>800</v>
      </c>
      <c r="AF12" s="125" t="str">
        <f t="shared" si="4"/>
        <v>Match</v>
      </c>
      <c r="AG12" s="150">
        <f t="shared" si="5"/>
        <v>6417233.4246575339</v>
      </c>
      <c r="AH12" s="70">
        <f t="shared" si="6"/>
        <v>267384.72602739726</v>
      </c>
      <c r="AI12" s="65">
        <f t="shared" si="7"/>
        <v>534769.45205479453</v>
      </c>
      <c r="AJ12" s="65">
        <f t="shared" si="8"/>
        <v>1336923.6301369863</v>
      </c>
      <c r="AK12" s="132">
        <f t="shared" si="9"/>
        <v>8556311.2328767125</v>
      </c>
      <c r="AL12" s="137">
        <f t="shared" si="10"/>
        <v>2139077.8082191781</v>
      </c>
      <c r="AM12" s="49"/>
      <c r="AN12" s="51"/>
    </row>
    <row r="13" spans="1:40" x14ac:dyDescent="0.25">
      <c r="B13" s="392">
        <v>4</v>
      </c>
      <c r="C13" s="269">
        <f t="shared" si="19"/>
        <v>2014</v>
      </c>
      <c r="D13" s="273">
        <v>2.7300000000000001E-2</v>
      </c>
      <c r="E13" s="401">
        <v>1000</v>
      </c>
      <c r="F13" s="401">
        <v>800</v>
      </c>
      <c r="G13" s="402">
        <v>0.04</v>
      </c>
      <c r="H13" s="262">
        <f t="shared" si="20"/>
        <v>100000000</v>
      </c>
      <c r="I13" s="262">
        <f t="shared" si="21"/>
        <v>88010958.904109582</v>
      </c>
      <c r="J13" s="262">
        <f t="shared" si="11"/>
        <v>4000000</v>
      </c>
      <c r="K13" s="262">
        <f t="shared" si="12"/>
        <v>84010958.904109582</v>
      </c>
      <c r="L13" s="262">
        <f t="shared" si="22"/>
        <v>2348099.1780821919</v>
      </c>
      <c r="M13" s="263">
        <f t="shared" si="13"/>
        <v>6348099.1780821923</v>
      </c>
      <c r="N13" s="381">
        <f t="shared" si="0"/>
        <v>7935.1239726027407</v>
      </c>
      <c r="O13" s="405">
        <v>1000000</v>
      </c>
      <c r="P13" s="375">
        <f t="shared" si="14"/>
        <v>0</v>
      </c>
      <c r="Q13" s="375">
        <f t="shared" si="15"/>
        <v>1000000</v>
      </c>
      <c r="R13" s="375">
        <f t="shared" si="16"/>
        <v>1250</v>
      </c>
      <c r="S13" s="375">
        <f t="shared" si="17"/>
        <v>7348099.1780821923</v>
      </c>
      <c r="T13" s="285">
        <f t="shared" si="1"/>
        <v>9185.1239726027416</v>
      </c>
      <c r="U13" s="406">
        <v>0</v>
      </c>
      <c r="V13" s="399" t="str">
        <f t="shared" si="2"/>
        <v>Yes</v>
      </c>
      <c r="W13" s="243">
        <f t="shared" si="18"/>
        <v>0</v>
      </c>
      <c r="X13" s="406">
        <v>0</v>
      </c>
      <c r="Y13" s="391"/>
      <c r="AA13" s="414">
        <v>600</v>
      </c>
      <c r="AB13" s="411">
        <v>25</v>
      </c>
      <c r="AC13" s="405">
        <v>50</v>
      </c>
      <c r="AD13" s="405">
        <v>125</v>
      </c>
      <c r="AE13" s="142">
        <f t="shared" si="3"/>
        <v>800</v>
      </c>
      <c r="AF13" s="125" t="str">
        <f t="shared" si="4"/>
        <v>Match</v>
      </c>
      <c r="AG13" s="150">
        <f t="shared" si="5"/>
        <v>5511074.3835616447</v>
      </c>
      <c r="AH13" s="70">
        <f t="shared" si="6"/>
        <v>229628.09931506854</v>
      </c>
      <c r="AI13" s="65">
        <f t="shared" si="7"/>
        <v>459256.19863013708</v>
      </c>
      <c r="AJ13" s="65">
        <f t="shared" si="8"/>
        <v>1148140.4965753427</v>
      </c>
      <c r="AK13" s="132">
        <f t="shared" si="9"/>
        <v>7348099.1780821932</v>
      </c>
      <c r="AL13" s="137">
        <f t="shared" si="10"/>
        <v>1837024.7945205483</v>
      </c>
      <c r="AM13" s="49"/>
      <c r="AN13" s="51"/>
    </row>
    <row r="14" spans="1:40" x14ac:dyDescent="0.25">
      <c r="B14" s="392">
        <v>5</v>
      </c>
      <c r="C14" s="269">
        <f t="shared" si="19"/>
        <v>2015</v>
      </c>
      <c r="D14" s="398">
        <v>2.1700000000000001E-2</v>
      </c>
      <c r="E14" s="401">
        <v>1000</v>
      </c>
      <c r="F14" s="401">
        <v>800</v>
      </c>
      <c r="G14" s="402">
        <v>0.04</v>
      </c>
      <c r="H14" s="262">
        <f t="shared" si="20"/>
        <v>100000000</v>
      </c>
      <c r="I14" s="262">
        <f t="shared" si="21"/>
        <v>84010958.904109582</v>
      </c>
      <c r="J14" s="262">
        <f t="shared" si="11"/>
        <v>4000000</v>
      </c>
      <c r="K14" s="262">
        <f t="shared" si="12"/>
        <v>80010958.904109582</v>
      </c>
      <c r="L14" s="262">
        <f t="shared" si="22"/>
        <v>1779637.8082191779</v>
      </c>
      <c r="M14" s="263">
        <f t="shared" si="13"/>
        <v>5779637.8082191776</v>
      </c>
      <c r="N14" s="381">
        <f t="shared" si="0"/>
        <v>7224.5472602739719</v>
      </c>
      <c r="O14" s="405">
        <v>1000000</v>
      </c>
      <c r="P14" s="375">
        <f t="shared" si="14"/>
        <v>0</v>
      </c>
      <c r="Q14" s="375">
        <f t="shared" si="15"/>
        <v>1000000</v>
      </c>
      <c r="R14" s="375">
        <f t="shared" si="16"/>
        <v>1250</v>
      </c>
      <c r="S14" s="375">
        <f t="shared" si="17"/>
        <v>6779637.8082191776</v>
      </c>
      <c r="T14" s="285">
        <f t="shared" si="1"/>
        <v>8474.5472602739719</v>
      </c>
      <c r="U14" s="406">
        <v>0</v>
      </c>
      <c r="V14" s="399" t="str">
        <f t="shared" si="2"/>
        <v>Yes</v>
      </c>
      <c r="W14" s="243">
        <f t="shared" si="18"/>
        <v>0</v>
      </c>
      <c r="X14" s="406">
        <v>0</v>
      </c>
      <c r="Y14" s="391"/>
      <c r="AA14" s="414">
        <v>600</v>
      </c>
      <c r="AB14" s="411">
        <v>25</v>
      </c>
      <c r="AC14" s="405">
        <v>50</v>
      </c>
      <c r="AD14" s="405">
        <v>125</v>
      </c>
      <c r="AE14" s="142">
        <f t="shared" si="3"/>
        <v>800</v>
      </c>
      <c r="AF14" s="125" t="str">
        <f t="shared" si="4"/>
        <v>Match</v>
      </c>
      <c r="AG14" s="150">
        <f t="shared" si="5"/>
        <v>5084728.3561643828</v>
      </c>
      <c r="AH14" s="70">
        <f t="shared" si="6"/>
        <v>211863.6815068493</v>
      </c>
      <c r="AI14" s="65">
        <f t="shared" si="7"/>
        <v>423727.3630136986</v>
      </c>
      <c r="AJ14" s="65">
        <f t="shared" si="8"/>
        <v>1059318.4075342466</v>
      </c>
      <c r="AK14" s="132">
        <f t="shared" si="9"/>
        <v>6779637.8082191767</v>
      </c>
      <c r="AL14" s="137">
        <f t="shared" si="10"/>
        <v>1694909.4520547944</v>
      </c>
      <c r="AM14" s="49"/>
      <c r="AN14" s="51"/>
    </row>
    <row r="15" spans="1:40" x14ac:dyDescent="0.25">
      <c r="B15" s="392">
        <v>6</v>
      </c>
      <c r="C15" s="269">
        <f t="shared" si="19"/>
        <v>2016</v>
      </c>
      <c r="D15" s="398">
        <v>1.9199999999999998E-2</v>
      </c>
      <c r="E15" s="401">
        <v>1000</v>
      </c>
      <c r="F15" s="401">
        <v>800</v>
      </c>
      <c r="G15" s="402">
        <v>0.04</v>
      </c>
      <c r="H15" s="262">
        <f t="shared" si="20"/>
        <v>100000000</v>
      </c>
      <c r="I15" s="262">
        <f t="shared" si="21"/>
        <v>80010958.904109582</v>
      </c>
      <c r="J15" s="262">
        <f t="shared" si="11"/>
        <v>4000000</v>
      </c>
      <c r="K15" s="262">
        <f t="shared" si="12"/>
        <v>76010958.904109582</v>
      </c>
      <c r="L15" s="262">
        <f>IFERROR(((I15+K15)/2)*D15,"")</f>
        <v>1497810.4109589038</v>
      </c>
      <c r="M15" s="263">
        <f t="shared" si="13"/>
        <v>5497810.4109589038</v>
      </c>
      <c r="N15" s="381">
        <f t="shared" si="0"/>
        <v>6872.2630136986299</v>
      </c>
      <c r="O15" s="405">
        <v>1000000</v>
      </c>
      <c r="P15" s="375">
        <f t="shared" si="14"/>
        <v>0</v>
      </c>
      <c r="Q15" s="375">
        <f t="shared" si="15"/>
        <v>1000000</v>
      </c>
      <c r="R15" s="375">
        <f t="shared" si="16"/>
        <v>1250</v>
      </c>
      <c r="S15" s="375">
        <f t="shared" si="17"/>
        <v>6497810.4109589038</v>
      </c>
      <c r="T15" s="285">
        <f t="shared" si="1"/>
        <v>8122.2630136986299</v>
      </c>
      <c r="U15" s="406">
        <v>0</v>
      </c>
      <c r="V15" s="399" t="str">
        <f t="shared" si="2"/>
        <v>Yes</v>
      </c>
      <c r="W15" s="243">
        <f t="shared" si="18"/>
        <v>0</v>
      </c>
      <c r="X15" s="406">
        <v>0</v>
      </c>
      <c r="Y15" s="391"/>
      <c r="AA15" s="414">
        <v>600</v>
      </c>
      <c r="AB15" s="411">
        <v>25</v>
      </c>
      <c r="AC15" s="405">
        <v>50</v>
      </c>
      <c r="AD15" s="405">
        <v>125</v>
      </c>
      <c r="AE15" s="142">
        <f t="shared" si="3"/>
        <v>800</v>
      </c>
      <c r="AF15" s="125" t="str">
        <f t="shared" si="4"/>
        <v>Match</v>
      </c>
      <c r="AG15" s="150">
        <f t="shared" si="5"/>
        <v>4873357.8082191776</v>
      </c>
      <c r="AH15" s="70">
        <f t="shared" si="6"/>
        <v>203056.57534246575</v>
      </c>
      <c r="AI15" s="65">
        <f t="shared" si="7"/>
        <v>406113.15068493149</v>
      </c>
      <c r="AJ15" s="65">
        <f t="shared" si="8"/>
        <v>1015282.8767123288</v>
      </c>
      <c r="AK15" s="132">
        <f t="shared" si="9"/>
        <v>6497810.4109589038</v>
      </c>
      <c r="AL15" s="137">
        <f t="shared" si="10"/>
        <v>1624452.602739726</v>
      </c>
      <c r="AM15" s="49"/>
      <c r="AN15" s="51"/>
    </row>
    <row r="16" spans="1:40" x14ac:dyDescent="0.25">
      <c r="B16" s="392">
        <v>7</v>
      </c>
      <c r="C16" s="269">
        <f t="shared" si="19"/>
        <v>2017</v>
      </c>
      <c r="D16" s="398">
        <f>IFERROR(VLOOKUP(C16,'LTBR &amp; RORC'!B$6:C$46,2,FALSE),"")</f>
        <v>2.2800000000000001E-2</v>
      </c>
      <c r="E16" s="401">
        <v>1000</v>
      </c>
      <c r="F16" s="401">
        <v>800</v>
      </c>
      <c r="G16" s="402">
        <v>0.04</v>
      </c>
      <c r="H16" s="262">
        <f t="shared" si="20"/>
        <v>100000000</v>
      </c>
      <c r="I16" s="262">
        <f t="shared" si="21"/>
        <v>76010958.904109582</v>
      </c>
      <c r="J16" s="262">
        <f t="shared" si="11"/>
        <v>4000000</v>
      </c>
      <c r="K16" s="262">
        <f t="shared" si="12"/>
        <v>72010958.904109582</v>
      </c>
      <c r="L16" s="262">
        <f>IFERROR(((I16+K16)/2)*D16,"")</f>
        <v>1687449.8630136985</v>
      </c>
      <c r="M16" s="263">
        <f t="shared" si="13"/>
        <v>5687449.8630136987</v>
      </c>
      <c r="N16" s="381">
        <f t="shared" si="0"/>
        <v>7109.3123287671233</v>
      </c>
      <c r="O16" s="405">
        <v>1000000</v>
      </c>
      <c r="P16" s="375">
        <f t="shared" si="14"/>
        <v>0</v>
      </c>
      <c r="Q16" s="375">
        <f t="shared" si="15"/>
        <v>1000000</v>
      </c>
      <c r="R16" s="375">
        <f t="shared" si="16"/>
        <v>1250</v>
      </c>
      <c r="S16" s="375">
        <f t="shared" si="17"/>
        <v>6687449.8630136987</v>
      </c>
      <c r="T16" s="285">
        <f t="shared" si="1"/>
        <v>8359.3123287671224</v>
      </c>
      <c r="U16" s="407">
        <v>25000000</v>
      </c>
      <c r="V16" s="400" t="str">
        <f t="shared" si="2"/>
        <v>No</v>
      </c>
      <c r="W16" s="244">
        <f>IF(V16="No",U16,0)</f>
        <v>25000000</v>
      </c>
      <c r="X16" s="407">
        <v>0</v>
      </c>
      <c r="Y16" s="391"/>
      <c r="AA16" s="414">
        <v>600</v>
      </c>
      <c r="AB16" s="411">
        <v>25</v>
      </c>
      <c r="AC16" s="405">
        <v>50</v>
      </c>
      <c r="AD16" s="405">
        <v>125</v>
      </c>
      <c r="AE16" s="142">
        <f t="shared" si="3"/>
        <v>800</v>
      </c>
      <c r="AF16" s="125" t="str">
        <f t="shared" si="4"/>
        <v>Match</v>
      </c>
      <c r="AG16" s="150">
        <f t="shared" si="5"/>
        <v>5015587.3972602738</v>
      </c>
      <c r="AH16" s="70">
        <f t="shared" si="6"/>
        <v>208982.80821917806</v>
      </c>
      <c r="AI16" s="65">
        <f t="shared" si="7"/>
        <v>417965.61643835611</v>
      </c>
      <c r="AJ16" s="65">
        <f t="shared" si="8"/>
        <v>1044914.0410958903</v>
      </c>
      <c r="AK16" s="132">
        <f t="shared" si="9"/>
        <v>6687449.8630136978</v>
      </c>
      <c r="AL16" s="137">
        <f t="shared" si="10"/>
        <v>1671862.4657534244</v>
      </c>
      <c r="AM16" s="49"/>
      <c r="AN16" s="51"/>
    </row>
    <row r="17" spans="2:40" x14ac:dyDescent="0.25">
      <c r="B17" s="392">
        <v>8</v>
      </c>
      <c r="C17" s="269">
        <f t="shared" si="19"/>
        <v>2018</v>
      </c>
      <c r="D17" s="398">
        <f>IFERROR(VLOOKUP(C17,'LTBR &amp; RORC'!B$6:C$46,2,FALSE),"")</f>
        <v>2.3300000000000001E-2</v>
      </c>
      <c r="E17" s="401">
        <v>1000</v>
      </c>
      <c r="F17" s="401">
        <v>800</v>
      </c>
      <c r="G17" s="402">
        <v>0.04</v>
      </c>
      <c r="H17" s="262">
        <f t="shared" si="20"/>
        <v>125000000</v>
      </c>
      <c r="I17" s="262">
        <f t="shared" si="21"/>
        <v>97010958.904109582</v>
      </c>
      <c r="J17" s="262">
        <f t="shared" si="11"/>
        <v>5000000</v>
      </c>
      <c r="K17" s="262">
        <f t="shared" si="12"/>
        <v>92010958.904109582</v>
      </c>
      <c r="L17" s="262">
        <f t="shared" si="22"/>
        <v>2202105.3424657532</v>
      </c>
      <c r="M17" s="263">
        <f t="shared" si="13"/>
        <v>7202105.3424657527</v>
      </c>
      <c r="N17" s="381">
        <f t="shared" si="0"/>
        <v>9002.6316780821908</v>
      </c>
      <c r="O17" s="405">
        <v>1000000</v>
      </c>
      <c r="P17" s="375">
        <f t="shared" si="14"/>
        <v>0</v>
      </c>
      <c r="Q17" s="375">
        <f t="shared" si="15"/>
        <v>1000000</v>
      </c>
      <c r="R17" s="375">
        <f t="shared" si="16"/>
        <v>1250</v>
      </c>
      <c r="S17" s="375">
        <f t="shared" si="17"/>
        <v>8202105.3424657527</v>
      </c>
      <c r="T17" s="285">
        <f t="shared" si="1"/>
        <v>10252.631678082191</v>
      </c>
      <c r="U17" s="407">
        <v>0</v>
      </c>
      <c r="V17" s="400" t="str">
        <f t="shared" si="2"/>
        <v>Yes</v>
      </c>
      <c r="W17" s="244">
        <f t="shared" si="18"/>
        <v>0</v>
      </c>
      <c r="X17" s="407">
        <v>0</v>
      </c>
      <c r="Y17" s="391"/>
      <c r="AA17" s="414">
        <v>600</v>
      </c>
      <c r="AB17" s="411">
        <v>25</v>
      </c>
      <c r="AC17" s="405">
        <v>50</v>
      </c>
      <c r="AD17" s="405">
        <v>125</v>
      </c>
      <c r="AE17" s="142">
        <f t="shared" si="3"/>
        <v>800</v>
      </c>
      <c r="AF17" s="125" t="str">
        <f t="shared" si="4"/>
        <v>Match</v>
      </c>
      <c r="AG17" s="150">
        <f t="shared" si="5"/>
        <v>6151579.0068493141</v>
      </c>
      <c r="AH17" s="70">
        <f t="shared" si="6"/>
        <v>256315.79195205477</v>
      </c>
      <c r="AI17" s="65">
        <f t="shared" si="7"/>
        <v>512631.58390410955</v>
      </c>
      <c r="AJ17" s="65">
        <f t="shared" si="8"/>
        <v>1281578.9597602738</v>
      </c>
      <c r="AK17" s="132">
        <f t="shared" si="9"/>
        <v>8202105.3424657527</v>
      </c>
      <c r="AL17" s="137">
        <f t="shared" si="10"/>
        <v>2050526.3356164382</v>
      </c>
      <c r="AM17" s="49"/>
      <c r="AN17" s="51"/>
    </row>
    <row r="18" spans="2:40" x14ac:dyDescent="0.25">
      <c r="B18" s="392">
        <v>9</v>
      </c>
      <c r="C18" s="269">
        <f t="shared" si="19"/>
        <v>2019</v>
      </c>
      <c r="D18" s="398">
        <f>IFERROR(VLOOKUP(C18,'LTBR &amp; RORC'!B$6:C$46,2,FALSE),"")</f>
        <v>1.77E-2</v>
      </c>
      <c r="E18" s="401">
        <v>1000</v>
      </c>
      <c r="F18" s="401">
        <v>800</v>
      </c>
      <c r="G18" s="402">
        <v>0.04</v>
      </c>
      <c r="H18" s="262">
        <f t="shared" si="20"/>
        <v>125000000</v>
      </c>
      <c r="I18" s="262">
        <f t="shared" si="21"/>
        <v>92010958.904109582</v>
      </c>
      <c r="J18" s="262">
        <f t="shared" si="11"/>
        <v>5000000</v>
      </c>
      <c r="K18" s="262">
        <f t="shared" si="12"/>
        <v>87010958.904109582</v>
      </c>
      <c r="L18" s="262">
        <f t="shared" si="22"/>
        <v>1584343.9726027397</v>
      </c>
      <c r="M18" s="263">
        <f t="shared" si="13"/>
        <v>6584343.9726027399</v>
      </c>
      <c r="N18" s="381">
        <f t="shared" si="0"/>
        <v>8230.4299657534248</v>
      </c>
      <c r="O18" s="405">
        <v>1000000</v>
      </c>
      <c r="P18" s="375">
        <f t="shared" si="14"/>
        <v>0</v>
      </c>
      <c r="Q18" s="375">
        <f t="shared" si="15"/>
        <v>1000000</v>
      </c>
      <c r="R18" s="375">
        <f t="shared" si="16"/>
        <v>1250</v>
      </c>
      <c r="S18" s="375">
        <f t="shared" si="17"/>
        <v>7584343.9726027399</v>
      </c>
      <c r="T18" s="285">
        <f t="shared" si="1"/>
        <v>9480.4299657534248</v>
      </c>
      <c r="U18" s="407">
        <v>0</v>
      </c>
      <c r="V18" s="400" t="str">
        <f t="shared" si="2"/>
        <v>Yes</v>
      </c>
      <c r="W18" s="244">
        <f t="shared" si="18"/>
        <v>0</v>
      </c>
      <c r="X18" s="407">
        <v>0</v>
      </c>
      <c r="Y18" s="391"/>
      <c r="AA18" s="414">
        <v>600</v>
      </c>
      <c r="AB18" s="411">
        <v>25</v>
      </c>
      <c r="AC18" s="405">
        <v>50</v>
      </c>
      <c r="AD18" s="405">
        <v>125</v>
      </c>
      <c r="AE18" s="142">
        <f t="shared" si="3"/>
        <v>800</v>
      </c>
      <c r="AF18" s="125" t="str">
        <f t="shared" si="4"/>
        <v>Match</v>
      </c>
      <c r="AG18" s="150">
        <f t="shared" si="5"/>
        <v>5688257.9794520549</v>
      </c>
      <c r="AH18" s="70">
        <f t="shared" si="6"/>
        <v>237010.74914383562</v>
      </c>
      <c r="AI18" s="65">
        <f t="shared" si="7"/>
        <v>474021.49828767125</v>
      </c>
      <c r="AJ18" s="65">
        <f t="shared" si="8"/>
        <v>1185053.7457191781</v>
      </c>
      <c r="AK18" s="132">
        <f t="shared" si="9"/>
        <v>7584343.9726027399</v>
      </c>
      <c r="AL18" s="137">
        <f t="shared" si="10"/>
        <v>1896085.993150685</v>
      </c>
      <c r="AM18" s="49"/>
      <c r="AN18" s="51"/>
    </row>
    <row r="19" spans="2:40" x14ac:dyDescent="0.25">
      <c r="B19" s="392">
        <v>10</v>
      </c>
      <c r="C19" s="269">
        <f t="shared" si="19"/>
        <v>2020</v>
      </c>
      <c r="D19" s="398">
        <f>IFERROR(VLOOKUP(C19,'LTBR &amp; RORC'!B$6:C$46,2,FALSE),"")</f>
        <v>1.1900000000000001E-2</v>
      </c>
      <c r="E19" s="401">
        <v>1000</v>
      </c>
      <c r="F19" s="401">
        <v>800</v>
      </c>
      <c r="G19" s="402">
        <v>0.04</v>
      </c>
      <c r="H19" s="262">
        <f t="shared" si="20"/>
        <v>125000000</v>
      </c>
      <c r="I19" s="262">
        <f t="shared" si="21"/>
        <v>87010958.904109582</v>
      </c>
      <c r="J19" s="262">
        <f t="shared" si="11"/>
        <v>5000000</v>
      </c>
      <c r="K19" s="262">
        <f t="shared" si="12"/>
        <v>82010958.904109582</v>
      </c>
      <c r="L19" s="262">
        <f t="shared" si="22"/>
        <v>1005680.4109589041</v>
      </c>
      <c r="M19" s="263">
        <f t="shared" si="13"/>
        <v>6005680.4109589038</v>
      </c>
      <c r="N19" s="381">
        <f t="shared" si="0"/>
        <v>7507.1005136986296</v>
      </c>
      <c r="O19" s="405">
        <v>1000000</v>
      </c>
      <c r="P19" s="375">
        <f t="shared" si="14"/>
        <v>0</v>
      </c>
      <c r="Q19" s="375">
        <f t="shared" si="15"/>
        <v>1000000</v>
      </c>
      <c r="R19" s="375">
        <f t="shared" si="16"/>
        <v>1250</v>
      </c>
      <c r="S19" s="375">
        <f t="shared" si="17"/>
        <v>7005680.4109589038</v>
      </c>
      <c r="T19" s="285">
        <f t="shared" si="1"/>
        <v>8757.1005136986296</v>
      </c>
      <c r="U19" s="407">
        <v>0</v>
      </c>
      <c r="V19" s="400" t="str">
        <f t="shared" si="2"/>
        <v>Yes</v>
      </c>
      <c r="W19" s="244">
        <f t="shared" si="18"/>
        <v>0</v>
      </c>
      <c r="X19" s="407">
        <v>0</v>
      </c>
      <c r="Y19" s="391"/>
      <c r="AA19" s="414">
        <v>600</v>
      </c>
      <c r="AB19" s="411">
        <v>25</v>
      </c>
      <c r="AC19" s="405">
        <v>50</v>
      </c>
      <c r="AD19" s="405">
        <v>125</v>
      </c>
      <c r="AE19" s="142">
        <f t="shared" si="3"/>
        <v>800</v>
      </c>
      <c r="AF19" s="125" t="str">
        <f t="shared" si="4"/>
        <v>Match</v>
      </c>
      <c r="AG19" s="150">
        <f t="shared" si="5"/>
        <v>5254260.3082191776</v>
      </c>
      <c r="AH19" s="70">
        <f t="shared" si="6"/>
        <v>218927.51284246575</v>
      </c>
      <c r="AI19" s="65">
        <f t="shared" si="7"/>
        <v>437855.02568493149</v>
      </c>
      <c r="AJ19" s="65">
        <f t="shared" si="8"/>
        <v>1094637.5642123288</v>
      </c>
      <c r="AK19" s="132">
        <f t="shared" si="9"/>
        <v>7005680.4109589038</v>
      </c>
      <c r="AL19" s="137">
        <f t="shared" si="10"/>
        <v>1751420.102739726</v>
      </c>
      <c r="AM19" s="49"/>
      <c r="AN19" s="51"/>
    </row>
    <row r="20" spans="2:40" x14ac:dyDescent="0.25">
      <c r="B20" s="392">
        <v>11</v>
      </c>
      <c r="C20" s="269">
        <f t="shared" si="19"/>
        <v>2021</v>
      </c>
      <c r="D20" s="398">
        <f>IFERROR(VLOOKUP(C20,'LTBR &amp; RORC'!B$6:C$46,2,FALSE),"")</f>
        <v>1.8800000000000001E-2</v>
      </c>
      <c r="E20" s="401">
        <v>1000</v>
      </c>
      <c r="F20" s="401">
        <v>800</v>
      </c>
      <c r="G20" s="402">
        <v>0.04</v>
      </c>
      <c r="H20" s="262">
        <f t="shared" si="20"/>
        <v>125000000</v>
      </c>
      <c r="I20" s="262">
        <f t="shared" si="21"/>
        <v>82010958.904109582</v>
      </c>
      <c r="J20" s="262">
        <f t="shared" si="11"/>
        <v>5000000</v>
      </c>
      <c r="K20" s="262">
        <f t="shared" si="12"/>
        <v>77010958.904109582</v>
      </c>
      <c r="L20" s="262">
        <f t="shared" si="22"/>
        <v>1494806.0273972603</v>
      </c>
      <c r="M20" s="263">
        <f t="shared" si="13"/>
        <v>6494806.0273972601</v>
      </c>
      <c r="N20" s="381">
        <f t="shared" si="0"/>
        <v>8118.5075342465752</v>
      </c>
      <c r="O20" s="405">
        <v>1000000</v>
      </c>
      <c r="P20" s="375">
        <f t="shared" si="14"/>
        <v>0</v>
      </c>
      <c r="Q20" s="375">
        <f t="shared" si="15"/>
        <v>1000000</v>
      </c>
      <c r="R20" s="375">
        <f t="shared" si="16"/>
        <v>1250</v>
      </c>
      <c r="S20" s="375">
        <f t="shared" si="17"/>
        <v>7494806.0273972601</v>
      </c>
      <c r="T20" s="285">
        <f t="shared" si="1"/>
        <v>9368.5075342465752</v>
      </c>
      <c r="U20" s="407">
        <v>0</v>
      </c>
      <c r="V20" s="400" t="str">
        <f t="shared" si="2"/>
        <v>Yes</v>
      </c>
      <c r="W20" s="244">
        <f t="shared" si="18"/>
        <v>0</v>
      </c>
      <c r="X20" s="407">
        <v>0</v>
      </c>
      <c r="Y20" s="391"/>
      <c r="AA20" s="414">
        <v>600</v>
      </c>
      <c r="AB20" s="411">
        <v>25</v>
      </c>
      <c r="AC20" s="405">
        <v>50</v>
      </c>
      <c r="AD20" s="405">
        <v>125</v>
      </c>
      <c r="AE20" s="142">
        <f t="shared" si="3"/>
        <v>800</v>
      </c>
      <c r="AF20" s="125" t="str">
        <f t="shared" si="4"/>
        <v>Match</v>
      </c>
      <c r="AG20" s="150">
        <f t="shared" si="5"/>
        <v>5621104.5205479451</v>
      </c>
      <c r="AH20" s="70">
        <f t="shared" si="6"/>
        <v>234212.68835616438</v>
      </c>
      <c r="AI20" s="65">
        <f t="shared" si="7"/>
        <v>468425.37671232875</v>
      </c>
      <c r="AJ20" s="65">
        <f t="shared" si="8"/>
        <v>1171063.4417808219</v>
      </c>
      <c r="AK20" s="132">
        <f t="shared" si="9"/>
        <v>7494806.0273972601</v>
      </c>
      <c r="AL20" s="137">
        <f t="shared" si="10"/>
        <v>1873701.506849315</v>
      </c>
      <c r="AM20" s="49"/>
      <c r="AN20" s="51"/>
    </row>
    <row r="21" spans="2:40" x14ac:dyDescent="0.25">
      <c r="B21" s="392">
        <v>12</v>
      </c>
      <c r="C21" s="269">
        <f t="shared" si="19"/>
        <v>2022</v>
      </c>
      <c r="D21" s="398">
        <f>D20</f>
        <v>1.8800000000000001E-2</v>
      </c>
      <c r="E21" s="401">
        <v>1000</v>
      </c>
      <c r="F21" s="401">
        <v>800</v>
      </c>
      <c r="G21" s="402">
        <v>0.04</v>
      </c>
      <c r="H21" s="262">
        <f t="shared" si="20"/>
        <v>125000000</v>
      </c>
      <c r="I21" s="262">
        <f t="shared" si="21"/>
        <v>77010958.904109582</v>
      </c>
      <c r="J21" s="262">
        <f t="shared" si="11"/>
        <v>5000000</v>
      </c>
      <c r="K21" s="262">
        <f t="shared" si="12"/>
        <v>72010958.904109582</v>
      </c>
      <c r="L21" s="262">
        <f t="shared" si="22"/>
        <v>1400806.0273972603</v>
      </c>
      <c r="M21" s="263">
        <f t="shared" si="13"/>
        <v>6400806.0273972601</v>
      </c>
      <c r="N21" s="381">
        <f t="shared" si="0"/>
        <v>8001.0075342465752</v>
      </c>
      <c r="O21" s="405">
        <v>1000000</v>
      </c>
      <c r="P21" s="375">
        <f t="shared" si="14"/>
        <v>0</v>
      </c>
      <c r="Q21" s="375">
        <f t="shared" si="15"/>
        <v>1000000</v>
      </c>
      <c r="R21" s="375">
        <f t="shared" si="16"/>
        <v>1250</v>
      </c>
      <c r="S21" s="375">
        <f t="shared" si="17"/>
        <v>7400806.0273972601</v>
      </c>
      <c r="T21" s="285">
        <f t="shared" si="1"/>
        <v>9251.0075342465752</v>
      </c>
      <c r="U21" s="407">
        <v>0</v>
      </c>
      <c r="V21" s="400" t="str">
        <f t="shared" si="2"/>
        <v>Yes</v>
      </c>
      <c r="W21" s="244">
        <f t="shared" si="18"/>
        <v>0</v>
      </c>
      <c r="X21" s="407">
        <v>0</v>
      </c>
      <c r="Y21" s="391"/>
      <c r="AA21" s="414">
        <v>600</v>
      </c>
      <c r="AB21" s="411">
        <v>25</v>
      </c>
      <c r="AC21" s="405">
        <v>50</v>
      </c>
      <c r="AD21" s="405">
        <v>125</v>
      </c>
      <c r="AE21" s="142">
        <f t="shared" si="3"/>
        <v>800</v>
      </c>
      <c r="AF21" s="125" t="str">
        <f t="shared" si="4"/>
        <v>Match</v>
      </c>
      <c r="AG21" s="150">
        <f t="shared" si="5"/>
        <v>5550604.5205479451</v>
      </c>
      <c r="AH21" s="70">
        <f t="shared" si="6"/>
        <v>231275.18835616438</v>
      </c>
      <c r="AI21" s="65">
        <f t="shared" si="7"/>
        <v>462550.37671232875</v>
      </c>
      <c r="AJ21" s="65">
        <f t="shared" si="8"/>
        <v>1156375.9417808219</v>
      </c>
      <c r="AK21" s="132">
        <f t="shared" si="9"/>
        <v>7400806.0273972601</v>
      </c>
      <c r="AL21" s="137">
        <f t="shared" si="10"/>
        <v>1850201.506849315</v>
      </c>
      <c r="AM21" s="49"/>
      <c r="AN21" s="51"/>
    </row>
    <row r="22" spans="2:40" x14ac:dyDescent="0.25">
      <c r="B22" s="392">
        <v>13</v>
      </c>
      <c r="C22" s="269">
        <f t="shared" si="19"/>
        <v>2023</v>
      </c>
      <c r="D22" s="398">
        <f>D21</f>
        <v>1.8800000000000001E-2</v>
      </c>
      <c r="E22" s="401">
        <v>1000</v>
      </c>
      <c r="F22" s="401">
        <v>800</v>
      </c>
      <c r="G22" s="402">
        <v>0.04</v>
      </c>
      <c r="H22" s="262">
        <f t="shared" si="20"/>
        <v>125000000</v>
      </c>
      <c r="I22" s="262">
        <f t="shared" si="21"/>
        <v>72010958.904109582</v>
      </c>
      <c r="J22" s="262">
        <f t="shared" si="11"/>
        <v>5000000</v>
      </c>
      <c r="K22" s="262">
        <f t="shared" si="12"/>
        <v>67010958.904109582</v>
      </c>
      <c r="L22" s="262">
        <f t="shared" si="22"/>
        <v>1306806.0273972603</v>
      </c>
      <c r="M22" s="263">
        <f t="shared" si="13"/>
        <v>6306806.0273972601</v>
      </c>
      <c r="N22" s="381">
        <f t="shared" si="0"/>
        <v>7883.5075342465752</v>
      </c>
      <c r="O22" s="405">
        <v>1000000</v>
      </c>
      <c r="P22" s="375">
        <f t="shared" si="14"/>
        <v>0</v>
      </c>
      <c r="Q22" s="375">
        <f t="shared" si="15"/>
        <v>1000000</v>
      </c>
      <c r="R22" s="375">
        <f t="shared" si="16"/>
        <v>1250</v>
      </c>
      <c r="S22" s="375">
        <f t="shared" si="17"/>
        <v>7306806.0273972601</v>
      </c>
      <c r="T22" s="285">
        <f t="shared" si="1"/>
        <v>9133.5075342465752</v>
      </c>
      <c r="U22" s="407">
        <v>0</v>
      </c>
      <c r="V22" s="400" t="str">
        <f t="shared" si="2"/>
        <v>Yes</v>
      </c>
      <c r="W22" s="244">
        <f t="shared" si="18"/>
        <v>0</v>
      </c>
      <c r="X22" s="407">
        <v>0</v>
      </c>
      <c r="Y22" s="391"/>
      <c r="AA22" s="414">
        <v>600</v>
      </c>
      <c r="AB22" s="411">
        <v>25</v>
      </c>
      <c r="AC22" s="405">
        <v>50</v>
      </c>
      <c r="AD22" s="405">
        <v>125</v>
      </c>
      <c r="AE22" s="142">
        <f t="shared" si="3"/>
        <v>800</v>
      </c>
      <c r="AF22" s="125" t="str">
        <f t="shared" si="4"/>
        <v>Match</v>
      </c>
      <c r="AG22" s="150">
        <f t="shared" si="5"/>
        <v>5480104.5205479451</v>
      </c>
      <c r="AH22" s="70">
        <f t="shared" si="6"/>
        <v>228337.68835616438</v>
      </c>
      <c r="AI22" s="65">
        <f t="shared" si="7"/>
        <v>456675.37671232875</v>
      </c>
      <c r="AJ22" s="65">
        <f t="shared" si="8"/>
        <v>1141688.4417808219</v>
      </c>
      <c r="AK22" s="132">
        <f t="shared" si="9"/>
        <v>7306806.0273972601</v>
      </c>
      <c r="AL22" s="137">
        <f t="shared" si="10"/>
        <v>1826701.506849315</v>
      </c>
      <c r="AM22" s="49"/>
      <c r="AN22" s="51"/>
    </row>
    <row r="23" spans="2:40" x14ac:dyDescent="0.25">
      <c r="B23" s="392">
        <v>14</v>
      </c>
      <c r="C23" s="269">
        <f t="shared" si="19"/>
        <v>2024</v>
      </c>
      <c r="D23" s="398">
        <f t="shared" ref="D23:D36" si="23">D22</f>
        <v>1.8800000000000001E-2</v>
      </c>
      <c r="E23" s="401">
        <v>1000</v>
      </c>
      <c r="F23" s="401">
        <v>800</v>
      </c>
      <c r="G23" s="402">
        <v>0.04</v>
      </c>
      <c r="H23" s="262">
        <f t="shared" si="20"/>
        <v>125000000</v>
      </c>
      <c r="I23" s="262">
        <f t="shared" si="21"/>
        <v>67010958.904109582</v>
      </c>
      <c r="J23" s="262">
        <f t="shared" si="11"/>
        <v>5000000</v>
      </c>
      <c r="K23" s="262">
        <f t="shared" si="12"/>
        <v>62010958.904109582</v>
      </c>
      <c r="L23" s="262">
        <f t="shared" si="22"/>
        <v>1212806.0273972603</v>
      </c>
      <c r="M23" s="263">
        <f t="shared" si="13"/>
        <v>6212806.0273972601</v>
      </c>
      <c r="N23" s="381">
        <f t="shared" si="0"/>
        <v>7766.0075342465752</v>
      </c>
      <c r="O23" s="405">
        <v>1000000</v>
      </c>
      <c r="P23" s="375">
        <f t="shared" si="14"/>
        <v>0</v>
      </c>
      <c r="Q23" s="375">
        <f t="shared" si="15"/>
        <v>1000000</v>
      </c>
      <c r="R23" s="375">
        <f t="shared" si="16"/>
        <v>1250</v>
      </c>
      <c r="S23" s="375">
        <f t="shared" si="17"/>
        <v>7212806.0273972601</v>
      </c>
      <c r="T23" s="285">
        <f t="shared" si="1"/>
        <v>9016.0075342465752</v>
      </c>
      <c r="U23" s="407">
        <v>0</v>
      </c>
      <c r="V23" s="400" t="str">
        <f t="shared" si="2"/>
        <v>Yes</v>
      </c>
      <c r="W23" s="244">
        <f t="shared" si="18"/>
        <v>0</v>
      </c>
      <c r="X23" s="407">
        <v>0</v>
      </c>
      <c r="Y23" s="391"/>
      <c r="AA23" s="414">
        <v>600</v>
      </c>
      <c r="AB23" s="411">
        <v>25</v>
      </c>
      <c r="AC23" s="405">
        <v>50</v>
      </c>
      <c r="AD23" s="405">
        <v>125</v>
      </c>
      <c r="AE23" s="142">
        <f t="shared" si="3"/>
        <v>800</v>
      </c>
      <c r="AF23" s="125" t="str">
        <f t="shared" si="4"/>
        <v>Match</v>
      </c>
      <c r="AG23" s="150">
        <f t="shared" si="5"/>
        <v>5409604.5205479451</v>
      </c>
      <c r="AH23" s="70">
        <f t="shared" si="6"/>
        <v>225400.18835616438</v>
      </c>
      <c r="AI23" s="65">
        <f t="shared" si="7"/>
        <v>450800.37671232875</v>
      </c>
      <c r="AJ23" s="65">
        <f t="shared" si="8"/>
        <v>1127000.9417808219</v>
      </c>
      <c r="AK23" s="132">
        <f t="shared" si="9"/>
        <v>7212806.0273972601</v>
      </c>
      <c r="AL23" s="137">
        <f t="shared" si="10"/>
        <v>1803201.506849315</v>
      </c>
      <c r="AM23" s="49"/>
      <c r="AN23" s="51"/>
    </row>
    <row r="24" spans="2:40" x14ac:dyDescent="0.25">
      <c r="B24" s="392">
        <v>15</v>
      </c>
      <c r="C24" s="269">
        <f t="shared" si="19"/>
        <v>2025</v>
      </c>
      <c r="D24" s="398">
        <f t="shared" si="23"/>
        <v>1.8800000000000001E-2</v>
      </c>
      <c r="E24" s="401">
        <v>1000</v>
      </c>
      <c r="F24" s="401">
        <v>800</v>
      </c>
      <c r="G24" s="402">
        <v>0.04</v>
      </c>
      <c r="H24" s="262">
        <f t="shared" si="20"/>
        <v>125000000</v>
      </c>
      <c r="I24" s="262">
        <f t="shared" si="21"/>
        <v>62010958.904109582</v>
      </c>
      <c r="J24" s="262">
        <f t="shared" si="11"/>
        <v>5000000</v>
      </c>
      <c r="K24" s="262">
        <f t="shared" si="12"/>
        <v>57010958.904109582</v>
      </c>
      <c r="L24" s="262">
        <f t="shared" si="22"/>
        <v>1118806.0273972603</v>
      </c>
      <c r="M24" s="263">
        <f t="shared" si="13"/>
        <v>6118806.0273972601</v>
      </c>
      <c r="N24" s="381">
        <f t="shared" si="0"/>
        <v>7648.5075342465752</v>
      </c>
      <c r="O24" s="405">
        <v>1000000</v>
      </c>
      <c r="P24" s="375">
        <f t="shared" si="14"/>
        <v>0</v>
      </c>
      <c r="Q24" s="375">
        <f t="shared" si="15"/>
        <v>1000000</v>
      </c>
      <c r="R24" s="375">
        <f t="shared" si="16"/>
        <v>1250</v>
      </c>
      <c r="S24" s="375">
        <f t="shared" si="17"/>
        <v>7118806.0273972601</v>
      </c>
      <c r="T24" s="285">
        <f t="shared" si="1"/>
        <v>8898.5075342465752</v>
      </c>
      <c r="U24" s="407">
        <v>0</v>
      </c>
      <c r="V24" s="400" t="str">
        <f t="shared" si="2"/>
        <v>Yes</v>
      </c>
      <c r="W24" s="244">
        <f t="shared" si="18"/>
        <v>0</v>
      </c>
      <c r="X24" s="407">
        <v>-15000000</v>
      </c>
      <c r="Y24" s="393">
        <f>-Y47</f>
        <v>-6000000</v>
      </c>
      <c r="AA24" s="414">
        <v>600</v>
      </c>
      <c r="AB24" s="411">
        <v>25</v>
      </c>
      <c r="AC24" s="405">
        <v>50</v>
      </c>
      <c r="AD24" s="405">
        <v>125</v>
      </c>
      <c r="AE24" s="142">
        <f t="shared" si="3"/>
        <v>800</v>
      </c>
      <c r="AF24" s="125" t="str">
        <f t="shared" si="4"/>
        <v>Match</v>
      </c>
      <c r="AG24" s="150">
        <f t="shared" si="5"/>
        <v>5339104.5205479451</v>
      </c>
      <c r="AH24" s="70">
        <f t="shared" si="6"/>
        <v>222462.68835616438</v>
      </c>
      <c r="AI24" s="65">
        <f t="shared" si="7"/>
        <v>444925.37671232875</v>
      </c>
      <c r="AJ24" s="65">
        <f t="shared" si="8"/>
        <v>1112313.4417808219</v>
      </c>
      <c r="AK24" s="132">
        <f t="shared" si="9"/>
        <v>7118806.0273972601</v>
      </c>
      <c r="AL24" s="137">
        <f t="shared" si="10"/>
        <v>1779701.506849315</v>
      </c>
      <c r="AM24" s="49"/>
      <c r="AN24" s="51"/>
    </row>
    <row r="25" spans="2:40" x14ac:dyDescent="0.25">
      <c r="B25" s="392">
        <v>16</v>
      </c>
      <c r="C25" s="269">
        <f t="shared" si="19"/>
        <v>2026</v>
      </c>
      <c r="D25" s="398">
        <f t="shared" si="23"/>
        <v>1.8800000000000001E-2</v>
      </c>
      <c r="E25" s="401">
        <v>1000</v>
      </c>
      <c r="F25" s="401">
        <v>800</v>
      </c>
      <c r="G25" s="402">
        <v>0.04</v>
      </c>
      <c r="H25" s="262">
        <f t="shared" si="20"/>
        <v>110000000</v>
      </c>
      <c r="I25" s="262">
        <f t="shared" si="21"/>
        <v>51010958.904109582</v>
      </c>
      <c r="J25" s="262">
        <f t="shared" si="11"/>
        <v>4400000</v>
      </c>
      <c r="K25" s="262">
        <f t="shared" si="12"/>
        <v>46610958.904109582</v>
      </c>
      <c r="L25" s="262">
        <f t="shared" si="22"/>
        <v>917646.02739726019</v>
      </c>
      <c r="M25" s="263">
        <f t="shared" si="13"/>
        <v>5317646.0273972601</v>
      </c>
      <c r="N25" s="381">
        <f t="shared" si="0"/>
        <v>6647.0575342465754</v>
      </c>
      <c r="O25" s="405">
        <v>1000000</v>
      </c>
      <c r="P25" s="375">
        <f t="shared" si="14"/>
        <v>0</v>
      </c>
      <c r="Q25" s="375">
        <f t="shared" si="15"/>
        <v>1000000</v>
      </c>
      <c r="R25" s="375">
        <f t="shared" si="16"/>
        <v>1250</v>
      </c>
      <c r="S25" s="375">
        <f t="shared" si="17"/>
        <v>6317646.0273972601</v>
      </c>
      <c r="T25" s="285">
        <f t="shared" si="1"/>
        <v>7897.0575342465754</v>
      </c>
      <c r="U25" s="407">
        <v>0</v>
      </c>
      <c r="V25" s="400" t="str">
        <f t="shared" si="2"/>
        <v>Yes</v>
      </c>
      <c r="W25" s="244">
        <f t="shared" si="18"/>
        <v>0</v>
      </c>
      <c r="X25" s="407">
        <v>0</v>
      </c>
      <c r="Y25" s="391"/>
      <c r="AA25" s="414">
        <v>600</v>
      </c>
      <c r="AB25" s="411">
        <v>25</v>
      </c>
      <c r="AC25" s="405">
        <v>50</v>
      </c>
      <c r="AD25" s="405">
        <v>125</v>
      </c>
      <c r="AE25" s="142">
        <f t="shared" si="3"/>
        <v>800</v>
      </c>
      <c r="AF25" s="125" t="str">
        <f t="shared" si="4"/>
        <v>Match</v>
      </c>
      <c r="AG25" s="150">
        <f t="shared" si="5"/>
        <v>4738234.5205479451</v>
      </c>
      <c r="AH25" s="70">
        <f t="shared" si="6"/>
        <v>197426.43835616438</v>
      </c>
      <c r="AI25" s="65">
        <f t="shared" si="7"/>
        <v>394852.87671232875</v>
      </c>
      <c r="AJ25" s="65">
        <f t="shared" si="8"/>
        <v>987132.19178082189</v>
      </c>
      <c r="AK25" s="132">
        <f t="shared" si="9"/>
        <v>6317646.0273972601</v>
      </c>
      <c r="AL25" s="137">
        <f t="shared" si="10"/>
        <v>1579411.506849315</v>
      </c>
      <c r="AM25" s="49"/>
      <c r="AN25" s="51"/>
    </row>
    <row r="26" spans="2:40" x14ac:dyDescent="0.25">
      <c r="B26" s="392">
        <v>17</v>
      </c>
      <c r="C26" s="269">
        <f t="shared" si="19"/>
        <v>2027</v>
      </c>
      <c r="D26" s="398">
        <f t="shared" si="23"/>
        <v>1.8800000000000001E-2</v>
      </c>
      <c r="E26" s="401">
        <v>1000</v>
      </c>
      <c r="F26" s="401">
        <v>800</v>
      </c>
      <c r="G26" s="402">
        <v>0.04</v>
      </c>
      <c r="H26" s="262">
        <f t="shared" si="20"/>
        <v>110000000</v>
      </c>
      <c r="I26" s="262">
        <f t="shared" si="21"/>
        <v>46610958.904109582</v>
      </c>
      <c r="J26" s="262">
        <f t="shared" si="11"/>
        <v>4400000</v>
      </c>
      <c r="K26" s="262">
        <f t="shared" si="12"/>
        <v>42210958.904109582</v>
      </c>
      <c r="L26" s="262">
        <f t="shared" si="22"/>
        <v>834926.02739726019</v>
      </c>
      <c r="M26" s="263">
        <f t="shared" si="13"/>
        <v>5234926.0273972601</v>
      </c>
      <c r="N26" s="381">
        <f t="shared" si="0"/>
        <v>6543.6575342465749</v>
      </c>
      <c r="O26" s="405">
        <v>1000000</v>
      </c>
      <c r="P26" s="375">
        <f t="shared" si="14"/>
        <v>0</v>
      </c>
      <c r="Q26" s="375">
        <f t="shared" si="15"/>
        <v>1000000</v>
      </c>
      <c r="R26" s="375">
        <f t="shared" si="16"/>
        <v>1250</v>
      </c>
      <c r="S26" s="375">
        <f t="shared" si="17"/>
        <v>6234926.0273972601</v>
      </c>
      <c r="T26" s="285">
        <f t="shared" si="1"/>
        <v>7793.6575342465749</v>
      </c>
      <c r="U26" s="407">
        <v>0</v>
      </c>
      <c r="V26" s="400" t="str">
        <f t="shared" si="2"/>
        <v>Yes</v>
      </c>
      <c r="W26" s="244">
        <f t="shared" si="18"/>
        <v>0</v>
      </c>
      <c r="X26" s="407">
        <v>0</v>
      </c>
      <c r="Y26" s="391"/>
      <c r="AA26" s="414">
        <v>600</v>
      </c>
      <c r="AB26" s="411">
        <v>25</v>
      </c>
      <c r="AC26" s="405">
        <v>50</v>
      </c>
      <c r="AD26" s="405">
        <v>125</v>
      </c>
      <c r="AE26" s="142">
        <f t="shared" si="3"/>
        <v>800</v>
      </c>
      <c r="AF26" s="125" t="str">
        <f t="shared" si="4"/>
        <v>Match</v>
      </c>
      <c r="AG26" s="150">
        <f t="shared" si="5"/>
        <v>4676194.5205479451</v>
      </c>
      <c r="AH26" s="70">
        <f t="shared" si="6"/>
        <v>194841.43835616438</v>
      </c>
      <c r="AI26" s="65">
        <f t="shared" si="7"/>
        <v>389682.87671232875</v>
      </c>
      <c r="AJ26" s="65">
        <f t="shared" si="8"/>
        <v>974207.19178082189</v>
      </c>
      <c r="AK26" s="132">
        <f t="shared" si="9"/>
        <v>6234926.0273972601</v>
      </c>
      <c r="AL26" s="137">
        <f t="shared" si="10"/>
        <v>1558731.506849315</v>
      </c>
      <c r="AM26" s="49"/>
      <c r="AN26" s="51"/>
    </row>
    <row r="27" spans="2:40" x14ac:dyDescent="0.25">
      <c r="B27" s="392">
        <v>18</v>
      </c>
      <c r="C27" s="269">
        <f t="shared" si="19"/>
        <v>2028</v>
      </c>
      <c r="D27" s="398">
        <f t="shared" si="23"/>
        <v>1.8800000000000001E-2</v>
      </c>
      <c r="E27" s="401">
        <v>1000</v>
      </c>
      <c r="F27" s="401">
        <v>800</v>
      </c>
      <c r="G27" s="402">
        <v>0.04</v>
      </c>
      <c r="H27" s="262">
        <f t="shared" si="20"/>
        <v>110000000</v>
      </c>
      <c r="I27" s="262">
        <f t="shared" si="21"/>
        <v>42210958.904109582</v>
      </c>
      <c r="J27" s="262">
        <f t="shared" si="11"/>
        <v>4400000</v>
      </c>
      <c r="K27" s="262">
        <f t="shared" si="12"/>
        <v>37810958.904109582</v>
      </c>
      <c r="L27" s="262">
        <f t="shared" si="22"/>
        <v>752206.02739726019</v>
      </c>
      <c r="M27" s="263">
        <f t="shared" si="13"/>
        <v>5152206.0273972601</v>
      </c>
      <c r="N27" s="381">
        <f t="shared" si="0"/>
        <v>6440.2575342465752</v>
      </c>
      <c r="O27" s="405">
        <v>1000000</v>
      </c>
      <c r="P27" s="375">
        <f t="shared" si="14"/>
        <v>0</v>
      </c>
      <c r="Q27" s="375">
        <f t="shared" si="15"/>
        <v>1000000</v>
      </c>
      <c r="R27" s="375">
        <f t="shared" si="16"/>
        <v>1250</v>
      </c>
      <c r="S27" s="375">
        <f t="shared" si="17"/>
        <v>6152206.0273972601</v>
      </c>
      <c r="T27" s="285">
        <f t="shared" si="1"/>
        <v>7690.2575342465752</v>
      </c>
      <c r="U27" s="407">
        <v>0</v>
      </c>
      <c r="V27" s="400" t="str">
        <f t="shared" si="2"/>
        <v>Yes</v>
      </c>
      <c r="W27" s="244">
        <f t="shared" si="18"/>
        <v>0</v>
      </c>
      <c r="X27" s="407">
        <v>0</v>
      </c>
      <c r="Y27" s="391"/>
      <c r="AA27" s="414">
        <v>600</v>
      </c>
      <c r="AB27" s="411">
        <v>25</v>
      </c>
      <c r="AC27" s="405">
        <v>50</v>
      </c>
      <c r="AD27" s="405">
        <v>125</v>
      </c>
      <c r="AE27" s="142">
        <f t="shared" si="3"/>
        <v>800</v>
      </c>
      <c r="AF27" s="125" t="str">
        <f t="shared" si="4"/>
        <v>Match</v>
      </c>
      <c r="AG27" s="150">
        <f t="shared" si="5"/>
        <v>4614154.5205479451</v>
      </c>
      <c r="AH27" s="70">
        <f t="shared" si="6"/>
        <v>192256.43835616438</v>
      </c>
      <c r="AI27" s="65">
        <f t="shared" si="7"/>
        <v>384512.87671232875</v>
      </c>
      <c r="AJ27" s="65">
        <f t="shared" si="8"/>
        <v>961282.19178082189</v>
      </c>
      <c r="AK27" s="132">
        <f t="shared" si="9"/>
        <v>6152206.0273972601</v>
      </c>
      <c r="AL27" s="137">
        <f t="shared" si="10"/>
        <v>1538051.506849315</v>
      </c>
      <c r="AM27" s="49"/>
      <c r="AN27" s="51"/>
    </row>
    <row r="28" spans="2:40" x14ac:dyDescent="0.25">
      <c r="B28" s="392">
        <v>19</v>
      </c>
      <c r="C28" s="269">
        <f t="shared" si="19"/>
        <v>2029</v>
      </c>
      <c r="D28" s="398">
        <f t="shared" si="23"/>
        <v>1.8800000000000001E-2</v>
      </c>
      <c r="E28" s="401">
        <v>1000</v>
      </c>
      <c r="F28" s="401">
        <v>800</v>
      </c>
      <c r="G28" s="402">
        <v>0.04</v>
      </c>
      <c r="H28" s="262">
        <f t="shared" si="20"/>
        <v>110000000</v>
      </c>
      <c r="I28" s="262">
        <f t="shared" si="21"/>
        <v>37810958.904109582</v>
      </c>
      <c r="J28" s="262">
        <f t="shared" si="11"/>
        <v>4400000</v>
      </c>
      <c r="K28" s="262">
        <f t="shared" si="12"/>
        <v>33410958.904109582</v>
      </c>
      <c r="L28" s="262">
        <f t="shared" si="22"/>
        <v>669486.02739726019</v>
      </c>
      <c r="M28" s="263">
        <f t="shared" si="13"/>
        <v>5069486.0273972601</v>
      </c>
      <c r="N28" s="381">
        <f t="shared" si="0"/>
        <v>6336.8575342465747</v>
      </c>
      <c r="O28" s="405">
        <v>1000000</v>
      </c>
      <c r="P28" s="375">
        <f t="shared" si="14"/>
        <v>0</v>
      </c>
      <c r="Q28" s="375">
        <f t="shared" si="15"/>
        <v>1000000</v>
      </c>
      <c r="R28" s="375">
        <f t="shared" si="16"/>
        <v>1250</v>
      </c>
      <c r="S28" s="375">
        <f t="shared" si="17"/>
        <v>6069486.0273972601</v>
      </c>
      <c r="T28" s="285">
        <f t="shared" si="1"/>
        <v>7586.8575342465747</v>
      </c>
      <c r="U28" s="407">
        <v>0</v>
      </c>
      <c r="V28" s="400" t="str">
        <f t="shared" si="2"/>
        <v>Yes</v>
      </c>
      <c r="W28" s="244">
        <f t="shared" si="18"/>
        <v>0</v>
      </c>
      <c r="X28" s="407">
        <v>0</v>
      </c>
      <c r="Y28" s="391"/>
      <c r="Z28" s="6"/>
      <c r="AA28" s="414">
        <v>600</v>
      </c>
      <c r="AB28" s="411">
        <v>25</v>
      </c>
      <c r="AC28" s="405">
        <v>50</v>
      </c>
      <c r="AD28" s="405">
        <v>125</v>
      </c>
      <c r="AE28" s="142">
        <f t="shared" si="3"/>
        <v>800</v>
      </c>
      <c r="AF28" s="125" t="str">
        <f t="shared" si="4"/>
        <v>Match</v>
      </c>
      <c r="AG28" s="150">
        <f t="shared" si="5"/>
        <v>4552114.5205479451</v>
      </c>
      <c r="AH28" s="70">
        <f t="shared" si="6"/>
        <v>189671.43835616438</v>
      </c>
      <c r="AI28" s="65">
        <f t="shared" si="7"/>
        <v>379342.87671232875</v>
      </c>
      <c r="AJ28" s="65">
        <f t="shared" si="8"/>
        <v>948357.19178082189</v>
      </c>
      <c r="AK28" s="132">
        <f t="shared" si="9"/>
        <v>6069486.0273972601</v>
      </c>
      <c r="AL28" s="137">
        <f t="shared" si="10"/>
        <v>1517371.506849315</v>
      </c>
      <c r="AM28" s="49"/>
      <c r="AN28" s="51"/>
    </row>
    <row r="29" spans="2:40" x14ac:dyDescent="0.25">
      <c r="B29" s="392">
        <v>20</v>
      </c>
      <c r="C29" s="269">
        <f t="shared" si="19"/>
        <v>2030</v>
      </c>
      <c r="D29" s="398">
        <f t="shared" si="23"/>
        <v>1.8800000000000001E-2</v>
      </c>
      <c r="E29" s="401">
        <v>1000</v>
      </c>
      <c r="F29" s="401">
        <v>800</v>
      </c>
      <c r="G29" s="402">
        <v>0.04</v>
      </c>
      <c r="H29" s="262">
        <f t="shared" si="20"/>
        <v>110000000</v>
      </c>
      <c r="I29" s="262">
        <f t="shared" si="21"/>
        <v>33410958.904109582</v>
      </c>
      <c r="J29" s="262">
        <f t="shared" si="11"/>
        <v>4400000</v>
      </c>
      <c r="K29" s="262">
        <f t="shared" si="12"/>
        <v>29010958.904109582</v>
      </c>
      <c r="L29" s="262">
        <f t="shared" si="22"/>
        <v>586766.02739726019</v>
      </c>
      <c r="M29" s="263">
        <f t="shared" si="13"/>
        <v>4986766.0273972601</v>
      </c>
      <c r="N29" s="381">
        <f t="shared" si="0"/>
        <v>6233.4575342465751</v>
      </c>
      <c r="O29" s="405">
        <v>1000000</v>
      </c>
      <c r="P29" s="375">
        <f t="shared" si="14"/>
        <v>0</v>
      </c>
      <c r="Q29" s="375">
        <f t="shared" si="15"/>
        <v>1000000</v>
      </c>
      <c r="R29" s="375">
        <f t="shared" si="16"/>
        <v>1250</v>
      </c>
      <c r="S29" s="375">
        <f t="shared" si="17"/>
        <v>5986766.0273972601</v>
      </c>
      <c r="T29" s="285">
        <f t="shared" si="1"/>
        <v>7483.4575342465751</v>
      </c>
      <c r="U29" s="407">
        <v>0</v>
      </c>
      <c r="V29" s="400" t="str">
        <f t="shared" si="2"/>
        <v>Yes</v>
      </c>
      <c r="W29" s="244">
        <f t="shared" si="18"/>
        <v>0</v>
      </c>
      <c r="X29" s="407">
        <v>0</v>
      </c>
      <c r="Y29" s="391"/>
      <c r="AA29" s="414">
        <v>600</v>
      </c>
      <c r="AB29" s="411">
        <v>25</v>
      </c>
      <c r="AC29" s="405">
        <v>50</v>
      </c>
      <c r="AD29" s="405">
        <v>125</v>
      </c>
      <c r="AE29" s="142">
        <f t="shared" si="3"/>
        <v>800</v>
      </c>
      <c r="AF29" s="125" t="str">
        <f t="shared" si="4"/>
        <v>Match</v>
      </c>
      <c r="AG29" s="150">
        <f t="shared" si="5"/>
        <v>4490074.5205479451</v>
      </c>
      <c r="AH29" s="70">
        <f t="shared" si="6"/>
        <v>187086.43835616438</v>
      </c>
      <c r="AI29" s="65">
        <f t="shared" si="7"/>
        <v>374172.87671232875</v>
      </c>
      <c r="AJ29" s="65">
        <f t="shared" si="8"/>
        <v>935432.19178082189</v>
      </c>
      <c r="AK29" s="132">
        <f t="shared" si="9"/>
        <v>5986766.0273972601</v>
      </c>
      <c r="AL29" s="137">
        <f t="shared" si="10"/>
        <v>1496691.506849315</v>
      </c>
      <c r="AM29" s="49"/>
      <c r="AN29" s="51"/>
    </row>
    <row r="30" spans="2:40" x14ac:dyDescent="0.25">
      <c r="B30" s="392">
        <v>21</v>
      </c>
      <c r="C30" s="269">
        <f t="shared" si="19"/>
        <v>2031</v>
      </c>
      <c r="D30" s="398">
        <f t="shared" si="23"/>
        <v>1.8800000000000001E-2</v>
      </c>
      <c r="E30" s="401">
        <v>1000</v>
      </c>
      <c r="F30" s="401">
        <v>800</v>
      </c>
      <c r="G30" s="402">
        <v>0.04</v>
      </c>
      <c r="H30" s="262">
        <f t="shared" si="20"/>
        <v>110000000</v>
      </c>
      <c r="I30" s="262">
        <f t="shared" si="21"/>
        <v>29010958.904109582</v>
      </c>
      <c r="J30" s="262">
        <f t="shared" si="11"/>
        <v>4400000</v>
      </c>
      <c r="K30" s="262">
        <f t="shared" si="12"/>
        <v>24610958.904109582</v>
      </c>
      <c r="L30" s="262">
        <f t="shared" si="22"/>
        <v>504046.02739726019</v>
      </c>
      <c r="M30" s="263">
        <f t="shared" si="13"/>
        <v>4904046.0273972601</v>
      </c>
      <c r="N30" s="381">
        <f t="shared" si="0"/>
        <v>6130.0575342465754</v>
      </c>
      <c r="O30" s="405">
        <v>1000000</v>
      </c>
      <c r="P30" s="375">
        <f t="shared" si="14"/>
        <v>0</v>
      </c>
      <c r="Q30" s="375">
        <f t="shared" si="15"/>
        <v>1000000</v>
      </c>
      <c r="R30" s="375">
        <f t="shared" si="16"/>
        <v>1250</v>
      </c>
      <c r="S30" s="375">
        <f t="shared" si="17"/>
        <v>5904046.0273972601</v>
      </c>
      <c r="T30" s="285">
        <f t="shared" si="1"/>
        <v>7380.0575342465754</v>
      </c>
      <c r="U30" s="407">
        <v>0</v>
      </c>
      <c r="V30" s="400" t="str">
        <f t="shared" si="2"/>
        <v>Yes</v>
      </c>
      <c r="W30" s="244">
        <f t="shared" si="18"/>
        <v>0</v>
      </c>
      <c r="X30" s="407">
        <v>0</v>
      </c>
      <c r="Y30" s="391"/>
      <c r="AA30" s="414">
        <v>600</v>
      </c>
      <c r="AB30" s="411">
        <v>25</v>
      </c>
      <c r="AC30" s="405">
        <v>50</v>
      </c>
      <c r="AD30" s="405">
        <v>125</v>
      </c>
      <c r="AE30" s="142">
        <f t="shared" si="3"/>
        <v>800</v>
      </c>
      <c r="AF30" s="125" t="str">
        <f t="shared" si="4"/>
        <v>Match</v>
      </c>
      <c r="AG30" s="150">
        <f t="shared" si="5"/>
        <v>4428034.5205479451</v>
      </c>
      <c r="AH30" s="70">
        <f t="shared" si="6"/>
        <v>184501.43835616438</v>
      </c>
      <c r="AI30" s="65">
        <f t="shared" si="7"/>
        <v>369002.87671232875</v>
      </c>
      <c r="AJ30" s="65">
        <f t="shared" si="8"/>
        <v>922507.19178082189</v>
      </c>
      <c r="AK30" s="132">
        <f t="shared" si="9"/>
        <v>5904046.0273972601</v>
      </c>
      <c r="AL30" s="137">
        <f t="shared" si="10"/>
        <v>1476011.506849315</v>
      </c>
      <c r="AM30" s="49"/>
      <c r="AN30" s="51"/>
    </row>
    <row r="31" spans="2:40" x14ac:dyDescent="0.25">
      <c r="B31" s="392">
        <v>22</v>
      </c>
      <c r="C31" s="269">
        <f t="shared" si="19"/>
        <v>2032</v>
      </c>
      <c r="D31" s="398">
        <f t="shared" si="23"/>
        <v>1.8800000000000001E-2</v>
      </c>
      <c r="E31" s="401">
        <v>1000</v>
      </c>
      <c r="F31" s="401">
        <v>800</v>
      </c>
      <c r="G31" s="402">
        <v>0.04</v>
      </c>
      <c r="H31" s="262">
        <f t="shared" si="20"/>
        <v>110000000</v>
      </c>
      <c r="I31" s="262">
        <f t="shared" si="21"/>
        <v>24610958.904109582</v>
      </c>
      <c r="J31" s="262">
        <f t="shared" si="11"/>
        <v>4400000</v>
      </c>
      <c r="K31" s="262">
        <f t="shared" si="12"/>
        <v>20210958.904109582</v>
      </c>
      <c r="L31" s="262">
        <f t="shared" si="22"/>
        <v>421326.02739726019</v>
      </c>
      <c r="M31" s="263">
        <f t="shared" si="13"/>
        <v>4821326.0273972601</v>
      </c>
      <c r="N31" s="381">
        <f t="shared" si="0"/>
        <v>6026.6575342465749</v>
      </c>
      <c r="O31" s="405">
        <v>1000000</v>
      </c>
      <c r="P31" s="375">
        <f t="shared" si="14"/>
        <v>0</v>
      </c>
      <c r="Q31" s="375">
        <f t="shared" si="15"/>
        <v>1000000</v>
      </c>
      <c r="R31" s="375">
        <f t="shared" si="16"/>
        <v>1250</v>
      </c>
      <c r="S31" s="375">
        <f t="shared" si="17"/>
        <v>5821326.0273972601</v>
      </c>
      <c r="T31" s="285">
        <f t="shared" si="1"/>
        <v>7276.6575342465749</v>
      </c>
      <c r="U31" s="407">
        <v>0</v>
      </c>
      <c r="V31" s="400" t="str">
        <f t="shared" si="2"/>
        <v>Yes</v>
      </c>
      <c r="W31" s="244">
        <f t="shared" si="18"/>
        <v>0</v>
      </c>
      <c r="X31" s="407">
        <v>0</v>
      </c>
      <c r="Y31" s="391"/>
      <c r="Z31" s="7"/>
      <c r="AA31" s="414">
        <v>600</v>
      </c>
      <c r="AB31" s="411">
        <v>25</v>
      </c>
      <c r="AC31" s="405">
        <v>50</v>
      </c>
      <c r="AD31" s="405">
        <v>125</v>
      </c>
      <c r="AE31" s="142">
        <f t="shared" si="3"/>
        <v>800</v>
      </c>
      <c r="AF31" s="125" t="str">
        <f t="shared" si="4"/>
        <v>Match</v>
      </c>
      <c r="AG31" s="150">
        <f t="shared" si="5"/>
        <v>4365994.5205479451</v>
      </c>
      <c r="AH31" s="70">
        <f t="shared" si="6"/>
        <v>181916.43835616438</v>
      </c>
      <c r="AI31" s="65">
        <f t="shared" si="7"/>
        <v>363832.87671232875</v>
      </c>
      <c r="AJ31" s="65">
        <f t="shared" si="8"/>
        <v>909582.19178082189</v>
      </c>
      <c r="AK31" s="132">
        <f t="shared" si="9"/>
        <v>5821326.0273972601</v>
      </c>
      <c r="AL31" s="137">
        <f t="shared" si="10"/>
        <v>1455331.506849315</v>
      </c>
      <c r="AM31" s="49"/>
      <c r="AN31" s="51"/>
    </row>
    <row r="32" spans="2:40" x14ac:dyDescent="0.25">
      <c r="B32" s="392">
        <v>23</v>
      </c>
      <c r="C32" s="269">
        <f t="shared" si="19"/>
        <v>2033</v>
      </c>
      <c r="D32" s="398">
        <f t="shared" si="23"/>
        <v>1.8800000000000001E-2</v>
      </c>
      <c r="E32" s="401">
        <v>1000</v>
      </c>
      <c r="F32" s="401">
        <v>800</v>
      </c>
      <c r="G32" s="402">
        <v>0.04</v>
      </c>
      <c r="H32" s="262">
        <f t="shared" si="20"/>
        <v>110000000</v>
      </c>
      <c r="I32" s="262">
        <f t="shared" si="21"/>
        <v>20210958.904109582</v>
      </c>
      <c r="J32" s="262">
        <f t="shared" si="11"/>
        <v>4400000</v>
      </c>
      <c r="K32" s="262">
        <f t="shared" si="12"/>
        <v>15810958.904109582</v>
      </c>
      <c r="L32" s="262">
        <f t="shared" si="22"/>
        <v>338606.02739726019</v>
      </c>
      <c r="M32" s="263">
        <f t="shared" si="13"/>
        <v>4738606.0273972601</v>
      </c>
      <c r="N32" s="381">
        <f t="shared" si="0"/>
        <v>5923.2575342465752</v>
      </c>
      <c r="O32" s="405">
        <v>1000000</v>
      </c>
      <c r="P32" s="375">
        <f t="shared" si="14"/>
        <v>0</v>
      </c>
      <c r="Q32" s="375">
        <f t="shared" si="15"/>
        <v>1000000</v>
      </c>
      <c r="R32" s="375">
        <f t="shared" si="16"/>
        <v>1250</v>
      </c>
      <c r="S32" s="375">
        <f t="shared" si="17"/>
        <v>5738606.0273972601</v>
      </c>
      <c r="T32" s="285">
        <f t="shared" si="1"/>
        <v>7173.2575342465752</v>
      </c>
      <c r="U32" s="407">
        <v>0</v>
      </c>
      <c r="V32" s="400" t="str">
        <f t="shared" si="2"/>
        <v>Yes</v>
      </c>
      <c r="W32" s="244">
        <f t="shared" si="18"/>
        <v>0</v>
      </c>
      <c r="X32" s="407">
        <v>0</v>
      </c>
      <c r="Y32" s="391"/>
      <c r="AA32" s="414">
        <v>600</v>
      </c>
      <c r="AB32" s="411">
        <v>25</v>
      </c>
      <c r="AC32" s="405">
        <v>50</v>
      </c>
      <c r="AD32" s="405">
        <v>125</v>
      </c>
      <c r="AE32" s="142">
        <f t="shared" si="3"/>
        <v>800</v>
      </c>
      <c r="AF32" s="125" t="str">
        <f t="shared" si="4"/>
        <v>Match</v>
      </c>
      <c r="AG32" s="150">
        <f t="shared" si="5"/>
        <v>4303954.5205479451</v>
      </c>
      <c r="AH32" s="70">
        <f t="shared" si="6"/>
        <v>179331.43835616438</v>
      </c>
      <c r="AI32" s="65">
        <f t="shared" si="7"/>
        <v>358662.87671232875</v>
      </c>
      <c r="AJ32" s="65">
        <f t="shared" si="8"/>
        <v>896657.19178082189</v>
      </c>
      <c r="AK32" s="132">
        <f t="shared" si="9"/>
        <v>5738606.0273972601</v>
      </c>
      <c r="AL32" s="137">
        <f t="shared" si="10"/>
        <v>1434651.506849315</v>
      </c>
      <c r="AM32" s="49"/>
      <c r="AN32" s="51"/>
    </row>
    <row r="33" spans="2:40" x14ac:dyDescent="0.25">
      <c r="B33" s="392">
        <v>24</v>
      </c>
      <c r="C33" s="269">
        <f t="shared" si="19"/>
        <v>2034</v>
      </c>
      <c r="D33" s="398">
        <f t="shared" si="23"/>
        <v>1.8800000000000001E-2</v>
      </c>
      <c r="E33" s="401">
        <v>1000</v>
      </c>
      <c r="F33" s="401">
        <v>800</v>
      </c>
      <c r="G33" s="402">
        <v>0.04</v>
      </c>
      <c r="H33" s="262">
        <f t="shared" si="20"/>
        <v>110000000</v>
      </c>
      <c r="I33" s="262">
        <f t="shared" si="21"/>
        <v>15810958.904109582</v>
      </c>
      <c r="J33" s="262">
        <f t="shared" si="11"/>
        <v>4400000</v>
      </c>
      <c r="K33" s="262">
        <f t="shared" si="12"/>
        <v>11410958.904109582</v>
      </c>
      <c r="L33" s="262">
        <f t="shared" si="22"/>
        <v>255886.02739726016</v>
      </c>
      <c r="M33" s="263">
        <f t="shared" si="13"/>
        <v>4655886.0273972601</v>
      </c>
      <c r="N33" s="381">
        <f t="shared" si="0"/>
        <v>5819.8575342465747</v>
      </c>
      <c r="O33" s="405">
        <v>1000000</v>
      </c>
      <c r="P33" s="375">
        <f t="shared" si="14"/>
        <v>0</v>
      </c>
      <c r="Q33" s="375">
        <f t="shared" si="15"/>
        <v>1000000</v>
      </c>
      <c r="R33" s="375">
        <f t="shared" si="16"/>
        <v>1250</v>
      </c>
      <c r="S33" s="375">
        <f t="shared" si="17"/>
        <v>5655886.0273972601</v>
      </c>
      <c r="T33" s="285">
        <f t="shared" si="1"/>
        <v>7069.8575342465747</v>
      </c>
      <c r="U33" s="407">
        <v>0</v>
      </c>
      <c r="V33" s="400" t="str">
        <f t="shared" si="2"/>
        <v>Yes</v>
      </c>
      <c r="W33" s="244">
        <f t="shared" si="18"/>
        <v>0</v>
      </c>
      <c r="X33" s="407">
        <v>0</v>
      </c>
      <c r="Y33" s="391"/>
      <c r="AA33" s="414">
        <v>600</v>
      </c>
      <c r="AB33" s="411">
        <v>25</v>
      </c>
      <c r="AC33" s="405">
        <v>50</v>
      </c>
      <c r="AD33" s="405">
        <v>125</v>
      </c>
      <c r="AE33" s="142">
        <f t="shared" si="3"/>
        <v>800</v>
      </c>
      <c r="AF33" s="125" t="str">
        <f t="shared" si="4"/>
        <v>Match</v>
      </c>
      <c r="AG33" s="150">
        <f t="shared" si="5"/>
        <v>4241914.5205479451</v>
      </c>
      <c r="AH33" s="70">
        <f t="shared" si="6"/>
        <v>176746.43835616438</v>
      </c>
      <c r="AI33" s="65">
        <f t="shared" si="7"/>
        <v>353492.87671232875</v>
      </c>
      <c r="AJ33" s="65">
        <f t="shared" si="8"/>
        <v>883732.19178082189</v>
      </c>
      <c r="AK33" s="132">
        <f t="shared" si="9"/>
        <v>5655886.0273972601</v>
      </c>
      <c r="AL33" s="137">
        <f t="shared" si="10"/>
        <v>1413971.506849315</v>
      </c>
      <c r="AM33" s="49"/>
      <c r="AN33" s="51"/>
    </row>
    <row r="34" spans="2:40" x14ac:dyDescent="0.25">
      <c r="B34" s="392">
        <v>25</v>
      </c>
      <c r="C34" s="269">
        <f t="shared" si="19"/>
        <v>2035</v>
      </c>
      <c r="D34" s="398">
        <f t="shared" si="23"/>
        <v>1.8800000000000001E-2</v>
      </c>
      <c r="E34" s="401">
        <v>1000</v>
      </c>
      <c r="F34" s="401">
        <v>800</v>
      </c>
      <c r="G34" s="402">
        <v>0.04</v>
      </c>
      <c r="H34" s="262">
        <f t="shared" si="20"/>
        <v>110000000</v>
      </c>
      <c r="I34" s="262">
        <f t="shared" si="21"/>
        <v>11410958.904109582</v>
      </c>
      <c r="J34" s="262">
        <f t="shared" si="11"/>
        <v>4400000</v>
      </c>
      <c r="K34" s="262">
        <f t="shared" si="12"/>
        <v>7010958.9041095823</v>
      </c>
      <c r="L34" s="262">
        <f t="shared" si="22"/>
        <v>173166.02739726016</v>
      </c>
      <c r="M34" s="263">
        <f t="shared" si="13"/>
        <v>4573166.0273972601</v>
      </c>
      <c r="N34" s="381">
        <f t="shared" si="0"/>
        <v>5716.4575342465751</v>
      </c>
      <c r="O34" s="405">
        <v>1000000</v>
      </c>
      <c r="P34" s="375">
        <f t="shared" si="14"/>
        <v>0</v>
      </c>
      <c r="Q34" s="375">
        <f t="shared" si="15"/>
        <v>1000000</v>
      </c>
      <c r="R34" s="375">
        <f t="shared" si="16"/>
        <v>1250</v>
      </c>
      <c r="S34" s="375">
        <f t="shared" si="17"/>
        <v>5573166.0273972601</v>
      </c>
      <c r="T34" s="285">
        <f t="shared" si="1"/>
        <v>6966.4575342465751</v>
      </c>
      <c r="U34" s="407">
        <v>0</v>
      </c>
      <c r="V34" s="400" t="str">
        <f t="shared" si="2"/>
        <v>Yes</v>
      </c>
      <c r="W34" s="244">
        <f t="shared" si="18"/>
        <v>0</v>
      </c>
      <c r="X34" s="407">
        <v>0</v>
      </c>
      <c r="Y34" s="391"/>
      <c r="AA34" s="414">
        <v>600</v>
      </c>
      <c r="AB34" s="411">
        <v>25</v>
      </c>
      <c r="AC34" s="405">
        <v>50</v>
      </c>
      <c r="AD34" s="405">
        <v>125</v>
      </c>
      <c r="AE34" s="142">
        <f t="shared" si="3"/>
        <v>800</v>
      </c>
      <c r="AF34" s="125" t="str">
        <f t="shared" si="4"/>
        <v>Match</v>
      </c>
      <c r="AG34" s="150">
        <f t="shared" si="5"/>
        <v>4179874.5205479451</v>
      </c>
      <c r="AH34" s="70">
        <f t="shared" si="6"/>
        <v>174161.43835616438</v>
      </c>
      <c r="AI34" s="65">
        <f t="shared" si="7"/>
        <v>348322.87671232875</v>
      </c>
      <c r="AJ34" s="65">
        <f t="shared" si="8"/>
        <v>870807.19178082189</v>
      </c>
      <c r="AK34" s="132">
        <f t="shared" si="9"/>
        <v>5573166.0273972601</v>
      </c>
      <c r="AL34" s="137">
        <f t="shared" si="10"/>
        <v>1393291.506849315</v>
      </c>
      <c r="AM34" s="49"/>
      <c r="AN34" s="51"/>
    </row>
    <row r="35" spans="2:40" x14ac:dyDescent="0.25">
      <c r="B35" s="392">
        <v>26</v>
      </c>
      <c r="C35" s="269">
        <f t="shared" si="19"/>
        <v>2036</v>
      </c>
      <c r="D35" s="398">
        <f t="shared" si="23"/>
        <v>1.8800000000000001E-2</v>
      </c>
      <c r="E35" s="401">
        <v>1000</v>
      </c>
      <c r="F35" s="401">
        <v>800</v>
      </c>
      <c r="G35" s="402">
        <v>0.04</v>
      </c>
      <c r="H35" s="262">
        <f t="shared" si="20"/>
        <v>110000000</v>
      </c>
      <c r="I35" s="262">
        <f t="shared" si="21"/>
        <v>7010958.9041095823</v>
      </c>
      <c r="J35" s="262">
        <f t="shared" si="11"/>
        <v>4400000</v>
      </c>
      <c r="K35" s="262">
        <f t="shared" si="12"/>
        <v>2610958.9041095823</v>
      </c>
      <c r="L35" s="262">
        <f t="shared" si="22"/>
        <v>90446.027397260157</v>
      </c>
      <c r="M35" s="263">
        <f t="shared" si="13"/>
        <v>4490446.0273972601</v>
      </c>
      <c r="N35" s="381">
        <f t="shared" si="0"/>
        <v>5613.0575342465754</v>
      </c>
      <c r="O35" s="405">
        <v>1000000</v>
      </c>
      <c r="P35" s="375">
        <f t="shared" si="14"/>
        <v>0</v>
      </c>
      <c r="Q35" s="374">
        <f t="shared" si="15"/>
        <v>1000000</v>
      </c>
      <c r="R35" s="374">
        <f t="shared" si="16"/>
        <v>1250</v>
      </c>
      <c r="S35" s="374">
        <f t="shared" si="17"/>
        <v>5490446.0273972601</v>
      </c>
      <c r="T35" s="285">
        <f t="shared" si="1"/>
        <v>6863.0575342465754</v>
      </c>
      <c r="U35" s="407">
        <v>0</v>
      </c>
      <c r="V35" s="400" t="str">
        <f t="shared" si="2"/>
        <v>Yes</v>
      </c>
      <c r="W35" s="244">
        <f t="shared" si="18"/>
        <v>0</v>
      </c>
      <c r="X35" s="407">
        <v>0</v>
      </c>
      <c r="Y35" s="391"/>
      <c r="AA35" s="414">
        <v>600</v>
      </c>
      <c r="AB35" s="411">
        <v>25</v>
      </c>
      <c r="AC35" s="405">
        <v>50</v>
      </c>
      <c r="AD35" s="405">
        <v>125</v>
      </c>
      <c r="AE35" s="142">
        <f t="shared" si="3"/>
        <v>800</v>
      </c>
      <c r="AF35" s="125" t="str">
        <f t="shared" si="4"/>
        <v>Match</v>
      </c>
      <c r="AG35" s="150">
        <f t="shared" si="5"/>
        <v>4117834.5205479451</v>
      </c>
      <c r="AH35" s="70">
        <f t="shared" si="6"/>
        <v>171576.43835616438</v>
      </c>
      <c r="AI35" s="65">
        <f t="shared" si="7"/>
        <v>343152.87671232875</v>
      </c>
      <c r="AJ35" s="65">
        <f t="shared" si="8"/>
        <v>857882.19178082189</v>
      </c>
      <c r="AK35" s="132">
        <f t="shared" si="9"/>
        <v>5490446.0273972601</v>
      </c>
      <c r="AL35" s="137">
        <f t="shared" si="10"/>
        <v>1372611.506849315</v>
      </c>
      <c r="AM35" s="49"/>
      <c r="AN35" s="51"/>
    </row>
    <row r="36" spans="2:40" x14ac:dyDescent="0.25">
      <c r="B36" s="392">
        <v>27</v>
      </c>
      <c r="C36" s="269">
        <f t="shared" si="19"/>
        <v>2037</v>
      </c>
      <c r="D36" s="398">
        <f t="shared" si="23"/>
        <v>1.8800000000000001E-2</v>
      </c>
      <c r="E36" s="401">
        <v>1000</v>
      </c>
      <c r="F36" s="401">
        <v>800</v>
      </c>
      <c r="G36" s="402">
        <v>0.04</v>
      </c>
      <c r="H36" s="262">
        <f t="shared" si="20"/>
        <v>110000000</v>
      </c>
      <c r="I36" s="262">
        <f t="shared" si="21"/>
        <v>2610958.9041095823</v>
      </c>
      <c r="J36" s="262">
        <f t="shared" si="11"/>
        <v>2610958.9041095823</v>
      </c>
      <c r="K36" s="262">
        <f t="shared" si="12"/>
        <v>0</v>
      </c>
      <c r="L36" s="262">
        <f t="shared" si="22"/>
        <v>24543.013698630075</v>
      </c>
      <c r="M36" s="263">
        <f t="shared" si="13"/>
        <v>2635501.9178082123</v>
      </c>
      <c r="N36" s="381">
        <f t="shared" si="0"/>
        <v>3294.3773972602653</v>
      </c>
      <c r="O36" s="405">
        <v>1000000</v>
      </c>
      <c r="P36" s="375">
        <f t="shared" si="14"/>
        <v>0</v>
      </c>
      <c r="Q36" s="375">
        <f t="shared" si="15"/>
        <v>1000000</v>
      </c>
      <c r="R36" s="375">
        <f t="shared" si="16"/>
        <v>1250</v>
      </c>
      <c r="S36" s="375">
        <f t="shared" si="17"/>
        <v>3635501.9178082123</v>
      </c>
      <c r="T36" s="285">
        <f t="shared" si="1"/>
        <v>4544.3773972602648</v>
      </c>
      <c r="U36" s="407">
        <v>0</v>
      </c>
      <c r="V36" s="400" t="str">
        <f t="shared" si="2"/>
        <v>Yes</v>
      </c>
      <c r="W36" s="244">
        <f t="shared" si="18"/>
        <v>0</v>
      </c>
      <c r="X36" s="407">
        <v>0</v>
      </c>
      <c r="Y36" s="391"/>
      <c r="AA36" s="414">
        <v>600</v>
      </c>
      <c r="AB36" s="411">
        <v>25</v>
      </c>
      <c r="AC36" s="405">
        <v>50</v>
      </c>
      <c r="AD36" s="405">
        <v>125</v>
      </c>
      <c r="AE36" s="142">
        <f t="shared" si="3"/>
        <v>800</v>
      </c>
      <c r="AF36" s="125" t="str">
        <f t="shared" si="4"/>
        <v>Match</v>
      </c>
      <c r="AG36" s="150">
        <f t="shared" si="5"/>
        <v>2726626.4383561588</v>
      </c>
      <c r="AH36" s="70">
        <f t="shared" si="6"/>
        <v>113609.43493150662</v>
      </c>
      <c r="AI36" s="65">
        <f t="shared" si="7"/>
        <v>227218.86986301324</v>
      </c>
      <c r="AJ36" s="65">
        <f t="shared" si="8"/>
        <v>568047.17465753306</v>
      </c>
      <c r="AK36" s="132">
        <f t="shared" si="9"/>
        <v>3635501.9178082114</v>
      </c>
      <c r="AL36" s="137">
        <f t="shared" si="10"/>
        <v>908875.47945205285</v>
      </c>
      <c r="AN36" s="51"/>
    </row>
    <row r="37" spans="2:40" ht="13.8" thickBot="1" x14ac:dyDescent="0.3">
      <c r="B37" s="394"/>
      <c r="C37" s="326"/>
      <c r="D37" s="326"/>
      <c r="E37" s="326"/>
      <c r="F37" s="326"/>
      <c r="G37" s="326"/>
      <c r="H37" s="257"/>
      <c r="I37" s="258"/>
      <c r="J37" s="259"/>
      <c r="K37" s="259"/>
      <c r="L37" s="260"/>
      <c r="M37" s="260"/>
      <c r="N37" s="260"/>
      <c r="O37" s="260"/>
      <c r="P37" s="260"/>
      <c r="Q37" s="260"/>
      <c r="R37" s="260"/>
      <c r="S37" s="260"/>
      <c r="T37" s="260"/>
      <c r="U37" s="270"/>
      <c r="V37" s="380"/>
      <c r="W37" s="270"/>
      <c r="X37" s="270"/>
      <c r="Y37" s="395"/>
      <c r="AA37" s="140"/>
      <c r="AB37" s="69"/>
      <c r="AC37" s="31"/>
      <c r="AD37" s="31"/>
      <c r="AE37" s="143"/>
      <c r="AF37" s="122"/>
      <c r="AG37" s="151"/>
      <c r="AH37" s="69"/>
      <c r="AI37" s="31"/>
      <c r="AJ37" s="31"/>
      <c r="AK37" s="124"/>
      <c r="AL37" s="124"/>
      <c r="AN37" s="51"/>
    </row>
    <row r="38" spans="2:40" x14ac:dyDescent="0.25">
      <c r="H38" s="14"/>
      <c r="I38" s="5"/>
      <c r="X38" s="19"/>
      <c r="Y38" s="19"/>
    </row>
    <row r="39" spans="2:40" x14ac:dyDescent="0.25">
      <c r="I39" s="119" t="s">
        <v>62</v>
      </c>
      <c r="J39" s="49">
        <f>SUM(J10:J38)</f>
        <v>118999999.99999999</v>
      </c>
      <c r="X39" s="19"/>
      <c r="Y39" s="19"/>
    </row>
    <row r="40" spans="2:40" x14ac:dyDescent="0.25">
      <c r="B40" s="113"/>
      <c r="N40" s="281"/>
      <c r="O40" s="281"/>
      <c r="P40" s="281"/>
      <c r="Q40" s="281"/>
      <c r="R40" s="281"/>
      <c r="S40" s="281"/>
      <c r="T40" s="281"/>
      <c r="U40" s="281"/>
      <c r="V40" s="264"/>
      <c r="W40" s="264"/>
      <c r="X40" s="281"/>
      <c r="Y40" s="281"/>
    </row>
    <row r="41" spans="2:40" x14ac:dyDescent="0.25">
      <c r="B41" s="113" t="s">
        <v>50</v>
      </c>
      <c r="F41" s="51"/>
      <c r="N41" s="281"/>
      <c r="O41" s="281"/>
      <c r="P41" s="281"/>
      <c r="Q41" s="318" t="s">
        <v>48</v>
      </c>
      <c r="R41" s="302"/>
      <c r="S41" s="302"/>
      <c r="T41" s="302"/>
      <c r="U41" s="302"/>
      <c r="V41" s="303"/>
      <c r="W41" s="303"/>
      <c r="X41" s="304"/>
      <c r="Y41" s="305"/>
    </row>
    <row r="42" spans="2:40" x14ac:dyDescent="0.25">
      <c r="B42" s="51" t="s">
        <v>51</v>
      </c>
      <c r="F42" s="51"/>
      <c r="H42" s="41"/>
      <c r="N42" s="281"/>
      <c r="O42" s="281"/>
      <c r="P42" s="281"/>
      <c r="Q42" s="306"/>
      <c r="R42" s="256"/>
      <c r="S42" s="256"/>
      <c r="T42" s="256"/>
      <c r="U42" s="256"/>
      <c r="V42" s="247" t="s">
        <v>41</v>
      </c>
      <c r="W42" s="307"/>
      <c r="X42" s="256"/>
      <c r="Y42" s="308">
        <f>-X24</f>
        <v>15000000</v>
      </c>
      <c r="Z42" s="237" t="s">
        <v>86</v>
      </c>
    </row>
    <row r="43" spans="2:40" x14ac:dyDescent="0.25">
      <c r="F43" s="51"/>
      <c r="G43" s="51"/>
      <c r="N43" s="281"/>
      <c r="O43" s="281"/>
      <c r="P43" s="281"/>
      <c r="Q43" s="306"/>
      <c r="R43" s="256"/>
      <c r="S43" s="256"/>
      <c r="T43" s="256"/>
      <c r="U43" s="256"/>
      <c r="V43" s="247" t="s">
        <v>45</v>
      </c>
      <c r="W43" s="307"/>
      <c r="X43" s="256"/>
      <c r="Y43" s="308"/>
    </row>
    <row r="44" spans="2:40" x14ac:dyDescent="0.25">
      <c r="B44" s="51" t="s">
        <v>55</v>
      </c>
      <c r="F44" s="51"/>
      <c r="N44" s="281"/>
      <c r="O44" s="281"/>
      <c r="P44" s="281"/>
      <c r="Q44" s="297"/>
      <c r="R44" s="298" t="s">
        <v>42</v>
      </c>
      <c r="S44" s="408"/>
      <c r="T44" s="299" t="s">
        <v>43</v>
      </c>
      <c r="U44" s="409"/>
      <c r="V44" s="247" t="s">
        <v>44</v>
      </c>
      <c r="W44" s="309"/>
      <c r="X44" s="310">
        <f>Y42*S44*U44</f>
        <v>0</v>
      </c>
      <c r="Y44" s="311"/>
    </row>
    <row r="45" spans="2:40" x14ac:dyDescent="0.25">
      <c r="B45" s="51" t="s">
        <v>52</v>
      </c>
      <c r="F45" s="51"/>
      <c r="N45" s="281"/>
      <c r="O45" s="281"/>
      <c r="P45" s="281"/>
      <c r="Q45" s="297"/>
      <c r="R45" s="298" t="s">
        <v>42</v>
      </c>
      <c r="S45" s="408">
        <v>15</v>
      </c>
      <c r="T45" s="299" t="s">
        <v>43</v>
      </c>
      <c r="U45" s="300">
        <v>0.04</v>
      </c>
      <c r="V45" s="246" t="s">
        <v>44</v>
      </c>
      <c r="W45" s="316"/>
      <c r="X45" s="301">
        <f>Y42*S45*U45</f>
        <v>9000000</v>
      </c>
      <c r="Y45" s="312">
        <f>-SUM(X44:X45)</f>
        <v>-9000000</v>
      </c>
    </row>
    <row r="46" spans="2:40" x14ac:dyDescent="0.25">
      <c r="B46" s="51" t="s">
        <v>61</v>
      </c>
      <c r="F46" s="51"/>
      <c r="N46" s="281"/>
      <c r="O46" s="281"/>
      <c r="P46" s="281"/>
      <c r="Q46" s="306"/>
      <c r="R46" s="256"/>
      <c r="S46" s="256"/>
      <c r="T46" s="256"/>
      <c r="U46" s="256"/>
      <c r="V46" s="307"/>
      <c r="W46" s="307"/>
      <c r="X46" s="313"/>
      <c r="Y46" s="311"/>
    </row>
    <row r="47" spans="2:40" x14ac:dyDescent="0.25">
      <c r="B47" s="51" t="s">
        <v>54</v>
      </c>
      <c r="N47" s="281"/>
      <c r="O47" s="281"/>
      <c r="P47" s="281"/>
      <c r="Q47" s="306"/>
      <c r="R47" s="256"/>
      <c r="S47" s="256"/>
      <c r="T47" s="256"/>
      <c r="U47" s="256"/>
      <c r="V47" s="307" t="s">
        <v>46</v>
      </c>
      <c r="W47" s="307"/>
      <c r="X47" s="313"/>
      <c r="Y47" s="372">
        <f>Y42+Y45</f>
        <v>6000000</v>
      </c>
      <c r="Z47" s="237" t="s">
        <v>85</v>
      </c>
      <c r="AB47" s="21"/>
    </row>
    <row r="48" spans="2:40" x14ac:dyDescent="0.25">
      <c r="N48" s="281"/>
      <c r="O48" s="281"/>
      <c r="P48" s="281"/>
      <c r="Q48" s="314"/>
      <c r="R48" s="315"/>
      <c r="S48" s="315"/>
      <c r="T48" s="315"/>
      <c r="U48" s="315"/>
      <c r="V48" s="316"/>
      <c r="W48" s="316"/>
      <c r="X48" s="301"/>
      <c r="Y48" s="317"/>
    </row>
    <row r="49" spans="2:28" x14ac:dyDescent="0.25">
      <c r="B49" s="242" t="s">
        <v>27</v>
      </c>
      <c r="F49" s="72" t="s">
        <v>101</v>
      </c>
      <c r="N49" s="281"/>
      <c r="O49" s="281"/>
      <c r="P49" s="281"/>
      <c r="Q49" s="281"/>
      <c r="R49" s="281"/>
      <c r="S49" s="281"/>
      <c r="T49" s="281"/>
      <c r="U49" s="281"/>
      <c r="V49" s="264"/>
      <c r="W49" s="264"/>
      <c r="X49" s="281"/>
      <c r="Y49" s="281"/>
    </row>
    <row r="50" spans="2:28" x14ac:dyDescent="0.25">
      <c r="N50" s="281"/>
      <c r="O50" s="281"/>
      <c r="P50" s="281"/>
      <c r="Q50" s="323" t="s">
        <v>53</v>
      </c>
      <c r="R50" s="281"/>
      <c r="S50" s="281"/>
      <c r="T50" s="281"/>
      <c r="U50" s="281"/>
      <c r="V50" s="264"/>
      <c r="W50" s="264"/>
      <c r="X50" s="281"/>
      <c r="Y50" s="281"/>
    </row>
    <row r="55" spans="2:28" x14ac:dyDescent="0.25">
      <c r="D55" s="54" t="s">
        <v>28</v>
      </c>
      <c r="E55" s="54"/>
      <c r="I55" s="1" t="s">
        <v>0</v>
      </c>
      <c r="J55" s="2" t="s">
        <v>1</v>
      </c>
      <c r="K55" s="3" t="s">
        <v>2</v>
      </c>
    </row>
    <row r="56" spans="2:28" ht="12.75" customHeight="1" x14ac:dyDescent="0.25">
      <c r="I56" s="208" t="s">
        <v>83</v>
      </c>
      <c r="J56" s="4"/>
      <c r="K56" s="4" t="s">
        <v>3</v>
      </c>
      <c r="L56" s="4" t="s">
        <v>4</v>
      </c>
      <c r="M56" s="438" t="s">
        <v>5</v>
      </c>
      <c r="N56" s="438"/>
      <c r="O56" s="438"/>
      <c r="P56" s="438"/>
      <c r="Q56" s="438"/>
      <c r="R56" s="438"/>
      <c r="S56" s="438"/>
      <c r="T56" s="438"/>
      <c r="U56" s="438"/>
      <c r="V56" s="438"/>
      <c r="W56" s="438"/>
      <c r="X56" s="438"/>
      <c r="Y56" s="438"/>
      <c r="Z56" s="438"/>
      <c r="AA56" s="438"/>
      <c r="AB56" s="133"/>
    </row>
    <row r="57" spans="2:28" x14ac:dyDescent="0.25">
      <c r="M57" s="212" t="s">
        <v>84</v>
      </c>
    </row>
  </sheetData>
  <mergeCells count="9">
    <mergeCell ref="AG7:AL7"/>
    <mergeCell ref="F4:I4"/>
    <mergeCell ref="F5:I5"/>
    <mergeCell ref="M56:AA56"/>
    <mergeCell ref="F6:I6"/>
    <mergeCell ref="L5:N5"/>
    <mergeCell ref="O5:R5"/>
    <mergeCell ref="X6:Y6"/>
    <mergeCell ref="AA7:AE7"/>
  </mergeCells>
  <hyperlinks>
    <hyperlink ref="F49"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D53"/>
  <sheetViews>
    <sheetView zoomScale="80" zoomScaleNormal="80" zoomScaleSheetLayoutView="90" workbookViewId="0">
      <selection activeCell="F50" sqref="F50"/>
    </sheetView>
  </sheetViews>
  <sheetFormatPr defaultColWidth="9.109375" defaultRowHeight="13.2" x14ac:dyDescent="0.25"/>
  <cols>
    <col min="1" max="1" width="2.109375" style="281" customWidth="1"/>
    <col min="2" max="2" width="7.44140625" style="281" customWidth="1"/>
    <col min="3" max="3" width="6.5546875" style="281" customWidth="1"/>
    <col min="4" max="4" width="17" style="281" customWidth="1"/>
    <col min="5" max="5" width="16.44140625" style="252" customWidth="1"/>
    <col min="6" max="7" width="15.44140625" style="281" customWidth="1"/>
    <col min="8" max="8" width="14.6640625" style="281" customWidth="1"/>
    <col min="9" max="9" width="14.88671875" style="281" customWidth="1"/>
    <col min="10" max="10" width="15.6640625" style="281" customWidth="1"/>
    <col min="11" max="11" width="16.33203125" style="281" customWidth="1"/>
    <col min="12" max="12" width="14" style="281" customWidth="1"/>
    <col min="13" max="13" width="10.88671875" style="281" customWidth="1"/>
    <col min="14" max="14" width="12.33203125" style="281" customWidth="1"/>
    <col min="15" max="15" width="12.33203125" style="281" bestFit="1" customWidth="1"/>
    <col min="16" max="16" width="24.44140625" style="281" customWidth="1"/>
    <col min="17" max="17" width="15.5546875" style="281" customWidth="1"/>
    <col min="18" max="18" width="14.44140625" style="281" customWidth="1"/>
    <col min="19" max="19" width="14" style="264" customWidth="1"/>
    <col min="20" max="20" width="13.109375" style="281" customWidth="1"/>
    <col min="21" max="21" width="13.44140625" style="281" customWidth="1"/>
    <col min="22" max="22" width="8.109375" style="281" customWidth="1"/>
    <col min="23" max="23" width="13.44140625" style="281" bestFit="1" customWidth="1"/>
    <col min="24" max="24" width="13.33203125" style="281" customWidth="1"/>
    <col min="25" max="25" width="10" style="252" customWidth="1"/>
    <col min="26" max="26" width="12.88671875" style="281" customWidth="1"/>
    <col min="27" max="27" width="13.44140625" style="281" customWidth="1"/>
    <col min="28" max="28" width="13.88671875" style="281" customWidth="1"/>
    <col min="29" max="29" width="2.33203125" style="281" customWidth="1"/>
    <col min="30" max="30" width="15.88671875" style="252" customWidth="1"/>
    <col min="31" max="31" width="12.33203125" style="281" bestFit="1" customWidth="1"/>
    <col min="32" max="16384" width="9.109375" style="281"/>
  </cols>
  <sheetData>
    <row r="1" spans="1:30" x14ac:dyDescent="0.25">
      <c r="A1" s="256"/>
      <c r="B1" s="256"/>
      <c r="C1" s="256"/>
      <c r="D1" s="256"/>
      <c r="E1" s="348"/>
      <c r="F1" s="256"/>
      <c r="G1" s="256"/>
      <c r="H1" s="348"/>
      <c r="I1" s="348"/>
      <c r="J1" s="348"/>
      <c r="K1" s="348"/>
      <c r="L1" s="383"/>
      <c r="M1" s="383"/>
      <c r="N1" s="383"/>
      <c r="O1" s="383"/>
      <c r="P1" s="383"/>
      <c r="Q1" s="383"/>
      <c r="R1" s="383"/>
      <c r="S1" s="383"/>
      <c r="T1" s="383"/>
      <c r="U1" s="383"/>
      <c r="V1" s="418"/>
      <c r="W1" s="418"/>
      <c r="X1" s="418"/>
      <c r="Y1" s="320"/>
      <c r="Z1" s="418"/>
      <c r="AA1" s="418"/>
      <c r="AB1" s="418"/>
      <c r="AC1" s="418"/>
      <c r="AD1" s="320"/>
    </row>
    <row r="3" spans="1:30" x14ac:dyDescent="0.25">
      <c r="F3" s="274"/>
      <c r="G3" s="274"/>
      <c r="P3" s="264"/>
      <c r="S3" s="281"/>
      <c r="T3" s="252"/>
      <c r="AD3" s="281"/>
    </row>
    <row r="4" spans="1:30" ht="14.25" customHeight="1" thickBot="1" x14ac:dyDescent="0.35">
      <c r="E4" s="274"/>
      <c r="F4" s="338" t="s">
        <v>102</v>
      </c>
      <c r="G4" s="338"/>
      <c r="H4" s="338"/>
      <c r="I4" s="248"/>
      <c r="J4" s="248"/>
      <c r="K4" s="248"/>
      <c r="L4" s="248"/>
      <c r="M4" s="430"/>
      <c r="N4" s="430"/>
      <c r="O4" s="430"/>
      <c r="P4" s="430"/>
      <c r="Q4" s="430"/>
      <c r="R4" s="430"/>
      <c r="S4" s="430"/>
      <c r="T4" s="431"/>
      <c r="W4" s="252"/>
      <c r="Y4" s="281"/>
      <c r="AD4" s="281"/>
    </row>
    <row r="5" spans="1:30" ht="14.25" customHeight="1" x14ac:dyDescent="0.25">
      <c r="E5" s="274"/>
      <c r="F5" s="447" t="s">
        <v>96</v>
      </c>
      <c r="G5" s="448"/>
      <c r="H5" s="448"/>
      <c r="I5" s="448"/>
      <c r="J5" s="448"/>
      <c r="K5" s="448"/>
      <c r="L5" s="440"/>
      <c r="M5" s="449" t="s">
        <v>90</v>
      </c>
      <c r="N5" s="451"/>
      <c r="S5" s="281"/>
      <c r="W5" s="252"/>
      <c r="Y5" s="281"/>
      <c r="AD5" s="281"/>
    </row>
    <row r="6" spans="1:30" ht="13.5" customHeight="1" x14ac:dyDescent="0.25">
      <c r="B6" s="275"/>
      <c r="C6" s="265" t="s">
        <v>24</v>
      </c>
      <c r="E6" s="281"/>
      <c r="M6" s="264"/>
      <c r="S6" s="281"/>
      <c r="W6" s="252"/>
      <c r="Y6" s="281"/>
      <c r="AD6" s="281"/>
    </row>
    <row r="7" spans="1:30" ht="13.5" customHeight="1" thickBot="1" x14ac:dyDescent="0.3">
      <c r="B7" s="275"/>
      <c r="C7" s="265"/>
      <c r="E7" s="281"/>
      <c r="H7" s="445" t="s">
        <v>81</v>
      </c>
      <c r="I7" s="446"/>
      <c r="M7" s="252"/>
      <c r="R7" s="252"/>
      <c r="S7" s="281"/>
      <c r="Y7" s="281"/>
      <c r="AD7" s="281"/>
    </row>
    <row r="8" spans="1:30" ht="27" customHeight="1" thickBot="1" x14ac:dyDescent="0.3">
      <c r="E8" s="281"/>
      <c r="K8" s="452" t="s">
        <v>68</v>
      </c>
      <c r="L8" s="453"/>
      <c r="M8" s="454"/>
      <c r="N8" s="435" t="s">
        <v>30</v>
      </c>
      <c r="O8" s="436"/>
      <c r="P8" s="437"/>
      <c r="S8" s="281"/>
      <c r="Y8" s="281"/>
      <c r="AD8" s="281"/>
    </row>
    <row r="9" spans="1:30" s="265" customFormat="1" ht="52.5" customHeight="1" thickBot="1" x14ac:dyDescent="0.3">
      <c r="B9" s="271" t="s">
        <v>6</v>
      </c>
      <c r="C9" s="271" t="s">
        <v>23</v>
      </c>
      <c r="D9" s="271" t="s">
        <v>91</v>
      </c>
      <c r="E9" s="271" t="s">
        <v>92</v>
      </c>
      <c r="F9" s="271" t="s">
        <v>49</v>
      </c>
      <c r="G9" s="271" t="s">
        <v>20</v>
      </c>
      <c r="H9" s="272" t="s">
        <v>87</v>
      </c>
      <c r="I9" s="272" t="s">
        <v>88</v>
      </c>
      <c r="K9" s="416" t="s">
        <v>74</v>
      </c>
      <c r="L9" s="272" t="s">
        <v>75</v>
      </c>
      <c r="M9" s="291" t="s">
        <v>69</v>
      </c>
      <c r="N9" s="290" t="s">
        <v>70</v>
      </c>
      <c r="O9" s="272" t="s">
        <v>71</v>
      </c>
      <c r="P9" s="336" t="s">
        <v>93</v>
      </c>
    </row>
    <row r="10" spans="1:30" ht="13.8" thickBot="1" x14ac:dyDescent="0.3">
      <c r="B10" s="385"/>
      <c r="C10" s="276"/>
      <c r="D10" s="277"/>
      <c r="E10" s="277"/>
      <c r="F10" s="277"/>
      <c r="G10" s="277"/>
      <c r="H10" s="266"/>
      <c r="I10" s="266"/>
      <c r="K10" s="349" t="str">
        <f>M5</f>
        <v>OSR 500</v>
      </c>
      <c r="L10" s="266"/>
      <c r="M10" s="321"/>
      <c r="N10" s="359"/>
      <c r="O10" s="360"/>
      <c r="P10" s="350" t="str">
        <f>M5</f>
        <v>OSR 500</v>
      </c>
      <c r="S10" s="281"/>
      <c r="Y10" s="281"/>
      <c r="AD10" s="281"/>
    </row>
    <row r="11" spans="1:30" x14ac:dyDescent="0.25">
      <c r="B11" s="286">
        <v>1</v>
      </c>
      <c r="C11" s="269">
        <v>2011</v>
      </c>
      <c r="D11" s="420"/>
      <c r="E11" s="405"/>
      <c r="F11" s="319"/>
      <c r="G11" s="406">
        <v>0</v>
      </c>
      <c r="H11" s="406">
        <v>0</v>
      </c>
      <c r="I11" s="327"/>
      <c r="K11" s="415">
        <v>0</v>
      </c>
      <c r="L11" s="369">
        <f>1-K11</f>
        <v>1</v>
      </c>
      <c r="M11" s="370">
        <f t="shared" ref="M11:M37" si="0">SUM(K11:L11)</f>
        <v>1</v>
      </c>
      <c r="N11" s="339">
        <f>IFERROR((F11+G11+I11)*K11," ")</f>
        <v>0</v>
      </c>
      <c r="O11" s="340">
        <f>IFERROR(L11*(F11+G11+I11)," ")</f>
        <v>0</v>
      </c>
      <c r="P11" s="337">
        <f t="shared" ref="P11:P37" si="1">N11</f>
        <v>0</v>
      </c>
      <c r="Q11" s="280"/>
      <c r="S11" s="281"/>
      <c r="Y11" s="281"/>
      <c r="AD11" s="281"/>
    </row>
    <row r="12" spans="1:30" x14ac:dyDescent="0.25">
      <c r="B12" s="287">
        <v>2</v>
      </c>
      <c r="C12" s="269">
        <v>2012</v>
      </c>
      <c r="D12" s="421"/>
      <c r="E12" s="405"/>
      <c r="F12" s="319"/>
      <c r="G12" s="406">
        <v>0</v>
      </c>
      <c r="H12" s="406">
        <v>0</v>
      </c>
      <c r="I12" s="327"/>
      <c r="K12" s="424">
        <v>0</v>
      </c>
      <c r="L12" s="368">
        <f>1-K12</f>
        <v>1</v>
      </c>
      <c r="M12" s="371">
        <f t="shared" si="0"/>
        <v>1</v>
      </c>
      <c r="N12" s="422">
        <f t="shared" ref="N12:N37" si="2">IFERROR((F12+G12+I12)*K12," ")</f>
        <v>0</v>
      </c>
      <c r="O12" s="361">
        <f t="shared" ref="O12:O37" si="3">IFERROR(L12*(F12+G12+I12)," ")</f>
        <v>0</v>
      </c>
      <c r="P12" s="337">
        <f t="shared" si="1"/>
        <v>0</v>
      </c>
      <c r="Q12" s="280"/>
      <c r="S12" s="281"/>
      <c r="Y12" s="281"/>
      <c r="AD12" s="281"/>
    </row>
    <row r="13" spans="1:30" x14ac:dyDescent="0.25">
      <c r="B13" s="287">
        <v>3</v>
      </c>
      <c r="C13" s="269">
        <f t="shared" ref="C13:C37" si="4">C12+1</f>
        <v>2013</v>
      </c>
      <c r="D13" s="421"/>
      <c r="E13" s="405"/>
      <c r="F13" s="319"/>
      <c r="G13" s="406">
        <v>0</v>
      </c>
      <c r="H13" s="406">
        <v>0</v>
      </c>
      <c r="I13" s="327"/>
      <c r="K13" s="424">
        <v>0</v>
      </c>
      <c r="L13" s="368">
        <f t="shared" ref="L13:L37" si="5">1-K13</f>
        <v>1</v>
      </c>
      <c r="M13" s="371">
        <f t="shared" si="0"/>
        <v>1</v>
      </c>
      <c r="N13" s="422">
        <f t="shared" si="2"/>
        <v>0</v>
      </c>
      <c r="O13" s="361">
        <f t="shared" si="3"/>
        <v>0</v>
      </c>
      <c r="P13" s="337">
        <f t="shared" si="1"/>
        <v>0</v>
      </c>
      <c r="Q13" s="280"/>
      <c r="S13" s="281"/>
      <c r="Y13" s="281"/>
      <c r="AD13" s="281"/>
    </row>
    <row r="14" spans="1:30" x14ac:dyDescent="0.25">
      <c r="B14" s="287">
        <v>4</v>
      </c>
      <c r="C14" s="269">
        <f t="shared" si="4"/>
        <v>2014</v>
      </c>
      <c r="D14" s="421"/>
      <c r="E14" s="405"/>
      <c r="F14" s="319"/>
      <c r="G14" s="406">
        <v>0</v>
      </c>
      <c r="H14" s="406">
        <v>0</v>
      </c>
      <c r="I14" s="327"/>
      <c r="K14" s="424">
        <v>0</v>
      </c>
      <c r="L14" s="368">
        <f t="shared" si="5"/>
        <v>1</v>
      </c>
      <c r="M14" s="371">
        <f t="shared" si="0"/>
        <v>1</v>
      </c>
      <c r="N14" s="422">
        <f t="shared" si="2"/>
        <v>0</v>
      </c>
      <c r="O14" s="361">
        <f t="shared" si="3"/>
        <v>0</v>
      </c>
      <c r="P14" s="337">
        <f t="shared" si="1"/>
        <v>0</v>
      </c>
      <c r="Q14" s="280"/>
      <c r="S14" s="281"/>
      <c r="Y14" s="281"/>
      <c r="AD14" s="281"/>
    </row>
    <row r="15" spans="1:30" x14ac:dyDescent="0.25">
      <c r="B15" s="287">
        <v>5</v>
      </c>
      <c r="C15" s="269">
        <f t="shared" si="4"/>
        <v>2015</v>
      </c>
      <c r="D15" s="421"/>
      <c r="E15" s="405"/>
      <c r="F15" s="319"/>
      <c r="G15" s="406">
        <v>0</v>
      </c>
      <c r="H15" s="406">
        <v>0</v>
      </c>
      <c r="I15" s="327"/>
      <c r="K15" s="424">
        <v>0</v>
      </c>
      <c r="L15" s="368">
        <f t="shared" si="5"/>
        <v>1</v>
      </c>
      <c r="M15" s="371">
        <f t="shared" si="0"/>
        <v>1</v>
      </c>
      <c r="N15" s="422">
        <f t="shared" si="2"/>
        <v>0</v>
      </c>
      <c r="O15" s="361">
        <f t="shared" si="3"/>
        <v>0</v>
      </c>
      <c r="P15" s="337">
        <f t="shared" si="1"/>
        <v>0</v>
      </c>
      <c r="Q15" s="280"/>
      <c r="S15" s="281"/>
      <c r="Y15" s="281"/>
      <c r="AD15" s="281"/>
    </row>
    <row r="16" spans="1:30" x14ac:dyDescent="0.25">
      <c r="B16" s="287">
        <v>6</v>
      </c>
      <c r="C16" s="269">
        <f t="shared" si="4"/>
        <v>2016</v>
      </c>
      <c r="D16" s="421"/>
      <c r="E16" s="405"/>
      <c r="F16" s="319"/>
      <c r="G16" s="406">
        <v>0</v>
      </c>
      <c r="H16" s="406">
        <v>0</v>
      </c>
      <c r="I16" s="327"/>
      <c r="K16" s="424">
        <v>0</v>
      </c>
      <c r="L16" s="368">
        <f t="shared" si="5"/>
        <v>1</v>
      </c>
      <c r="M16" s="371">
        <f t="shared" si="0"/>
        <v>1</v>
      </c>
      <c r="N16" s="422">
        <f t="shared" si="2"/>
        <v>0</v>
      </c>
      <c r="O16" s="361">
        <f t="shared" si="3"/>
        <v>0</v>
      </c>
      <c r="P16" s="337">
        <f t="shared" si="1"/>
        <v>0</v>
      </c>
      <c r="Q16" s="280"/>
      <c r="S16" s="281"/>
      <c r="Y16" s="281"/>
      <c r="AD16" s="281"/>
    </row>
    <row r="17" spans="2:30" x14ac:dyDescent="0.25">
      <c r="B17" s="287">
        <v>7</v>
      </c>
      <c r="C17" s="269">
        <f t="shared" si="4"/>
        <v>2017</v>
      </c>
      <c r="D17" s="421"/>
      <c r="E17" s="405"/>
      <c r="F17" s="319"/>
      <c r="G17" s="406">
        <v>0</v>
      </c>
      <c r="H17" s="407">
        <v>0</v>
      </c>
      <c r="I17" s="327"/>
      <c r="K17" s="424">
        <v>0</v>
      </c>
      <c r="L17" s="368">
        <f t="shared" si="5"/>
        <v>1</v>
      </c>
      <c r="M17" s="371">
        <f t="shared" si="0"/>
        <v>1</v>
      </c>
      <c r="N17" s="422">
        <f t="shared" si="2"/>
        <v>0</v>
      </c>
      <c r="O17" s="361">
        <f t="shared" si="3"/>
        <v>0</v>
      </c>
      <c r="P17" s="337">
        <f t="shared" si="1"/>
        <v>0</v>
      </c>
      <c r="Q17" s="280"/>
      <c r="S17" s="281"/>
      <c r="Y17" s="281"/>
      <c r="AD17" s="281"/>
    </row>
    <row r="18" spans="2:30" x14ac:dyDescent="0.25">
      <c r="B18" s="287">
        <v>8</v>
      </c>
      <c r="C18" s="269">
        <f t="shared" si="4"/>
        <v>2018</v>
      </c>
      <c r="D18" s="421"/>
      <c r="E18" s="405"/>
      <c r="F18" s="319"/>
      <c r="G18" s="406">
        <v>0</v>
      </c>
      <c r="H18" s="407">
        <v>0</v>
      </c>
      <c r="I18" s="327"/>
      <c r="K18" s="424">
        <v>0</v>
      </c>
      <c r="L18" s="368">
        <f t="shared" si="5"/>
        <v>1</v>
      </c>
      <c r="M18" s="371">
        <f t="shared" si="0"/>
        <v>1</v>
      </c>
      <c r="N18" s="422">
        <f t="shared" si="2"/>
        <v>0</v>
      </c>
      <c r="O18" s="361">
        <f t="shared" si="3"/>
        <v>0</v>
      </c>
      <c r="P18" s="337">
        <f t="shared" si="1"/>
        <v>0</v>
      </c>
      <c r="Q18" s="280"/>
      <c r="S18" s="281"/>
      <c r="Y18" s="281"/>
      <c r="AD18" s="281"/>
    </row>
    <row r="19" spans="2:30" x14ac:dyDescent="0.25">
      <c r="B19" s="287">
        <v>9</v>
      </c>
      <c r="C19" s="269">
        <f t="shared" si="4"/>
        <v>2019</v>
      </c>
      <c r="D19" s="421"/>
      <c r="E19" s="405"/>
      <c r="F19" s="319"/>
      <c r="G19" s="406">
        <v>0</v>
      </c>
      <c r="H19" s="407">
        <v>0</v>
      </c>
      <c r="I19" s="327"/>
      <c r="K19" s="424">
        <v>0</v>
      </c>
      <c r="L19" s="368">
        <f t="shared" si="5"/>
        <v>1</v>
      </c>
      <c r="M19" s="371">
        <f t="shared" si="0"/>
        <v>1</v>
      </c>
      <c r="N19" s="422">
        <f t="shared" si="2"/>
        <v>0</v>
      </c>
      <c r="O19" s="361">
        <f t="shared" si="3"/>
        <v>0</v>
      </c>
      <c r="P19" s="337">
        <f t="shared" si="1"/>
        <v>0</v>
      </c>
      <c r="Q19" s="280"/>
      <c r="S19" s="281"/>
      <c r="Y19" s="281"/>
      <c r="AD19" s="281"/>
    </row>
    <row r="20" spans="2:30" x14ac:dyDescent="0.25">
      <c r="B20" s="287">
        <v>10</v>
      </c>
      <c r="C20" s="269">
        <f t="shared" si="4"/>
        <v>2020</v>
      </c>
      <c r="D20" s="421"/>
      <c r="E20" s="405"/>
      <c r="F20" s="319"/>
      <c r="G20" s="406">
        <v>0</v>
      </c>
      <c r="H20" s="407">
        <v>0</v>
      </c>
      <c r="I20" s="327"/>
      <c r="K20" s="424">
        <v>0</v>
      </c>
      <c r="L20" s="368">
        <f t="shared" si="5"/>
        <v>1</v>
      </c>
      <c r="M20" s="371">
        <f t="shared" si="0"/>
        <v>1</v>
      </c>
      <c r="N20" s="422">
        <f t="shared" si="2"/>
        <v>0</v>
      </c>
      <c r="O20" s="361">
        <f t="shared" si="3"/>
        <v>0</v>
      </c>
      <c r="P20" s="337">
        <f t="shared" si="1"/>
        <v>0</v>
      </c>
      <c r="Q20" s="280"/>
      <c r="S20" s="281"/>
      <c r="Y20" s="281"/>
      <c r="AD20" s="281"/>
    </row>
    <row r="21" spans="2:30" x14ac:dyDescent="0.25">
      <c r="B21" s="287">
        <v>11</v>
      </c>
      <c r="C21" s="269">
        <f t="shared" si="4"/>
        <v>2021</v>
      </c>
      <c r="D21" s="421"/>
      <c r="E21" s="405"/>
      <c r="F21" s="319"/>
      <c r="G21" s="406">
        <v>0</v>
      </c>
      <c r="H21" s="407">
        <v>0</v>
      </c>
      <c r="I21" s="327"/>
      <c r="K21" s="424">
        <v>0</v>
      </c>
      <c r="L21" s="368">
        <f t="shared" si="5"/>
        <v>1</v>
      </c>
      <c r="M21" s="371">
        <f t="shared" si="0"/>
        <v>1</v>
      </c>
      <c r="N21" s="422">
        <f t="shared" si="2"/>
        <v>0</v>
      </c>
      <c r="O21" s="361">
        <f t="shared" si="3"/>
        <v>0</v>
      </c>
      <c r="P21" s="337">
        <f t="shared" si="1"/>
        <v>0</v>
      </c>
      <c r="Q21" s="280"/>
      <c r="S21" s="281"/>
      <c r="Y21" s="281"/>
      <c r="AD21" s="281"/>
    </row>
    <row r="22" spans="2:30" x14ac:dyDescent="0.25">
      <c r="B22" s="287">
        <v>12</v>
      </c>
      <c r="C22" s="269">
        <f t="shared" si="4"/>
        <v>2022</v>
      </c>
      <c r="D22" s="421"/>
      <c r="E22" s="405"/>
      <c r="F22" s="319"/>
      <c r="G22" s="406">
        <v>0</v>
      </c>
      <c r="H22" s="407">
        <v>0</v>
      </c>
      <c r="I22" s="327"/>
      <c r="K22" s="424">
        <v>0</v>
      </c>
      <c r="L22" s="368">
        <f t="shared" si="5"/>
        <v>1</v>
      </c>
      <c r="M22" s="371">
        <f t="shared" si="0"/>
        <v>1</v>
      </c>
      <c r="N22" s="422">
        <f t="shared" si="2"/>
        <v>0</v>
      </c>
      <c r="O22" s="361">
        <f t="shared" si="3"/>
        <v>0</v>
      </c>
      <c r="P22" s="337">
        <f t="shared" si="1"/>
        <v>0</v>
      </c>
      <c r="Q22" s="280"/>
      <c r="S22" s="281"/>
      <c r="Y22" s="281"/>
      <c r="AD22" s="281"/>
    </row>
    <row r="23" spans="2:30" x14ac:dyDescent="0.25">
      <c r="B23" s="287">
        <v>13</v>
      </c>
      <c r="C23" s="269">
        <f t="shared" si="4"/>
        <v>2023</v>
      </c>
      <c r="D23" s="421"/>
      <c r="E23" s="405"/>
      <c r="F23" s="319"/>
      <c r="G23" s="406">
        <v>0</v>
      </c>
      <c r="H23" s="407">
        <v>0</v>
      </c>
      <c r="I23" s="327"/>
      <c r="K23" s="424">
        <v>0</v>
      </c>
      <c r="L23" s="368">
        <f t="shared" si="5"/>
        <v>1</v>
      </c>
      <c r="M23" s="371">
        <f t="shared" si="0"/>
        <v>1</v>
      </c>
      <c r="N23" s="422">
        <f t="shared" si="2"/>
        <v>0</v>
      </c>
      <c r="O23" s="361">
        <f t="shared" si="3"/>
        <v>0</v>
      </c>
      <c r="P23" s="337">
        <f t="shared" si="1"/>
        <v>0</v>
      </c>
      <c r="Q23" s="280"/>
      <c r="S23" s="281"/>
      <c r="Y23" s="281"/>
      <c r="AD23" s="281"/>
    </row>
    <row r="24" spans="2:30" x14ac:dyDescent="0.25">
      <c r="B24" s="287">
        <v>14</v>
      </c>
      <c r="C24" s="269">
        <f t="shared" si="4"/>
        <v>2024</v>
      </c>
      <c r="D24" s="421"/>
      <c r="E24" s="405"/>
      <c r="F24" s="319"/>
      <c r="G24" s="406">
        <v>0</v>
      </c>
      <c r="H24" s="407">
        <v>0</v>
      </c>
      <c r="I24" s="327"/>
      <c r="K24" s="424">
        <v>0</v>
      </c>
      <c r="L24" s="368">
        <f t="shared" si="5"/>
        <v>1</v>
      </c>
      <c r="M24" s="371">
        <f t="shared" si="0"/>
        <v>1</v>
      </c>
      <c r="N24" s="422">
        <f t="shared" si="2"/>
        <v>0</v>
      </c>
      <c r="O24" s="361">
        <f t="shared" si="3"/>
        <v>0</v>
      </c>
      <c r="P24" s="337">
        <f t="shared" si="1"/>
        <v>0</v>
      </c>
      <c r="Q24" s="280"/>
      <c r="S24" s="281"/>
      <c r="Y24" s="281"/>
      <c r="AD24" s="281"/>
    </row>
    <row r="25" spans="2:30" x14ac:dyDescent="0.25">
      <c r="B25" s="287">
        <v>15</v>
      </c>
      <c r="C25" s="269">
        <f t="shared" si="4"/>
        <v>2025</v>
      </c>
      <c r="D25" s="421"/>
      <c r="E25" s="405"/>
      <c r="F25" s="319"/>
      <c r="G25" s="406">
        <v>0</v>
      </c>
      <c r="H25" s="407">
        <v>0</v>
      </c>
      <c r="I25" s="327"/>
      <c r="K25" s="424">
        <v>0</v>
      </c>
      <c r="L25" s="368">
        <f t="shared" si="5"/>
        <v>1</v>
      </c>
      <c r="M25" s="371">
        <f t="shared" si="0"/>
        <v>1</v>
      </c>
      <c r="N25" s="422">
        <f t="shared" si="2"/>
        <v>0</v>
      </c>
      <c r="O25" s="361">
        <f t="shared" si="3"/>
        <v>0</v>
      </c>
      <c r="P25" s="337">
        <f t="shared" si="1"/>
        <v>0</v>
      </c>
      <c r="Q25" s="280"/>
      <c r="S25" s="281"/>
      <c r="Y25" s="281"/>
      <c r="AD25" s="281"/>
    </row>
    <row r="26" spans="2:30" x14ac:dyDescent="0.25">
      <c r="B26" s="287">
        <v>16</v>
      </c>
      <c r="C26" s="269">
        <f t="shared" si="4"/>
        <v>2026</v>
      </c>
      <c r="D26" s="421"/>
      <c r="E26" s="405"/>
      <c r="F26" s="319"/>
      <c r="G26" s="406">
        <v>0</v>
      </c>
      <c r="H26" s="407">
        <v>0</v>
      </c>
      <c r="I26" s="327"/>
      <c r="K26" s="424">
        <v>0</v>
      </c>
      <c r="L26" s="368">
        <f t="shared" si="5"/>
        <v>1</v>
      </c>
      <c r="M26" s="371">
        <f t="shared" si="0"/>
        <v>1</v>
      </c>
      <c r="N26" s="422">
        <f t="shared" si="2"/>
        <v>0</v>
      </c>
      <c r="O26" s="361">
        <f t="shared" si="3"/>
        <v>0</v>
      </c>
      <c r="P26" s="337">
        <f t="shared" si="1"/>
        <v>0</v>
      </c>
      <c r="Q26" s="280"/>
      <c r="S26" s="281"/>
      <c r="Y26" s="281"/>
      <c r="AD26" s="281"/>
    </row>
    <row r="27" spans="2:30" x14ac:dyDescent="0.25">
      <c r="B27" s="287">
        <v>17</v>
      </c>
      <c r="C27" s="269">
        <f t="shared" si="4"/>
        <v>2027</v>
      </c>
      <c r="D27" s="421"/>
      <c r="E27" s="405"/>
      <c r="F27" s="319"/>
      <c r="G27" s="406">
        <v>0</v>
      </c>
      <c r="H27" s="407">
        <v>0</v>
      </c>
      <c r="I27" s="327"/>
      <c r="K27" s="424">
        <v>0</v>
      </c>
      <c r="L27" s="368">
        <f t="shared" si="5"/>
        <v>1</v>
      </c>
      <c r="M27" s="371">
        <f t="shared" si="0"/>
        <v>1</v>
      </c>
      <c r="N27" s="422">
        <f t="shared" si="2"/>
        <v>0</v>
      </c>
      <c r="O27" s="361">
        <f t="shared" si="3"/>
        <v>0</v>
      </c>
      <c r="P27" s="337">
        <f t="shared" si="1"/>
        <v>0</v>
      </c>
      <c r="Q27" s="280"/>
      <c r="S27" s="281"/>
      <c r="Y27" s="281"/>
      <c r="AD27" s="281"/>
    </row>
    <row r="28" spans="2:30" x14ac:dyDescent="0.25">
      <c r="B28" s="287">
        <v>18</v>
      </c>
      <c r="C28" s="269">
        <f t="shared" si="4"/>
        <v>2028</v>
      </c>
      <c r="D28" s="421"/>
      <c r="E28" s="405"/>
      <c r="F28" s="319"/>
      <c r="G28" s="406">
        <v>0</v>
      </c>
      <c r="H28" s="407">
        <v>0</v>
      </c>
      <c r="I28" s="327"/>
      <c r="K28" s="424">
        <v>0</v>
      </c>
      <c r="L28" s="368">
        <f t="shared" si="5"/>
        <v>1</v>
      </c>
      <c r="M28" s="371">
        <f t="shared" si="0"/>
        <v>1</v>
      </c>
      <c r="N28" s="422">
        <f t="shared" si="2"/>
        <v>0</v>
      </c>
      <c r="O28" s="361">
        <f t="shared" si="3"/>
        <v>0</v>
      </c>
      <c r="P28" s="337">
        <f t="shared" si="1"/>
        <v>0</v>
      </c>
      <c r="Q28" s="280"/>
      <c r="S28" s="281"/>
      <c r="Y28" s="281"/>
      <c r="AD28" s="281"/>
    </row>
    <row r="29" spans="2:30" x14ac:dyDescent="0.25">
      <c r="B29" s="287">
        <v>19</v>
      </c>
      <c r="C29" s="269">
        <f t="shared" si="4"/>
        <v>2029</v>
      </c>
      <c r="D29" s="421"/>
      <c r="E29" s="405"/>
      <c r="F29" s="319"/>
      <c r="G29" s="406">
        <v>0</v>
      </c>
      <c r="H29" s="407">
        <v>0</v>
      </c>
      <c r="I29" s="327"/>
      <c r="J29" s="254"/>
      <c r="K29" s="424">
        <v>0</v>
      </c>
      <c r="L29" s="368">
        <f t="shared" si="5"/>
        <v>1</v>
      </c>
      <c r="M29" s="371">
        <f t="shared" si="0"/>
        <v>1</v>
      </c>
      <c r="N29" s="422">
        <f t="shared" si="2"/>
        <v>0</v>
      </c>
      <c r="O29" s="361">
        <f t="shared" si="3"/>
        <v>0</v>
      </c>
      <c r="P29" s="337">
        <f t="shared" si="1"/>
        <v>0</v>
      </c>
      <c r="Q29" s="280"/>
      <c r="S29" s="281"/>
      <c r="Y29" s="281"/>
      <c r="AD29" s="281"/>
    </row>
    <row r="30" spans="2:30" x14ac:dyDescent="0.25">
      <c r="B30" s="287">
        <v>20</v>
      </c>
      <c r="C30" s="269">
        <f t="shared" si="4"/>
        <v>2030</v>
      </c>
      <c r="D30" s="421"/>
      <c r="E30" s="405"/>
      <c r="F30" s="319"/>
      <c r="G30" s="406">
        <v>0</v>
      </c>
      <c r="H30" s="407">
        <v>0</v>
      </c>
      <c r="I30" s="327"/>
      <c r="K30" s="424">
        <v>0</v>
      </c>
      <c r="L30" s="368">
        <f t="shared" si="5"/>
        <v>1</v>
      </c>
      <c r="M30" s="371">
        <f t="shared" si="0"/>
        <v>1</v>
      </c>
      <c r="N30" s="422">
        <f t="shared" si="2"/>
        <v>0</v>
      </c>
      <c r="O30" s="361">
        <f t="shared" si="3"/>
        <v>0</v>
      </c>
      <c r="P30" s="337">
        <f t="shared" si="1"/>
        <v>0</v>
      </c>
      <c r="Q30" s="280"/>
      <c r="S30" s="281"/>
      <c r="Y30" s="281"/>
      <c r="AD30" s="281"/>
    </row>
    <row r="31" spans="2:30" x14ac:dyDescent="0.25">
      <c r="B31" s="287">
        <v>21</v>
      </c>
      <c r="C31" s="269">
        <f t="shared" si="4"/>
        <v>2031</v>
      </c>
      <c r="D31" s="421"/>
      <c r="E31" s="405"/>
      <c r="F31" s="319"/>
      <c r="G31" s="406">
        <v>0</v>
      </c>
      <c r="H31" s="407">
        <v>0</v>
      </c>
      <c r="I31" s="327"/>
      <c r="K31" s="424">
        <v>0</v>
      </c>
      <c r="L31" s="368">
        <f t="shared" si="5"/>
        <v>1</v>
      </c>
      <c r="M31" s="371">
        <f t="shared" si="0"/>
        <v>1</v>
      </c>
      <c r="N31" s="422">
        <f t="shared" si="2"/>
        <v>0</v>
      </c>
      <c r="O31" s="361">
        <f t="shared" si="3"/>
        <v>0</v>
      </c>
      <c r="P31" s="337">
        <f t="shared" si="1"/>
        <v>0</v>
      </c>
      <c r="Q31" s="280"/>
      <c r="S31" s="281"/>
      <c r="Y31" s="281"/>
      <c r="AD31" s="281"/>
    </row>
    <row r="32" spans="2:30" x14ac:dyDescent="0.25">
      <c r="B32" s="287">
        <v>22</v>
      </c>
      <c r="C32" s="269">
        <f t="shared" si="4"/>
        <v>2032</v>
      </c>
      <c r="D32" s="421"/>
      <c r="E32" s="405"/>
      <c r="F32" s="319"/>
      <c r="G32" s="406">
        <v>0</v>
      </c>
      <c r="H32" s="407">
        <v>0</v>
      </c>
      <c r="I32" s="327"/>
      <c r="J32" s="255"/>
      <c r="K32" s="424">
        <v>0</v>
      </c>
      <c r="L32" s="368">
        <f t="shared" si="5"/>
        <v>1</v>
      </c>
      <c r="M32" s="371">
        <f t="shared" si="0"/>
        <v>1</v>
      </c>
      <c r="N32" s="422">
        <f t="shared" si="2"/>
        <v>0</v>
      </c>
      <c r="O32" s="361">
        <f t="shared" si="3"/>
        <v>0</v>
      </c>
      <c r="P32" s="337">
        <f t="shared" si="1"/>
        <v>0</v>
      </c>
      <c r="Q32" s="280"/>
      <c r="S32" s="281"/>
      <c r="Y32" s="281"/>
      <c r="AD32" s="281"/>
    </row>
    <row r="33" spans="2:30" x14ac:dyDescent="0.25">
      <c r="B33" s="287">
        <v>23</v>
      </c>
      <c r="C33" s="269">
        <f t="shared" si="4"/>
        <v>2033</v>
      </c>
      <c r="D33" s="421"/>
      <c r="E33" s="405"/>
      <c r="F33" s="319"/>
      <c r="G33" s="406">
        <v>0</v>
      </c>
      <c r="H33" s="407">
        <v>0</v>
      </c>
      <c r="I33" s="327"/>
      <c r="K33" s="424">
        <v>0</v>
      </c>
      <c r="L33" s="368">
        <f t="shared" si="5"/>
        <v>1</v>
      </c>
      <c r="M33" s="371">
        <f t="shared" si="0"/>
        <v>1</v>
      </c>
      <c r="N33" s="422">
        <f t="shared" si="2"/>
        <v>0</v>
      </c>
      <c r="O33" s="361">
        <f t="shared" si="3"/>
        <v>0</v>
      </c>
      <c r="P33" s="337">
        <f t="shared" si="1"/>
        <v>0</v>
      </c>
      <c r="Q33" s="280"/>
      <c r="S33" s="281"/>
      <c r="Y33" s="281"/>
      <c r="AD33" s="281"/>
    </row>
    <row r="34" spans="2:30" x14ac:dyDescent="0.25">
      <c r="B34" s="287">
        <v>24</v>
      </c>
      <c r="C34" s="269">
        <f t="shared" si="4"/>
        <v>2034</v>
      </c>
      <c r="D34" s="421"/>
      <c r="E34" s="405"/>
      <c r="F34" s="319"/>
      <c r="G34" s="406">
        <v>0</v>
      </c>
      <c r="H34" s="407">
        <v>0</v>
      </c>
      <c r="I34" s="327"/>
      <c r="K34" s="424">
        <v>0</v>
      </c>
      <c r="L34" s="368">
        <f t="shared" si="5"/>
        <v>1</v>
      </c>
      <c r="M34" s="371">
        <f t="shared" si="0"/>
        <v>1</v>
      </c>
      <c r="N34" s="422">
        <f t="shared" si="2"/>
        <v>0</v>
      </c>
      <c r="O34" s="361">
        <f t="shared" si="3"/>
        <v>0</v>
      </c>
      <c r="P34" s="337">
        <f t="shared" si="1"/>
        <v>0</v>
      </c>
      <c r="Q34" s="280"/>
      <c r="S34" s="281"/>
      <c r="Y34" s="281"/>
      <c r="AD34" s="281"/>
    </row>
    <row r="35" spans="2:30" x14ac:dyDescent="0.25">
      <c r="B35" s="287">
        <v>25</v>
      </c>
      <c r="C35" s="269">
        <f t="shared" si="4"/>
        <v>2035</v>
      </c>
      <c r="D35" s="421"/>
      <c r="E35" s="405"/>
      <c r="F35" s="319"/>
      <c r="G35" s="406">
        <v>0</v>
      </c>
      <c r="H35" s="407">
        <v>0</v>
      </c>
      <c r="I35" s="327"/>
      <c r="K35" s="424">
        <v>0</v>
      </c>
      <c r="L35" s="368">
        <f t="shared" si="5"/>
        <v>1</v>
      </c>
      <c r="M35" s="371">
        <f t="shared" si="0"/>
        <v>1</v>
      </c>
      <c r="N35" s="422">
        <f t="shared" si="2"/>
        <v>0</v>
      </c>
      <c r="O35" s="361">
        <f t="shared" si="3"/>
        <v>0</v>
      </c>
      <c r="P35" s="337">
        <f t="shared" si="1"/>
        <v>0</v>
      </c>
      <c r="Q35" s="280"/>
      <c r="S35" s="281"/>
      <c r="Y35" s="281"/>
      <c r="AD35" s="281"/>
    </row>
    <row r="36" spans="2:30" x14ac:dyDescent="0.25">
      <c r="B36" s="287">
        <v>26</v>
      </c>
      <c r="C36" s="269">
        <f t="shared" si="4"/>
        <v>2036</v>
      </c>
      <c r="D36" s="421"/>
      <c r="E36" s="405"/>
      <c r="F36" s="319"/>
      <c r="G36" s="406">
        <v>0</v>
      </c>
      <c r="H36" s="407">
        <v>0</v>
      </c>
      <c r="I36" s="327"/>
      <c r="K36" s="424">
        <v>0</v>
      </c>
      <c r="L36" s="368">
        <f t="shared" si="5"/>
        <v>1</v>
      </c>
      <c r="M36" s="371">
        <f t="shared" si="0"/>
        <v>1</v>
      </c>
      <c r="N36" s="422">
        <f t="shared" si="2"/>
        <v>0</v>
      </c>
      <c r="O36" s="361">
        <f t="shared" si="3"/>
        <v>0</v>
      </c>
      <c r="P36" s="337">
        <f t="shared" si="1"/>
        <v>0</v>
      </c>
      <c r="Q36" s="280"/>
      <c r="S36" s="281"/>
      <c r="Y36" s="281"/>
      <c r="AD36" s="281"/>
    </row>
    <row r="37" spans="2:30" x14ac:dyDescent="0.25">
      <c r="B37" s="287">
        <v>27</v>
      </c>
      <c r="C37" s="269">
        <f t="shared" si="4"/>
        <v>2037</v>
      </c>
      <c r="D37" s="421"/>
      <c r="E37" s="405"/>
      <c r="F37" s="319"/>
      <c r="G37" s="406">
        <v>0</v>
      </c>
      <c r="H37" s="407">
        <v>0</v>
      </c>
      <c r="I37" s="327"/>
      <c r="K37" s="424">
        <v>0</v>
      </c>
      <c r="L37" s="368">
        <f t="shared" si="5"/>
        <v>1</v>
      </c>
      <c r="M37" s="371">
        <f t="shared" si="0"/>
        <v>1</v>
      </c>
      <c r="N37" s="422">
        <f t="shared" si="2"/>
        <v>0</v>
      </c>
      <c r="O37" s="361">
        <f t="shared" si="3"/>
        <v>0</v>
      </c>
      <c r="P37" s="337">
        <f t="shared" si="1"/>
        <v>0</v>
      </c>
      <c r="Q37" s="280"/>
      <c r="S37" s="281"/>
      <c r="Y37" s="281"/>
      <c r="AD37" s="281"/>
    </row>
    <row r="38" spans="2:30" ht="13.8" thickBot="1" x14ac:dyDescent="0.3">
      <c r="B38" s="287"/>
      <c r="C38" s="269"/>
      <c r="D38" s="421"/>
      <c r="E38" s="405"/>
      <c r="F38" s="319"/>
      <c r="G38" s="406"/>
      <c r="H38" s="407"/>
      <c r="I38" s="334"/>
      <c r="K38" s="423"/>
      <c r="L38" s="362"/>
      <c r="M38" s="322"/>
      <c r="N38" s="423"/>
      <c r="O38" s="362"/>
      <c r="P38" s="334"/>
      <c r="S38" s="281"/>
      <c r="Y38" s="281"/>
      <c r="AD38" s="281"/>
    </row>
    <row r="39" spans="2:30" x14ac:dyDescent="0.25">
      <c r="F39" s="261"/>
      <c r="G39" s="261"/>
      <c r="H39" s="253"/>
      <c r="T39" s="264"/>
      <c r="U39" s="264"/>
    </row>
    <row r="40" spans="2:30" x14ac:dyDescent="0.25">
      <c r="H40" s="329"/>
      <c r="I40" s="280"/>
      <c r="T40" s="264"/>
      <c r="U40" s="264"/>
    </row>
    <row r="41" spans="2:30" x14ac:dyDescent="0.25">
      <c r="B41" s="324"/>
      <c r="P41" s="264"/>
      <c r="Q41" s="264"/>
      <c r="S41" s="281"/>
      <c r="W41" s="252"/>
      <c r="Y41" s="281"/>
      <c r="AB41" s="252"/>
      <c r="AD41" s="281"/>
    </row>
    <row r="42" spans="2:30" x14ac:dyDescent="0.25">
      <c r="B42" s="324" t="s">
        <v>50</v>
      </c>
      <c r="K42" s="318" t="s">
        <v>48</v>
      </c>
      <c r="L42" s="302"/>
      <c r="M42" s="302"/>
      <c r="N42" s="302"/>
      <c r="O42" s="302"/>
      <c r="P42" s="303"/>
      <c r="Q42" s="303"/>
      <c r="R42" s="304"/>
      <c r="S42" s="305"/>
      <c r="W42" s="252"/>
      <c r="Y42" s="281"/>
      <c r="AB42" s="252"/>
      <c r="AD42" s="281"/>
    </row>
    <row r="43" spans="2:30" x14ac:dyDescent="0.25">
      <c r="B43" s="281" t="s">
        <v>51</v>
      </c>
      <c r="F43" s="373"/>
      <c r="G43" s="373"/>
      <c r="H43" s="419"/>
      <c r="K43" s="306"/>
      <c r="L43" s="256"/>
      <c r="M43" s="256"/>
      <c r="N43" s="256"/>
      <c r="O43" s="256"/>
      <c r="P43" s="247" t="s">
        <v>41</v>
      </c>
      <c r="Q43" s="307"/>
      <c r="R43" s="256"/>
      <c r="S43" s="308">
        <f>0</f>
        <v>0</v>
      </c>
      <c r="T43" s="265" t="s">
        <v>94</v>
      </c>
      <c r="W43" s="252"/>
      <c r="Y43" s="281"/>
      <c r="AB43" s="252"/>
      <c r="AD43" s="281"/>
    </row>
    <row r="44" spans="2:30" x14ac:dyDescent="0.25">
      <c r="E44" s="281"/>
      <c r="K44" s="306"/>
      <c r="L44" s="256"/>
      <c r="M44" s="256"/>
      <c r="N44" s="256"/>
      <c r="O44" s="256"/>
      <c r="P44" s="247" t="s">
        <v>45</v>
      </c>
      <c r="Q44" s="307"/>
      <c r="R44" s="256"/>
      <c r="S44" s="308"/>
      <c r="W44" s="252"/>
      <c r="Y44" s="281"/>
      <c r="AB44" s="252"/>
      <c r="AD44" s="281"/>
    </row>
    <row r="45" spans="2:30" x14ac:dyDescent="0.25">
      <c r="B45" s="281" t="s">
        <v>55</v>
      </c>
      <c r="K45" s="297"/>
      <c r="L45" s="298" t="s">
        <v>42</v>
      </c>
      <c r="M45" s="408"/>
      <c r="N45" s="299" t="s">
        <v>43</v>
      </c>
      <c r="O45" s="409"/>
      <c r="P45" s="247" t="s">
        <v>44</v>
      </c>
      <c r="Q45" s="309"/>
      <c r="R45" s="310">
        <f>S43*M45*O45</f>
        <v>0</v>
      </c>
      <c r="S45" s="311"/>
      <c r="W45" s="252"/>
      <c r="Y45" s="281"/>
      <c r="AB45" s="252"/>
      <c r="AD45" s="281"/>
    </row>
    <row r="46" spans="2:30" x14ac:dyDescent="0.25">
      <c r="K46" s="297"/>
      <c r="L46" s="298" t="s">
        <v>42</v>
      </c>
      <c r="M46" s="408">
        <v>15</v>
      </c>
      <c r="N46" s="299" t="s">
        <v>43</v>
      </c>
      <c r="O46" s="300">
        <v>0.04</v>
      </c>
      <c r="P46" s="246" t="s">
        <v>44</v>
      </c>
      <c r="Q46" s="316"/>
      <c r="R46" s="301">
        <f>S43*M46*O46</f>
        <v>0</v>
      </c>
      <c r="S46" s="312">
        <f>-SUM(R45:R46)</f>
        <v>0</v>
      </c>
      <c r="W46" s="252"/>
      <c r="Y46" s="281"/>
      <c r="AB46" s="252"/>
      <c r="AD46" s="281"/>
    </row>
    <row r="47" spans="2:30" x14ac:dyDescent="0.25">
      <c r="B47" s="281" t="s">
        <v>61</v>
      </c>
      <c r="K47" s="306"/>
      <c r="L47" s="256"/>
      <c r="M47" s="256"/>
      <c r="N47" s="256"/>
      <c r="O47" s="256"/>
      <c r="P47" s="307"/>
      <c r="Q47" s="307"/>
      <c r="R47" s="313"/>
      <c r="S47" s="311"/>
      <c r="W47" s="252"/>
      <c r="Y47" s="281"/>
      <c r="AB47" s="252"/>
      <c r="AD47" s="281"/>
    </row>
    <row r="48" spans="2:30" x14ac:dyDescent="0.25">
      <c r="B48" s="281" t="s">
        <v>54</v>
      </c>
      <c r="K48" s="306"/>
      <c r="L48" s="256"/>
      <c r="M48" s="256"/>
      <c r="N48" s="256"/>
      <c r="O48" s="256"/>
      <c r="P48" s="307" t="s">
        <v>46</v>
      </c>
      <c r="Q48" s="307"/>
      <c r="R48" s="313"/>
      <c r="S48" s="372">
        <f>S43+S46</f>
        <v>0</v>
      </c>
      <c r="T48" s="265" t="s">
        <v>85</v>
      </c>
      <c r="V48" s="252"/>
      <c r="W48" s="252"/>
      <c r="Y48" s="281"/>
      <c r="AB48" s="252"/>
      <c r="AD48" s="281"/>
    </row>
    <row r="49" spans="2:30" x14ac:dyDescent="0.25">
      <c r="K49" s="314"/>
      <c r="L49" s="315"/>
      <c r="M49" s="315"/>
      <c r="N49" s="315"/>
      <c r="O49" s="315"/>
      <c r="P49" s="316"/>
      <c r="Q49" s="316"/>
      <c r="R49" s="301"/>
      <c r="S49" s="317"/>
      <c r="W49" s="252"/>
      <c r="Y49" s="281"/>
      <c r="AB49" s="252"/>
      <c r="AD49" s="281"/>
    </row>
    <row r="50" spans="2:30" x14ac:dyDescent="0.25">
      <c r="B50" s="281" t="s">
        <v>27</v>
      </c>
      <c r="F50" s="72" t="s">
        <v>101</v>
      </c>
      <c r="G50" s="245"/>
      <c r="P50" s="264"/>
      <c r="Q50" s="264"/>
      <c r="S50" s="281"/>
      <c r="W50" s="252"/>
      <c r="Y50" s="281"/>
      <c r="AB50" s="252"/>
      <c r="AD50" s="281"/>
    </row>
    <row r="51" spans="2:30" x14ac:dyDescent="0.25">
      <c r="K51" s="323" t="s">
        <v>53</v>
      </c>
      <c r="P51" s="264"/>
      <c r="Q51" s="264"/>
      <c r="S51" s="281"/>
      <c r="U51" s="252"/>
      <c r="W51" s="252"/>
      <c r="Y51" s="281"/>
      <c r="AB51" s="252"/>
      <c r="AD51" s="281"/>
    </row>
    <row r="52" spans="2:30" x14ac:dyDescent="0.25">
      <c r="O52" s="264"/>
      <c r="P52" s="264"/>
      <c r="Q52" s="264"/>
      <c r="S52" s="281"/>
      <c r="V52" s="252"/>
      <c r="W52" s="252"/>
      <c r="Y52" s="281"/>
      <c r="AB52" s="252"/>
      <c r="AD52" s="281"/>
    </row>
    <row r="53" spans="2:30" x14ac:dyDescent="0.25">
      <c r="Q53" s="264"/>
      <c r="S53" s="281"/>
      <c r="W53" s="252"/>
      <c r="Y53" s="281"/>
      <c r="AB53" s="252"/>
      <c r="AD53" s="281"/>
    </row>
  </sheetData>
  <mergeCells count="5">
    <mergeCell ref="F5:L5"/>
    <mergeCell ref="M5:N5"/>
    <mergeCell ref="H7:I7"/>
    <mergeCell ref="K8:M8"/>
    <mergeCell ref="N8:P8"/>
  </mergeCells>
  <hyperlinks>
    <hyperlink ref="F50"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D53"/>
  <sheetViews>
    <sheetView zoomScale="80" zoomScaleNormal="80" zoomScaleSheetLayoutView="90" workbookViewId="0">
      <selection activeCell="F50" sqref="F50"/>
    </sheetView>
  </sheetViews>
  <sheetFormatPr defaultColWidth="9.109375" defaultRowHeight="13.2" x14ac:dyDescent="0.25"/>
  <cols>
    <col min="1" max="1" width="2.109375" style="51" customWidth="1"/>
    <col min="2" max="2" width="7.44140625" style="51" customWidth="1"/>
    <col min="3" max="3" width="6.5546875" style="51" customWidth="1"/>
    <col min="4" max="4" width="17" style="51" customWidth="1"/>
    <col min="5" max="5" width="16.44140625" style="4" customWidth="1"/>
    <col min="6" max="6" width="15.44140625" style="51" customWidth="1"/>
    <col min="7" max="7" width="15.44140625" style="281" customWidth="1"/>
    <col min="8" max="8" width="14.6640625" style="51" customWidth="1"/>
    <col min="9" max="9" width="14.88671875" style="51" customWidth="1"/>
    <col min="10" max="10" width="15.6640625" style="51" customWidth="1"/>
    <col min="11" max="11" width="16.33203125" style="51" customWidth="1"/>
    <col min="12" max="12" width="14" style="51" customWidth="1"/>
    <col min="13" max="13" width="10.88671875" style="51" customWidth="1"/>
    <col min="14" max="14" width="12.33203125" style="242" customWidth="1"/>
    <col min="15" max="15" width="12.33203125" style="242" bestFit="1" customWidth="1"/>
    <col min="16" max="16" width="24.44140625" style="51" customWidth="1"/>
    <col min="17" max="17" width="15.5546875" style="242" customWidth="1"/>
    <col min="18" max="18" width="14.44140625" style="242" customWidth="1"/>
    <col min="19" max="19" width="14" style="19" customWidth="1"/>
    <col min="20" max="20" width="13.109375" style="51" customWidth="1"/>
    <col min="21" max="21" width="13.44140625" style="51" customWidth="1"/>
    <col min="22" max="22" width="8.109375" style="51" customWidth="1"/>
    <col min="23" max="23" width="13.44140625" style="51" bestFit="1" customWidth="1"/>
    <col min="24" max="24" width="13.33203125" style="51" customWidth="1"/>
    <col min="25" max="25" width="10" style="4" customWidth="1"/>
    <col min="26" max="26" width="12.88671875" style="51" customWidth="1"/>
    <col min="27" max="27" width="13.44140625" style="51" customWidth="1"/>
    <col min="28" max="28" width="13.88671875" style="51" customWidth="1"/>
    <col min="29" max="29" width="2.33203125" style="51" customWidth="1"/>
    <col min="30" max="30" width="15.88671875" style="4" customWidth="1"/>
    <col min="31" max="31" width="12.33203125" style="51" bestFit="1" customWidth="1"/>
    <col min="32" max="16384" width="9.109375" style="51"/>
  </cols>
  <sheetData>
    <row r="1" spans="1:30" x14ac:dyDescent="0.25">
      <c r="A1" s="256"/>
      <c r="B1" s="256"/>
      <c r="C1" s="256"/>
      <c r="D1" s="256"/>
      <c r="E1" s="348"/>
      <c r="F1" s="256"/>
      <c r="G1" s="256"/>
      <c r="H1" s="348"/>
      <c r="I1" s="348"/>
      <c r="J1" s="348"/>
      <c r="K1" s="348"/>
      <c r="L1" s="383"/>
      <c r="M1" s="383"/>
      <c r="N1" s="383"/>
      <c r="O1" s="383"/>
      <c r="P1" s="383"/>
      <c r="Q1" s="383"/>
      <c r="R1" s="383"/>
      <c r="S1" s="383"/>
      <c r="T1" s="383"/>
      <c r="U1" s="383"/>
      <c r="V1" s="123"/>
      <c r="W1" s="123"/>
      <c r="X1" s="123"/>
      <c r="Y1" s="108"/>
      <c r="Z1" s="123"/>
      <c r="AA1" s="123"/>
      <c r="AB1" s="123"/>
      <c r="AC1" s="123"/>
      <c r="AD1" s="108"/>
    </row>
    <row r="3" spans="1:30" x14ac:dyDescent="0.25">
      <c r="F3" s="39"/>
      <c r="G3" s="274"/>
      <c r="I3" s="242"/>
      <c r="J3" s="242"/>
      <c r="L3" s="242"/>
      <c r="M3" s="242"/>
      <c r="N3" s="431"/>
      <c r="O3" s="431"/>
      <c r="P3" s="432"/>
      <c r="Q3" s="431"/>
      <c r="R3" s="431"/>
      <c r="S3" s="431"/>
      <c r="T3" s="4"/>
      <c r="AD3" s="51"/>
    </row>
    <row r="4" spans="1:30" ht="14.25" customHeight="1" thickBot="1" x14ac:dyDescent="0.35">
      <c r="E4" s="274"/>
      <c r="F4" s="338" t="s">
        <v>102</v>
      </c>
      <c r="G4" s="234"/>
      <c r="H4" s="234"/>
      <c r="I4" s="155"/>
      <c r="J4" s="156"/>
      <c r="K4" s="156"/>
      <c r="L4" s="155"/>
      <c r="M4" s="155"/>
      <c r="N4" s="430"/>
      <c r="O4" s="430"/>
      <c r="P4" s="430"/>
      <c r="Q4" s="430"/>
      <c r="R4" s="430"/>
      <c r="S4" s="430"/>
      <c r="T4" s="281"/>
      <c r="U4" s="281"/>
      <c r="W4" s="4"/>
      <c r="Y4" s="51"/>
      <c r="AD4" s="51"/>
    </row>
    <row r="5" spans="1:30" ht="14.25" customHeight="1" x14ac:dyDescent="0.25">
      <c r="E5" s="274"/>
      <c r="F5" s="447" t="s">
        <v>95</v>
      </c>
      <c r="G5" s="448"/>
      <c r="H5" s="448"/>
      <c r="I5" s="448"/>
      <c r="J5" s="448"/>
      <c r="K5" s="448"/>
      <c r="L5" s="440"/>
      <c r="M5" s="449" t="s">
        <v>90</v>
      </c>
      <c r="N5" s="451"/>
      <c r="O5" s="281"/>
      <c r="P5" s="281"/>
      <c r="Q5" s="281"/>
      <c r="R5" s="281"/>
      <c r="S5" s="281"/>
      <c r="T5" s="281"/>
      <c r="U5" s="281"/>
      <c r="W5" s="4"/>
      <c r="Y5" s="51"/>
      <c r="AD5" s="51"/>
    </row>
    <row r="6" spans="1:30" ht="13.5" customHeight="1" x14ac:dyDescent="0.25">
      <c r="B6" s="41"/>
      <c r="C6" s="21" t="s">
        <v>24</v>
      </c>
      <c r="E6" s="281"/>
      <c r="F6" s="154"/>
      <c r="G6" s="242"/>
      <c r="H6" s="242"/>
      <c r="I6" s="154"/>
      <c r="J6" s="242"/>
      <c r="K6" s="242"/>
      <c r="L6" s="154"/>
      <c r="M6" s="19"/>
      <c r="N6" s="51"/>
      <c r="O6" s="281"/>
      <c r="P6" s="281"/>
      <c r="Q6" s="281"/>
      <c r="R6" s="281"/>
      <c r="S6" s="281"/>
      <c r="T6" s="281"/>
      <c r="U6" s="281"/>
      <c r="W6" s="4"/>
      <c r="Y6" s="51"/>
      <c r="AD6" s="51"/>
    </row>
    <row r="7" spans="1:30" s="239" customFormat="1" ht="13.5" customHeight="1" thickBot="1" x14ac:dyDescent="0.3">
      <c r="B7" s="238"/>
      <c r="C7" s="237"/>
      <c r="G7" s="281"/>
      <c r="H7" s="445" t="s">
        <v>81</v>
      </c>
      <c r="I7" s="446"/>
      <c r="M7" s="236"/>
      <c r="R7" s="236"/>
    </row>
    <row r="8" spans="1:30" ht="27" customHeight="1" thickBot="1" x14ac:dyDescent="0.3">
      <c r="E8" s="51"/>
      <c r="F8" s="51" t="s">
        <v>80</v>
      </c>
      <c r="H8" s="242"/>
      <c r="I8" s="242"/>
      <c r="K8" s="452" t="s">
        <v>68</v>
      </c>
      <c r="L8" s="453"/>
      <c r="M8" s="454"/>
      <c r="N8" s="435" t="s">
        <v>30</v>
      </c>
      <c r="O8" s="436"/>
      <c r="P8" s="437"/>
      <c r="Q8" s="51"/>
      <c r="R8" s="51"/>
      <c r="S8" s="51"/>
      <c r="Y8" s="51"/>
      <c r="AD8" s="51"/>
    </row>
    <row r="9" spans="1:30" s="21" customFormat="1" ht="52.5" customHeight="1" thickBot="1" x14ac:dyDescent="0.3">
      <c r="B9" s="33" t="s">
        <v>6</v>
      </c>
      <c r="C9" s="33" t="s">
        <v>23</v>
      </c>
      <c r="D9" s="33" t="s">
        <v>91</v>
      </c>
      <c r="E9" s="33" t="s">
        <v>92</v>
      </c>
      <c r="F9" s="33" t="s">
        <v>49</v>
      </c>
      <c r="G9" s="271" t="s">
        <v>20</v>
      </c>
      <c r="H9" s="272" t="s">
        <v>87</v>
      </c>
      <c r="I9" s="272" t="s">
        <v>88</v>
      </c>
      <c r="K9" s="416" t="s">
        <v>74</v>
      </c>
      <c r="L9" s="34" t="s">
        <v>75</v>
      </c>
      <c r="M9" s="67" t="s">
        <v>69</v>
      </c>
      <c r="N9" s="66" t="s">
        <v>70</v>
      </c>
      <c r="O9" s="34" t="s">
        <v>71</v>
      </c>
      <c r="P9" s="126" t="s">
        <v>93</v>
      </c>
    </row>
    <row r="10" spans="1:30" ht="13.8" thickBot="1" x14ac:dyDescent="0.3">
      <c r="B10" s="385"/>
      <c r="C10" s="42"/>
      <c r="D10" s="43"/>
      <c r="E10" s="43"/>
      <c r="F10" s="43"/>
      <c r="G10" s="277"/>
      <c r="H10" s="211"/>
      <c r="I10" s="211"/>
      <c r="K10" s="134" t="str">
        <f>M5</f>
        <v>OSR 500</v>
      </c>
      <c r="L10" s="22"/>
      <c r="M10" s="109"/>
      <c r="N10" s="144"/>
      <c r="O10" s="145"/>
      <c r="P10" s="135" t="str">
        <f>M5</f>
        <v>OSR 500</v>
      </c>
      <c r="Q10" s="51"/>
      <c r="R10" s="51"/>
      <c r="S10" s="51"/>
      <c r="Y10" s="51"/>
      <c r="AD10" s="51"/>
    </row>
    <row r="11" spans="1:30" x14ac:dyDescent="0.25">
      <c r="B11" s="62">
        <v>1</v>
      </c>
      <c r="C11" s="30">
        <v>2011</v>
      </c>
      <c r="D11" s="420">
        <v>5000000</v>
      </c>
      <c r="E11" s="405">
        <v>1000000</v>
      </c>
      <c r="F11" s="107">
        <f t="shared" ref="F11:F37" si="0">IFERROR(D11+E11,"")</f>
        <v>6000000</v>
      </c>
      <c r="G11" s="406">
        <v>0</v>
      </c>
      <c r="H11" s="406">
        <v>0</v>
      </c>
      <c r="I11" s="233"/>
      <c r="K11" s="415">
        <v>0.65</v>
      </c>
      <c r="L11" s="369">
        <f>1-K11</f>
        <v>0.35</v>
      </c>
      <c r="M11" s="152">
        <f t="shared" ref="M11:M37" si="1">SUM(K11:L11)</f>
        <v>1</v>
      </c>
      <c r="N11" s="339">
        <f>IFERROR((F11+G11+I11)*K11," ")</f>
        <v>3900000</v>
      </c>
      <c r="O11" s="340">
        <f>IFERROR(L11*(F11+G11+I11)," ")</f>
        <v>2100000</v>
      </c>
      <c r="P11" s="127">
        <f t="shared" ref="P11:P37" si="2">N11</f>
        <v>3900000</v>
      </c>
      <c r="Q11" s="49"/>
      <c r="R11" s="51"/>
      <c r="S11" s="51"/>
      <c r="Y11" s="51"/>
      <c r="AD11" s="51"/>
    </row>
    <row r="12" spans="1:30" x14ac:dyDescent="0.25">
      <c r="B12" s="63">
        <v>2</v>
      </c>
      <c r="C12" s="30">
        <v>2012</v>
      </c>
      <c r="D12" s="421">
        <v>2000000</v>
      </c>
      <c r="E12" s="405">
        <v>1000000</v>
      </c>
      <c r="F12" s="185">
        <f t="shared" si="0"/>
        <v>3000000</v>
      </c>
      <c r="G12" s="406">
        <v>0</v>
      </c>
      <c r="H12" s="406">
        <v>0</v>
      </c>
      <c r="I12" s="233"/>
      <c r="K12" s="424">
        <v>0.65</v>
      </c>
      <c r="L12" s="368">
        <f>1-K12</f>
        <v>0.35</v>
      </c>
      <c r="M12" s="153">
        <f t="shared" si="1"/>
        <v>1</v>
      </c>
      <c r="N12" s="422">
        <f t="shared" ref="N12:N37" si="3">IFERROR((F12+G12+I12)*K12," ")</f>
        <v>1950000</v>
      </c>
      <c r="O12" s="361">
        <f t="shared" ref="O12:O37" si="4">IFERROR(L12*(F12+G12+I12)," ")</f>
        <v>1050000</v>
      </c>
      <c r="P12" s="337">
        <f t="shared" si="2"/>
        <v>1950000</v>
      </c>
      <c r="Q12" s="49"/>
      <c r="R12" s="51"/>
      <c r="S12" s="51"/>
      <c r="Y12" s="51"/>
      <c r="AD12" s="51"/>
    </row>
    <row r="13" spans="1:30" x14ac:dyDescent="0.25">
      <c r="B13" s="63">
        <v>3</v>
      </c>
      <c r="C13" s="30">
        <f t="shared" ref="C13:C37" si="5">C12+1</f>
        <v>2013</v>
      </c>
      <c r="D13" s="421">
        <v>2000000</v>
      </c>
      <c r="E13" s="405">
        <v>1000000</v>
      </c>
      <c r="F13" s="185">
        <f t="shared" si="0"/>
        <v>3000000</v>
      </c>
      <c r="G13" s="406">
        <v>0</v>
      </c>
      <c r="H13" s="406">
        <v>0</v>
      </c>
      <c r="I13" s="233"/>
      <c r="K13" s="424">
        <v>0.65</v>
      </c>
      <c r="L13" s="368">
        <f t="shared" ref="L13:L37" si="6">1-K13</f>
        <v>0.35</v>
      </c>
      <c r="M13" s="153">
        <f t="shared" si="1"/>
        <v>1</v>
      </c>
      <c r="N13" s="422">
        <f t="shared" si="3"/>
        <v>1950000</v>
      </c>
      <c r="O13" s="361">
        <f t="shared" si="4"/>
        <v>1050000</v>
      </c>
      <c r="P13" s="337">
        <f t="shared" si="2"/>
        <v>1950000</v>
      </c>
      <c r="Q13" s="49"/>
      <c r="R13" s="51"/>
      <c r="S13" s="51"/>
      <c r="Y13" s="51"/>
      <c r="AD13" s="51"/>
    </row>
    <row r="14" spans="1:30" x14ac:dyDescent="0.25">
      <c r="B14" s="63">
        <v>4</v>
      </c>
      <c r="C14" s="30">
        <f t="shared" si="5"/>
        <v>2014</v>
      </c>
      <c r="D14" s="421">
        <v>2000000</v>
      </c>
      <c r="E14" s="405">
        <v>1000000</v>
      </c>
      <c r="F14" s="185">
        <f t="shared" si="0"/>
        <v>3000000</v>
      </c>
      <c r="G14" s="406">
        <v>0</v>
      </c>
      <c r="H14" s="406">
        <v>0</v>
      </c>
      <c r="I14" s="233"/>
      <c r="K14" s="424">
        <v>0.65</v>
      </c>
      <c r="L14" s="368">
        <f t="shared" si="6"/>
        <v>0.35</v>
      </c>
      <c r="M14" s="153">
        <f t="shared" si="1"/>
        <v>1</v>
      </c>
      <c r="N14" s="422">
        <f t="shared" si="3"/>
        <v>1950000</v>
      </c>
      <c r="O14" s="361">
        <f t="shared" si="4"/>
        <v>1050000</v>
      </c>
      <c r="P14" s="337">
        <f t="shared" si="2"/>
        <v>1950000</v>
      </c>
      <c r="Q14" s="49"/>
      <c r="R14" s="51"/>
      <c r="S14" s="51"/>
      <c r="Y14" s="51"/>
      <c r="AD14" s="51"/>
    </row>
    <row r="15" spans="1:30" x14ac:dyDescent="0.25">
      <c r="B15" s="63">
        <v>5</v>
      </c>
      <c r="C15" s="30">
        <f t="shared" si="5"/>
        <v>2015</v>
      </c>
      <c r="D15" s="421">
        <v>2000000</v>
      </c>
      <c r="E15" s="405">
        <v>1000000</v>
      </c>
      <c r="F15" s="185">
        <f t="shared" si="0"/>
        <v>3000000</v>
      </c>
      <c r="G15" s="406">
        <v>0</v>
      </c>
      <c r="H15" s="406">
        <v>0</v>
      </c>
      <c r="I15" s="233"/>
      <c r="K15" s="424">
        <v>0.65</v>
      </c>
      <c r="L15" s="368">
        <f t="shared" si="6"/>
        <v>0.35</v>
      </c>
      <c r="M15" s="153">
        <f t="shared" si="1"/>
        <v>1</v>
      </c>
      <c r="N15" s="422">
        <f t="shared" si="3"/>
        <v>1950000</v>
      </c>
      <c r="O15" s="361">
        <f t="shared" si="4"/>
        <v>1050000</v>
      </c>
      <c r="P15" s="337">
        <f t="shared" si="2"/>
        <v>1950000</v>
      </c>
      <c r="Q15" s="49"/>
      <c r="R15" s="51"/>
      <c r="S15" s="51"/>
      <c r="Y15" s="51"/>
      <c r="AD15" s="51"/>
    </row>
    <row r="16" spans="1:30" x14ac:dyDescent="0.25">
      <c r="B16" s="63">
        <v>6</v>
      </c>
      <c r="C16" s="30">
        <f t="shared" si="5"/>
        <v>2016</v>
      </c>
      <c r="D16" s="421">
        <v>2000000</v>
      </c>
      <c r="E16" s="405">
        <v>1000000</v>
      </c>
      <c r="F16" s="185">
        <f t="shared" si="0"/>
        <v>3000000</v>
      </c>
      <c r="G16" s="406">
        <v>0</v>
      </c>
      <c r="H16" s="406">
        <v>0</v>
      </c>
      <c r="I16" s="233"/>
      <c r="K16" s="424">
        <v>0.65</v>
      </c>
      <c r="L16" s="368">
        <f t="shared" si="6"/>
        <v>0.35</v>
      </c>
      <c r="M16" s="153">
        <f t="shared" si="1"/>
        <v>1</v>
      </c>
      <c r="N16" s="422">
        <f t="shared" si="3"/>
        <v>1950000</v>
      </c>
      <c r="O16" s="361">
        <f t="shared" si="4"/>
        <v>1050000</v>
      </c>
      <c r="P16" s="337">
        <f t="shared" si="2"/>
        <v>1950000</v>
      </c>
      <c r="Q16" s="49"/>
      <c r="R16" s="51"/>
      <c r="S16" s="51"/>
      <c r="Y16" s="51"/>
      <c r="AD16" s="51"/>
    </row>
    <row r="17" spans="2:30" x14ac:dyDescent="0.25">
      <c r="B17" s="63">
        <v>7</v>
      </c>
      <c r="C17" s="30">
        <f t="shared" si="5"/>
        <v>2017</v>
      </c>
      <c r="D17" s="421">
        <v>2000000</v>
      </c>
      <c r="E17" s="405">
        <v>1000000</v>
      </c>
      <c r="F17" s="185">
        <f t="shared" si="0"/>
        <v>3000000</v>
      </c>
      <c r="G17" s="406">
        <v>0</v>
      </c>
      <c r="H17" s="407">
        <v>0</v>
      </c>
      <c r="I17" s="233"/>
      <c r="K17" s="424">
        <v>0.65</v>
      </c>
      <c r="L17" s="368">
        <f t="shared" si="6"/>
        <v>0.35</v>
      </c>
      <c r="M17" s="153">
        <f t="shared" si="1"/>
        <v>1</v>
      </c>
      <c r="N17" s="422">
        <f t="shared" si="3"/>
        <v>1950000</v>
      </c>
      <c r="O17" s="361">
        <f t="shared" si="4"/>
        <v>1050000</v>
      </c>
      <c r="P17" s="337">
        <f t="shared" si="2"/>
        <v>1950000</v>
      </c>
      <c r="Q17" s="49"/>
      <c r="R17" s="51"/>
      <c r="S17" s="51"/>
      <c r="Y17" s="51"/>
      <c r="AD17" s="51"/>
    </row>
    <row r="18" spans="2:30" x14ac:dyDescent="0.25">
      <c r="B18" s="63">
        <v>8</v>
      </c>
      <c r="C18" s="30">
        <f t="shared" si="5"/>
        <v>2018</v>
      </c>
      <c r="D18" s="421">
        <v>2000000</v>
      </c>
      <c r="E18" s="405">
        <v>1000000</v>
      </c>
      <c r="F18" s="185">
        <f t="shared" si="0"/>
        <v>3000000</v>
      </c>
      <c r="G18" s="406">
        <v>0</v>
      </c>
      <c r="H18" s="407">
        <v>0</v>
      </c>
      <c r="I18" s="233"/>
      <c r="K18" s="424">
        <v>0.65</v>
      </c>
      <c r="L18" s="368">
        <f t="shared" si="6"/>
        <v>0.35</v>
      </c>
      <c r="M18" s="153">
        <f t="shared" si="1"/>
        <v>1</v>
      </c>
      <c r="N18" s="422">
        <f t="shared" si="3"/>
        <v>1950000</v>
      </c>
      <c r="O18" s="361">
        <f t="shared" si="4"/>
        <v>1050000</v>
      </c>
      <c r="P18" s="337">
        <f t="shared" si="2"/>
        <v>1950000</v>
      </c>
      <c r="Q18" s="49"/>
      <c r="R18" s="51"/>
      <c r="S18" s="51"/>
      <c r="Y18" s="51"/>
      <c r="AD18" s="51"/>
    </row>
    <row r="19" spans="2:30" x14ac:dyDescent="0.25">
      <c r="B19" s="63">
        <v>9</v>
      </c>
      <c r="C19" s="30">
        <f t="shared" si="5"/>
        <v>2019</v>
      </c>
      <c r="D19" s="421">
        <v>2000000</v>
      </c>
      <c r="E19" s="405">
        <v>1000000</v>
      </c>
      <c r="F19" s="185">
        <f t="shared" si="0"/>
        <v>3000000</v>
      </c>
      <c r="G19" s="406">
        <v>0</v>
      </c>
      <c r="H19" s="407">
        <v>0</v>
      </c>
      <c r="I19" s="233"/>
      <c r="K19" s="424">
        <v>0.65</v>
      </c>
      <c r="L19" s="368">
        <f t="shared" si="6"/>
        <v>0.35</v>
      </c>
      <c r="M19" s="153">
        <f t="shared" si="1"/>
        <v>1</v>
      </c>
      <c r="N19" s="422">
        <f t="shared" si="3"/>
        <v>1950000</v>
      </c>
      <c r="O19" s="361">
        <f t="shared" si="4"/>
        <v>1050000</v>
      </c>
      <c r="P19" s="337">
        <f t="shared" si="2"/>
        <v>1950000</v>
      </c>
      <c r="Q19" s="49"/>
      <c r="R19" s="51"/>
      <c r="S19" s="51"/>
      <c r="Y19" s="51"/>
      <c r="AD19" s="51"/>
    </row>
    <row r="20" spans="2:30" x14ac:dyDescent="0.25">
      <c r="B20" s="63">
        <v>10</v>
      </c>
      <c r="C20" s="30">
        <f t="shared" si="5"/>
        <v>2020</v>
      </c>
      <c r="D20" s="421">
        <v>2000000</v>
      </c>
      <c r="E20" s="405">
        <v>1000000</v>
      </c>
      <c r="F20" s="185">
        <f t="shared" si="0"/>
        <v>3000000</v>
      </c>
      <c r="G20" s="406">
        <v>0</v>
      </c>
      <c r="H20" s="407">
        <v>0</v>
      </c>
      <c r="I20" s="233"/>
      <c r="K20" s="424">
        <v>0.65</v>
      </c>
      <c r="L20" s="368">
        <f t="shared" si="6"/>
        <v>0.35</v>
      </c>
      <c r="M20" s="153">
        <f t="shared" si="1"/>
        <v>1</v>
      </c>
      <c r="N20" s="422">
        <f t="shared" si="3"/>
        <v>1950000</v>
      </c>
      <c r="O20" s="361">
        <f t="shared" si="4"/>
        <v>1050000</v>
      </c>
      <c r="P20" s="337">
        <f t="shared" si="2"/>
        <v>1950000</v>
      </c>
      <c r="Q20" s="49"/>
      <c r="R20" s="51"/>
      <c r="S20" s="51"/>
      <c r="Y20" s="51"/>
      <c r="AD20" s="51"/>
    </row>
    <row r="21" spans="2:30" x14ac:dyDescent="0.25">
      <c r="B21" s="63">
        <v>11</v>
      </c>
      <c r="C21" s="30">
        <f t="shared" si="5"/>
        <v>2021</v>
      </c>
      <c r="D21" s="421">
        <v>2000000</v>
      </c>
      <c r="E21" s="405">
        <v>1000000</v>
      </c>
      <c r="F21" s="185">
        <f t="shared" si="0"/>
        <v>3000000</v>
      </c>
      <c r="G21" s="406">
        <v>0</v>
      </c>
      <c r="H21" s="407">
        <v>0</v>
      </c>
      <c r="I21" s="233"/>
      <c r="K21" s="424">
        <v>0.65</v>
      </c>
      <c r="L21" s="368">
        <f t="shared" si="6"/>
        <v>0.35</v>
      </c>
      <c r="M21" s="153">
        <f t="shared" si="1"/>
        <v>1</v>
      </c>
      <c r="N21" s="422">
        <f t="shared" si="3"/>
        <v>1950000</v>
      </c>
      <c r="O21" s="361">
        <f t="shared" si="4"/>
        <v>1050000</v>
      </c>
      <c r="P21" s="337">
        <f t="shared" si="2"/>
        <v>1950000</v>
      </c>
      <c r="Q21" s="49"/>
      <c r="R21" s="51"/>
      <c r="S21" s="51"/>
      <c r="Y21" s="51"/>
      <c r="AD21" s="51"/>
    </row>
    <row r="22" spans="2:30" x14ac:dyDescent="0.25">
      <c r="B22" s="63">
        <v>12</v>
      </c>
      <c r="C22" s="30">
        <f t="shared" si="5"/>
        <v>2022</v>
      </c>
      <c r="D22" s="421">
        <v>2000000</v>
      </c>
      <c r="E22" s="405">
        <v>1000000</v>
      </c>
      <c r="F22" s="185">
        <f t="shared" si="0"/>
        <v>3000000</v>
      </c>
      <c r="G22" s="406">
        <v>0</v>
      </c>
      <c r="H22" s="407">
        <v>0</v>
      </c>
      <c r="I22" s="233"/>
      <c r="K22" s="424">
        <v>0.65</v>
      </c>
      <c r="L22" s="368">
        <f t="shared" si="6"/>
        <v>0.35</v>
      </c>
      <c r="M22" s="153">
        <f t="shared" si="1"/>
        <v>1</v>
      </c>
      <c r="N22" s="422">
        <f t="shared" si="3"/>
        <v>1950000</v>
      </c>
      <c r="O22" s="361">
        <f t="shared" si="4"/>
        <v>1050000</v>
      </c>
      <c r="P22" s="337">
        <f t="shared" si="2"/>
        <v>1950000</v>
      </c>
      <c r="Q22" s="49"/>
      <c r="R22" s="51"/>
      <c r="S22" s="51"/>
      <c r="Y22" s="51"/>
      <c r="AD22" s="51"/>
    </row>
    <row r="23" spans="2:30" x14ac:dyDescent="0.25">
      <c r="B23" s="63">
        <v>13</v>
      </c>
      <c r="C23" s="30">
        <f t="shared" si="5"/>
        <v>2023</v>
      </c>
      <c r="D23" s="421">
        <v>2000000</v>
      </c>
      <c r="E23" s="405">
        <v>1000000</v>
      </c>
      <c r="F23" s="185">
        <f t="shared" si="0"/>
        <v>3000000</v>
      </c>
      <c r="G23" s="406">
        <v>0</v>
      </c>
      <c r="H23" s="407">
        <v>0</v>
      </c>
      <c r="I23" s="233"/>
      <c r="K23" s="424">
        <v>0.65</v>
      </c>
      <c r="L23" s="368">
        <f t="shared" si="6"/>
        <v>0.35</v>
      </c>
      <c r="M23" s="153">
        <f t="shared" si="1"/>
        <v>1</v>
      </c>
      <c r="N23" s="422">
        <f t="shared" si="3"/>
        <v>1950000</v>
      </c>
      <c r="O23" s="361">
        <f t="shared" si="4"/>
        <v>1050000</v>
      </c>
      <c r="P23" s="337">
        <f t="shared" si="2"/>
        <v>1950000</v>
      </c>
      <c r="Q23" s="49"/>
      <c r="R23" s="51"/>
      <c r="S23" s="51"/>
      <c r="Y23" s="51"/>
      <c r="AD23" s="51"/>
    </row>
    <row r="24" spans="2:30" x14ac:dyDescent="0.25">
      <c r="B24" s="63">
        <v>14</v>
      </c>
      <c r="C24" s="30">
        <f t="shared" si="5"/>
        <v>2024</v>
      </c>
      <c r="D24" s="421">
        <v>2000000</v>
      </c>
      <c r="E24" s="405">
        <v>1000000</v>
      </c>
      <c r="F24" s="185">
        <f t="shared" si="0"/>
        <v>3000000</v>
      </c>
      <c r="G24" s="406">
        <v>0</v>
      </c>
      <c r="H24" s="407">
        <v>0</v>
      </c>
      <c r="I24" s="233"/>
      <c r="K24" s="424">
        <v>0.65</v>
      </c>
      <c r="L24" s="368">
        <f t="shared" si="6"/>
        <v>0.35</v>
      </c>
      <c r="M24" s="153">
        <f t="shared" si="1"/>
        <v>1</v>
      </c>
      <c r="N24" s="422">
        <f t="shared" si="3"/>
        <v>1950000</v>
      </c>
      <c r="O24" s="361">
        <f t="shared" si="4"/>
        <v>1050000</v>
      </c>
      <c r="P24" s="337">
        <f t="shared" si="2"/>
        <v>1950000</v>
      </c>
      <c r="Q24" s="49"/>
      <c r="R24" s="51"/>
      <c r="S24" s="51"/>
      <c r="Y24" s="51"/>
      <c r="AD24" s="51"/>
    </row>
    <row r="25" spans="2:30" x14ac:dyDescent="0.25">
      <c r="B25" s="63">
        <v>15</v>
      </c>
      <c r="C25" s="30">
        <f t="shared" si="5"/>
        <v>2025</v>
      </c>
      <c r="D25" s="421">
        <v>1000000</v>
      </c>
      <c r="E25" s="405">
        <v>500000</v>
      </c>
      <c r="F25" s="185">
        <f t="shared" si="0"/>
        <v>1500000</v>
      </c>
      <c r="G25" s="406">
        <v>0</v>
      </c>
      <c r="H25" s="407">
        <v>-15000000</v>
      </c>
      <c r="I25" s="157">
        <f>-S48</f>
        <v>-6000000</v>
      </c>
      <c r="K25" s="424">
        <v>0.8</v>
      </c>
      <c r="L25" s="368">
        <f t="shared" si="6"/>
        <v>0.19999999999999996</v>
      </c>
      <c r="M25" s="153">
        <f t="shared" si="1"/>
        <v>1</v>
      </c>
      <c r="N25" s="422">
        <f t="shared" si="3"/>
        <v>-3600000</v>
      </c>
      <c r="O25" s="361">
        <f t="shared" si="4"/>
        <v>-899999.99999999977</v>
      </c>
      <c r="P25" s="337">
        <f t="shared" si="2"/>
        <v>-3600000</v>
      </c>
      <c r="Q25" s="49"/>
      <c r="R25" s="51"/>
      <c r="S25" s="51"/>
      <c r="Y25" s="51"/>
      <c r="AD25" s="51"/>
    </row>
    <row r="26" spans="2:30" x14ac:dyDescent="0.25">
      <c r="B26" s="63">
        <v>16</v>
      </c>
      <c r="C26" s="30">
        <f t="shared" si="5"/>
        <v>2026</v>
      </c>
      <c r="D26" s="421">
        <v>1000000</v>
      </c>
      <c r="E26" s="405">
        <v>500000</v>
      </c>
      <c r="F26" s="185">
        <f t="shared" si="0"/>
        <v>1500000</v>
      </c>
      <c r="G26" s="406">
        <v>0</v>
      </c>
      <c r="H26" s="407">
        <v>0</v>
      </c>
      <c r="I26" s="233"/>
      <c r="K26" s="424">
        <v>0.8</v>
      </c>
      <c r="L26" s="368">
        <f t="shared" si="6"/>
        <v>0.19999999999999996</v>
      </c>
      <c r="M26" s="153">
        <f t="shared" si="1"/>
        <v>1</v>
      </c>
      <c r="N26" s="422">
        <f t="shared" si="3"/>
        <v>1200000</v>
      </c>
      <c r="O26" s="361">
        <f t="shared" si="4"/>
        <v>299999.99999999994</v>
      </c>
      <c r="P26" s="337">
        <f t="shared" si="2"/>
        <v>1200000</v>
      </c>
      <c r="Q26" s="49"/>
      <c r="R26" s="51"/>
      <c r="S26" s="51"/>
      <c r="Y26" s="51"/>
      <c r="AD26" s="51"/>
    </row>
    <row r="27" spans="2:30" x14ac:dyDescent="0.25">
      <c r="B27" s="63">
        <v>17</v>
      </c>
      <c r="C27" s="30">
        <f t="shared" si="5"/>
        <v>2027</v>
      </c>
      <c r="D27" s="421">
        <v>1000000</v>
      </c>
      <c r="E27" s="405">
        <v>500000</v>
      </c>
      <c r="F27" s="185">
        <f t="shared" si="0"/>
        <v>1500000</v>
      </c>
      <c r="G27" s="406">
        <v>0</v>
      </c>
      <c r="H27" s="407">
        <v>0</v>
      </c>
      <c r="I27" s="233"/>
      <c r="K27" s="424">
        <v>0.8</v>
      </c>
      <c r="L27" s="368">
        <f t="shared" si="6"/>
        <v>0.19999999999999996</v>
      </c>
      <c r="M27" s="153">
        <f t="shared" si="1"/>
        <v>1</v>
      </c>
      <c r="N27" s="422">
        <f t="shared" si="3"/>
        <v>1200000</v>
      </c>
      <c r="O27" s="361">
        <f t="shared" si="4"/>
        <v>299999.99999999994</v>
      </c>
      <c r="P27" s="337">
        <f t="shared" si="2"/>
        <v>1200000</v>
      </c>
      <c r="Q27" s="49"/>
      <c r="R27" s="51"/>
      <c r="S27" s="51"/>
      <c r="Y27" s="51"/>
      <c r="AD27" s="51"/>
    </row>
    <row r="28" spans="2:30" x14ac:dyDescent="0.25">
      <c r="B28" s="63">
        <v>18</v>
      </c>
      <c r="C28" s="30">
        <f t="shared" si="5"/>
        <v>2028</v>
      </c>
      <c r="D28" s="421">
        <v>1000000</v>
      </c>
      <c r="E28" s="405">
        <v>500000</v>
      </c>
      <c r="F28" s="185">
        <f t="shared" si="0"/>
        <v>1500000</v>
      </c>
      <c r="G28" s="406">
        <v>0</v>
      </c>
      <c r="H28" s="407">
        <v>0</v>
      </c>
      <c r="I28" s="233"/>
      <c r="K28" s="424">
        <v>0.8</v>
      </c>
      <c r="L28" s="368">
        <f t="shared" si="6"/>
        <v>0.19999999999999996</v>
      </c>
      <c r="M28" s="153">
        <f t="shared" si="1"/>
        <v>1</v>
      </c>
      <c r="N28" s="422">
        <f t="shared" si="3"/>
        <v>1200000</v>
      </c>
      <c r="O28" s="361">
        <f t="shared" si="4"/>
        <v>299999.99999999994</v>
      </c>
      <c r="P28" s="337">
        <f t="shared" si="2"/>
        <v>1200000</v>
      </c>
      <c r="Q28" s="49"/>
      <c r="R28" s="51"/>
      <c r="S28" s="51"/>
      <c r="Y28" s="51"/>
      <c r="AD28" s="51"/>
    </row>
    <row r="29" spans="2:30" x14ac:dyDescent="0.25">
      <c r="B29" s="63">
        <v>19</v>
      </c>
      <c r="C29" s="30">
        <f t="shared" si="5"/>
        <v>2029</v>
      </c>
      <c r="D29" s="421">
        <v>1000000</v>
      </c>
      <c r="E29" s="405">
        <v>500000</v>
      </c>
      <c r="F29" s="185">
        <f t="shared" si="0"/>
        <v>1500000</v>
      </c>
      <c r="G29" s="406">
        <v>0</v>
      </c>
      <c r="H29" s="407">
        <v>0</v>
      </c>
      <c r="I29" s="233"/>
      <c r="J29" s="6"/>
      <c r="K29" s="424">
        <v>0.8</v>
      </c>
      <c r="L29" s="368">
        <f t="shared" si="6"/>
        <v>0.19999999999999996</v>
      </c>
      <c r="M29" s="153">
        <f t="shared" si="1"/>
        <v>1</v>
      </c>
      <c r="N29" s="422">
        <f t="shared" si="3"/>
        <v>1200000</v>
      </c>
      <c r="O29" s="361">
        <f t="shared" si="4"/>
        <v>299999.99999999994</v>
      </c>
      <c r="P29" s="337">
        <f t="shared" si="2"/>
        <v>1200000</v>
      </c>
      <c r="Q29" s="49"/>
      <c r="R29" s="51"/>
      <c r="S29" s="51"/>
      <c r="Y29" s="51"/>
      <c r="AD29" s="51"/>
    </row>
    <row r="30" spans="2:30" x14ac:dyDescent="0.25">
      <c r="B30" s="63">
        <v>20</v>
      </c>
      <c r="C30" s="30">
        <f t="shared" si="5"/>
        <v>2030</v>
      </c>
      <c r="D30" s="421">
        <v>1000000</v>
      </c>
      <c r="E30" s="405">
        <v>500000</v>
      </c>
      <c r="F30" s="185">
        <f t="shared" si="0"/>
        <v>1500000</v>
      </c>
      <c r="G30" s="406">
        <v>0</v>
      </c>
      <c r="H30" s="407">
        <v>0</v>
      </c>
      <c r="I30" s="233"/>
      <c r="K30" s="424">
        <v>0.8</v>
      </c>
      <c r="L30" s="368">
        <f t="shared" si="6"/>
        <v>0.19999999999999996</v>
      </c>
      <c r="M30" s="153">
        <f t="shared" si="1"/>
        <v>1</v>
      </c>
      <c r="N30" s="422">
        <f t="shared" si="3"/>
        <v>1200000</v>
      </c>
      <c r="O30" s="361">
        <f t="shared" si="4"/>
        <v>299999.99999999994</v>
      </c>
      <c r="P30" s="337">
        <f t="shared" si="2"/>
        <v>1200000</v>
      </c>
      <c r="Q30" s="49"/>
      <c r="R30" s="51"/>
      <c r="S30" s="51"/>
      <c r="Y30" s="51"/>
      <c r="AD30" s="51"/>
    </row>
    <row r="31" spans="2:30" x14ac:dyDescent="0.25">
      <c r="B31" s="63">
        <v>21</v>
      </c>
      <c r="C31" s="30">
        <f t="shared" si="5"/>
        <v>2031</v>
      </c>
      <c r="D31" s="421">
        <v>1000000</v>
      </c>
      <c r="E31" s="405">
        <v>500000</v>
      </c>
      <c r="F31" s="185">
        <f t="shared" si="0"/>
        <v>1500000</v>
      </c>
      <c r="G31" s="406">
        <v>0</v>
      </c>
      <c r="H31" s="407">
        <v>0</v>
      </c>
      <c r="I31" s="233"/>
      <c r="K31" s="424">
        <v>0.8</v>
      </c>
      <c r="L31" s="368">
        <f t="shared" si="6"/>
        <v>0.19999999999999996</v>
      </c>
      <c r="M31" s="153">
        <f t="shared" si="1"/>
        <v>1</v>
      </c>
      <c r="N31" s="422">
        <f t="shared" si="3"/>
        <v>1200000</v>
      </c>
      <c r="O31" s="361">
        <f t="shared" si="4"/>
        <v>299999.99999999994</v>
      </c>
      <c r="P31" s="337">
        <f t="shared" si="2"/>
        <v>1200000</v>
      </c>
      <c r="Q31" s="49"/>
      <c r="R31" s="51"/>
      <c r="S31" s="51"/>
      <c r="Y31" s="51"/>
      <c r="AD31" s="51"/>
    </row>
    <row r="32" spans="2:30" x14ac:dyDescent="0.25">
      <c r="B32" s="63">
        <v>22</v>
      </c>
      <c r="C32" s="30">
        <f t="shared" si="5"/>
        <v>2032</v>
      </c>
      <c r="D32" s="421">
        <v>1000000</v>
      </c>
      <c r="E32" s="405">
        <v>500000</v>
      </c>
      <c r="F32" s="185">
        <f t="shared" si="0"/>
        <v>1500000</v>
      </c>
      <c r="G32" s="406">
        <v>0</v>
      </c>
      <c r="H32" s="407">
        <v>0</v>
      </c>
      <c r="I32" s="233"/>
      <c r="J32" s="7"/>
      <c r="K32" s="424">
        <v>0.8</v>
      </c>
      <c r="L32" s="368">
        <f t="shared" si="6"/>
        <v>0.19999999999999996</v>
      </c>
      <c r="M32" s="153">
        <f t="shared" si="1"/>
        <v>1</v>
      </c>
      <c r="N32" s="422">
        <f t="shared" si="3"/>
        <v>1200000</v>
      </c>
      <c r="O32" s="361">
        <f t="shared" si="4"/>
        <v>299999.99999999994</v>
      </c>
      <c r="P32" s="337">
        <f t="shared" si="2"/>
        <v>1200000</v>
      </c>
      <c r="Q32" s="49"/>
      <c r="R32" s="51"/>
      <c r="S32" s="51"/>
      <c r="Y32" s="51"/>
      <c r="AD32" s="51"/>
    </row>
    <row r="33" spans="2:30" x14ac:dyDescent="0.25">
      <c r="B33" s="63">
        <v>23</v>
      </c>
      <c r="C33" s="30">
        <f t="shared" si="5"/>
        <v>2033</v>
      </c>
      <c r="D33" s="421">
        <v>1000000</v>
      </c>
      <c r="E33" s="405">
        <v>500000</v>
      </c>
      <c r="F33" s="185">
        <f t="shared" si="0"/>
        <v>1500000</v>
      </c>
      <c r="G33" s="406">
        <v>0</v>
      </c>
      <c r="H33" s="407">
        <v>0</v>
      </c>
      <c r="I33" s="233"/>
      <c r="K33" s="424">
        <v>0.8</v>
      </c>
      <c r="L33" s="368">
        <f t="shared" si="6"/>
        <v>0.19999999999999996</v>
      </c>
      <c r="M33" s="153">
        <f t="shared" si="1"/>
        <v>1</v>
      </c>
      <c r="N33" s="422">
        <f t="shared" si="3"/>
        <v>1200000</v>
      </c>
      <c r="O33" s="361">
        <f t="shared" si="4"/>
        <v>299999.99999999994</v>
      </c>
      <c r="P33" s="337">
        <f t="shared" si="2"/>
        <v>1200000</v>
      </c>
      <c r="Q33" s="49"/>
      <c r="R33" s="51"/>
      <c r="S33" s="51"/>
      <c r="Y33" s="51"/>
      <c r="AD33" s="51"/>
    </row>
    <row r="34" spans="2:30" x14ac:dyDescent="0.25">
      <c r="B34" s="63">
        <v>24</v>
      </c>
      <c r="C34" s="30">
        <f t="shared" si="5"/>
        <v>2034</v>
      </c>
      <c r="D34" s="421">
        <v>1000000</v>
      </c>
      <c r="E34" s="405">
        <v>500000</v>
      </c>
      <c r="F34" s="185">
        <f t="shared" si="0"/>
        <v>1500000</v>
      </c>
      <c r="G34" s="406">
        <v>0</v>
      </c>
      <c r="H34" s="407">
        <v>0</v>
      </c>
      <c r="I34" s="233"/>
      <c r="K34" s="424">
        <v>0.8</v>
      </c>
      <c r="L34" s="368">
        <f t="shared" si="6"/>
        <v>0.19999999999999996</v>
      </c>
      <c r="M34" s="153">
        <f t="shared" si="1"/>
        <v>1</v>
      </c>
      <c r="N34" s="422">
        <f t="shared" si="3"/>
        <v>1200000</v>
      </c>
      <c r="O34" s="361">
        <f t="shared" si="4"/>
        <v>299999.99999999994</v>
      </c>
      <c r="P34" s="337">
        <f t="shared" si="2"/>
        <v>1200000</v>
      </c>
      <c r="Q34" s="49"/>
      <c r="R34" s="51"/>
      <c r="S34" s="51"/>
      <c r="Y34" s="51"/>
      <c r="AD34" s="51"/>
    </row>
    <row r="35" spans="2:30" x14ac:dyDescent="0.25">
      <c r="B35" s="63">
        <v>25</v>
      </c>
      <c r="C35" s="30">
        <f t="shared" si="5"/>
        <v>2035</v>
      </c>
      <c r="D35" s="421">
        <v>1000000</v>
      </c>
      <c r="E35" s="405">
        <v>500000</v>
      </c>
      <c r="F35" s="185">
        <f t="shared" si="0"/>
        <v>1500000</v>
      </c>
      <c r="G35" s="406">
        <v>0</v>
      </c>
      <c r="H35" s="407">
        <v>0</v>
      </c>
      <c r="I35" s="233"/>
      <c r="K35" s="424">
        <v>0.8</v>
      </c>
      <c r="L35" s="368">
        <f t="shared" si="6"/>
        <v>0.19999999999999996</v>
      </c>
      <c r="M35" s="153">
        <f t="shared" si="1"/>
        <v>1</v>
      </c>
      <c r="N35" s="422">
        <f t="shared" si="3"/>
        <v>1200000</v>
      </c>
      <c r="O35" s="361">
        <f t="shared" si="4"/>
        <v>299999.99999999994</v>
      </c>
      <c r="P35" s="337">
        <f t="shared" si="2"/>
        <v>1200000</v>
      </c>
      <c r="Q35" s="49"/>
      <c r="R35" s="51"/>
      <c r="S35" s="51"/>
      <c r="Y35" s="51"/>
      <c r="AD35" s="51"/>
    </row>
    <row r="36" spans="2:30" x14ac:dyDescent="0.25">
      <c r="B36" s="63">
        <v>26</v>
      </c>
      <c r="C36" s="30">
        <f t="shared" si="5"/>
        <v>2036</v>
      </c>
      <c r="D36" s="421">
        <v>1000000</v>
      </c>
      <c r="E36" s="405">
        <v>500000</v>
      </c>
      <c r="F36" s="185">
        <f t="shared" si="0"/>
        <v>1500000</v>
      </c>
      <c r="G36" s="406">
        <v>0</v>
      </c>
      <c r="H36" s="407">
        <v>0</v>
      </c>
      <c r="I36" s="233"/>
      <c r="K36" s="424">
        <v>0.8</v>
      </c>
      <c r="L36" s="368">
        <f t="shared" si="6"/>
        <v>0.19999999999999996</v>
      </c>
      <c r="M36" s="153">
        <f t="shared" si="1"/>
        <v>1</v>
      </c>
      <c r="N36" s="422">
        <f t="shared" si="3"/>
        <v>1200000</v>
      </c>
      <c r="O36" s="361">
        <f t="shared" si="4"/>
        <v>299999.99999999994</v>
      </c>
      <c r="P36" s="337">
        <f t="shared" si="2"/>
        <v>1200000</v>
      </c>
      <c r="Q36" s="49"/>
      <c r="R36" s="51"/>
      <c r="S36" s="51"/>
      <c r="Y36" s="51"/>
      <c r="AD36" s="51"/>
    </row>
    <row r="37" spans="2:30" x14ac:dyDescent="0.25">
      <c r="B37" s="63">
        <v>27</v>
      </c>
      <c r="C37" s="30">
        <f t="shared" si="5"/>
        <v>2037</v>
      </c>
      <c r="D37" s="421">
        <v>1000000</v>
      </c>
      <c r="E37" s="405">
        <v>500000</v>
      </c>
      <c r="F37" s="185">
        <f t="shared" si="0"/>
        <v>1500000</v>
      </c>
      <c r="G37" s="406">
        <v>0</v>
      </c>
      <c r="H37" s="407">
        <v>0</v>
      </c>
      <c r="I37" s="233"/>
      <c r="K37" s="424">
        <v>0.8</v>
      </c>
      <c r="L37" s="368">
        <f t="shared" si="6"/>
        <v>0.19999999999999996</v>
      </c>
      <c r="M37" s="153">
        <f t="shared" si="1"/>
        <v>1</v>
      </c>
      <c r="N37" s="422">
        <f t="shared" si="3"/>
        <v>1200000</v>
      </c>
      <c r="O37" s="361">
        <f t="shared" si="4"/>
        <v>299999.99999999994</v>
      </c>
      <c r="P37" s="337">
        <f t="shared" si="2"/>
        <v>1200000</v>
      </c>
      <c r="Q37" s="49"/>
      <c r="R37" s="51"/>
      <c r="S37" s="51"/>
      <c r="Y37" s="51"/>
      <c r="AD37" s="51"/>
    </row>
    <row r="38" spans="2:30" ht="13.8" thickBot="1" x14ac:dyDescent="0.3">
      <c r="B38" s="287"/>
      <c r="C38" s="269"/>
      <c r="D38" s="421"/>
      <c r="E38" s="405"/>
      <c r="F38" s="319"/>
      <c r="G38" s="406"/>
      <c r="H38" s="407"/>
      <c r="I38" s="334"/>
      <c r="K38" s="423"/>
      <c r="L38" s="362"/>
      <c r="M38" s="111"/>
      <c r="N38" s="423"/>
      <c r="O38" s="362"/>
      <c r="P38" s="124"/>
      <c r="Q38" s="51"/>
      <c r="R38" s="51"/>
      <c r="S38" s="51"/>
      <c r="Y38" s="51"/>
      <c r="AD38" s="51"/>
    </row>
    <row r="39" spans="2:30" x14ac:dyDescent="0.25">
      <c r="F39" s="14"/>
      <c r="G39" s="261"/>
      <c r="H39" s="5"/>
      <c r="T39" s="19"/>
      <c r="U39" s="19"/>
    </row>
    <row r="40" spans="2:30" x14ac:dyDescent="0.25">
      <c r="H40" s="119"/>
      <c r="I40" s="49"/>
      <c r="T40" s="19"/>
      <c r="U40" s="19"/>
    </row>
    <row r="41" spans="2:30" x14ac:dyDescent="0.25">
      <c r="B41" s="113"/>
      <c r="J41" s="281"/>
      <c r="K41" s="281"/>
      <c r="L41" s="281"/>
      <c r="M41" s="281"/>
      <c r="N41" s="281"/>
      <c r="O41" s="281"/>
      <c r="P41" s="264"/>
      <c r="Q41" s="264"/>
      <c r="R41" s="281"/>
      <c r="S41" s="281"/>
      <c r="W41" s="4"/>
      <c r="Y41" s="51"/>
      <c r="AB41" s="4"/>
      <c r="AD41" s="51"/>
    </row>
    <row r="42" spans="2:30" x14ac:dyDescent="0.25">
      <c r="B42" s="113" t="s">
        <v>50</v>
      </c>
      <c r="J42" s="281"/>
      <c r="K42" s="318" t="s">
        <v>48</v>
      </c>
      <c r="L42" s="302"/>
      <c r="M42" s="302"/>
      <c r="N42" s="302"/>
      <c r="O42" s="302"/>
      <c r="P42" s="303"/>
      <c r="Q42" s="303"/>
      <c r="R42" s="304"/>
      <c r="S42" s="305"/>
      <c r="W42" s="4"/>
      <c r="Y42" s="51"/>
      <c r="AB42" s="4"/>
      <c r="AD42" s="51"/>
    </row>
    <row r="43" spans="2:30" x14ac:dyDescent="0.25">
      <c r="B43" s="51" t="s">
        <v>51</v>
      </c>
      <c r="F43" s="159"/>
      <c r="G43" s="373"/>
      <c r="H43" s="419"/>
      <c r="J43" s="281"/>
      <c r="K43" s="306"/>
      <c r="L43" s="256"/>
      <c r="M43" s="256"/>
      <c r="N43" s="256"/>
      <c r="O43" s="256"/>
      <c r="P43" s="247" t="s">
        <v>41</v>
      </c>
      <c r="Q43" s="307"/>
      <c r="R43" s="256"/>
      <c r="S43" s="308">
        <f>-H25</f>
        <v>15000000</v>
      </c>
      <c r="T43" s="237" t="s">
        <v>94</v>
      </c>
      <c r="W43" s="4"/>
      <c r="Y43" s="51"/>
      <c r="AB43" s="4"/>
      <c r="AD43" s="51"/>
    </row>
    <row r="44" spans="2:30" x14ac:dyDescent="0.25">
      <c r="E44" s="51"/>
      <c r="J44" s="281"/>
      <c r="K44" s="306"/>
      <c r="L44" s="256"/>
      <c r="M44" s="256"/>
      <c r="N44" s="256"/>
      <c r="O44" s="256"/>
      <c r="P44" s="247" t="s">
        <v>45</v>
      </c>
      <c r="Q44" s="307"/>
      <c r="R44" s="256"/>
      <c r="S44" s="308"/>
      <c r="W44" s="4"/>
      <c r="Y44" s="51"/>
      <c r="AB44" s="4"/>
      <c r="AD44" s="51"/>
    </row>
    <row r="45" spans="2:30" x14ac:dyDescent="0.25">
      <c r="B45" s="51" t="s">
        <v>55</v>
      </c>
      <c r="J45" s="281"/>
      <c r="K45" s="297"/>
      <c r="L45" s="298" t="s">
        <v>42</v>
      </c>
      <c r="M45" s="408"/>
      <c r="N45" s="299" t="s">
        <v>43</v>
      </c>
      <c r="O45" s="409"/>
      <c r="P45" s="247" t="s">
        <v>44</v>
      </c>
      <c r="Q45" s="309"/>
      <c r="R45" s="310">
        <f>S43*M45*O45</f>
        <v>0</v>
      </c>
      <c r="S45" s="311"/>
      <c r="W45" s="4"/>
      <c r="Y45" s="51"/>
      <c r="AB45" s="4"/>
      <c r="AD45" s="51"/>
    </row>
    <row r="46" spans="2:30" x14ac:dyDescent="0.25">
      <c r="J46" s="281"/>
      <c r="K46" s="297"/>
      <c r="L46" s="298" t="s">
        <v>42</v>
      </c>
      <c r="M46" s="408">
        <v>15</v>
      </c>
      <c r="N46" s="299" t="s">
        <v>43</v>
      </c>
      <c r="O46" s="300">
        <v>0.04</v>
      </c>
      <c r="P46" s="246" t="s">
        <v>44</v>
      </c>
      <c r="Q46" s="316"/>
      <c r="R46" s="301">
        <f>S43*M46*O46</f>
        <v>9000000</v>
      </c>
      <c r="S46" s="312">
        <f>-SUM(R45:R46)</f>
        <v>-9000000</v>
      </c>
      <c r="W46" s="4"/>
      <c r="Y46" s="51"/>
      <c r="AB46" s="4"/>
      <c r="AD46" s="51"/>
    </row>
    <row r="47" spans="2:30" x14ac:dyDescent="0.25">
      <c r="B47" s="51" t="s">
        <v>61</v>
      </c>
      <c r="J47" s="281"/>
      <c r="K47" s="306"/>
      <c r="L47" s="256"/>
      <c r="M47" s="256"/>
      <c r="N47" s="256"/>
      <c r="O47" s="256"/>
      <c r="P47" s="307"/>
      <c r="Q47" s="307"/>
      <c r="R47" s="313"/>
      <c r="S47" s="311"/>
      <c r="W47" s="4"/>
      <c r="Y47" s="51"/>
      <c r="AB47" s="4"/>
      <c r="AD47" s="51"/>
    </row>
    <row r="48" spans="2:30" x14ac:dyDescent="0.25">
      <c r="B48" s="51" t="s">
        <v>54</v>
      </c>
      <c r="J48" s="281"/>
      <c r="K48" s="306"/>
      <c r="L48" s="256"/>
      <c r="M48" s="256"/>
      <c r="N48" s="256"/>
      <c r="O48" s="256"/>
      <c r="P48" s="307" t="s">
        <v>46</v>
      </c>
      <c r="Q48" s="307"/>
      <c r="R48" s="313"/>
      <c r="S48" s="372">
        <f>S43+S46</f>
        <v>6000000</v>
      </c>
      <c r="T48" s="237" t="s">
        <v>85</v>
      </c>
      <c r="V48" s="4"/>
      <c r="W48" s="4"/>
      <c r="Y48" s="51"/>
      <c r="AB48" s="4"/>
      <c r="AD48" s="51"/>
    </row>
    <row r="49" spans="2:30" x14ac:dyDescent="0.25">
      <c r="J49" s="281"/>
      <c r="K49" s="314"/>
      <c r="L49" s="315"/>
      <c r="M49" s="315"/>
      <c r="N49" s="315"/>
      <c r="O49" s="315"/>
      <c r="P49" s="316"/>
      <c r="Q49" s="316"/>
      <c r="R49" s="301"/>
      <c r="S49" s="317"/>
      <c r="W49" s="4"/>
      <c r="Y49" s="51"/>
      <c r="AB49" s="4"/>
      <c r="AD49" s="51"/>
    </row>
    <row r="50" spans="2:30" x14ac:dyDescent="0.25">
      <c r="B50" s="242" t="s">
        <v>27</v>
      </c>
      <c r="F50" s="72" t="s">
        <v>101</v>
      </c>
      <c r="G50" s="245"/>
      <c r="J50" s="281"/>
      <c r="K50" s="281"/>
      <c r="L50" s="281"/>
      <c r="M50" s="281"/>
      <c r="N50" s="281"/>
      <c r="O50" s="281"/>
      <c r="P50" s="264"/>
      <c r="Q50" s="264"/>
      <c r="R50" s="281"/>
      <c r="S50" s="281"/>
      <c r="W50" s="4"/>
      <c r="Y50" s="51"/>
      <c r="AB50" s="4"/>
      <c r="AD50" s="51"/>
    </row>
    <row r="51" spans="2:30" x14ac:dyDescent="0.25">
      <c r="J51" s="281"/>
      <c r="K51" s="323" t="s">
        <v>53</v>
      </c>
      <c r="L51" s="281"/>
      <c r="M51" s="281"/>
      <c r="N51" s="281"/>
      <c r="O51" s="281"/>
      <c r="P51" s="264"/>
      <c r="Q51" s="264"/>
      <c r="R51" s="281"/>
      <c r="S51" s="281"/>
      <c r="U51" s="4"/>
      <c r="W51" s="4"/>
      <c r="Y51" s="51"/>
      <c r="AB51" s="4"/>
      <c r="AD51" s="51"/>
    </row>
    <row r="52" spans="2:30" x14ac:dyDescent="0.25">
      <c r="J52" s="281"/>
      <c r="K52" s="281"/>
      <c r="L52" s="281"/>
      <c r="M52" s="281"/>
      <c r="N52" s="281"/>
      <c r="O52" s="264"/>
      <c r="P52" s="264"/>
      <c r="Q52" s="264"/>
      <c r="R52" s="281"/>
      <c r="S52" s="281"/>
      <c r="V52" s="4"/>
      <c r="W52" s="4"/>
      <c r="Y52" s="51"/>
      <c r="AB52" s="4"/>
      <c r="AD52" s="51"/>
    </row>
    <row r="53" spans="2:30" x14ac:dyDescent="0.25">
      <c r="L53" s="242"/>
      <c r="M53" s="242"/>
      <c r="N53" s="51"/>
      <c r="P53" s="242"/>
      <c r="Q53" s="19"/>
      <c r="R53" s="51"/>
      <c r="S53" s="51"/>
      <c r="W53" s="4"/>
      <c r="Y53" s="51"/>
      <c r="AB53" s="4"/>
      <c r="AD53" s="51"/>
    </row>
  </sheetData>
  <mergeCells count="5">
    <mergeCell ref="H7:I7"/>
    <mergeCell ref="F5:L5"/>
    <mergeCell ref="M5:N5"/>
    <mergeCell ref="K8:M8"/>
    <mergeCell ref="N8:P8"/>
  </mergeCells>
  <hyperlinks>
    <hyperlink ref="F50"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B2:AH55"/>
  <sheetViews>
    <sheetView zoomScale="80" zoomScaleNormal="80" zoomScaleSheetLayoutView="90" workbookViewId="0">
      <selection activeCell="G2" sqref="G2"/>
    </sheetView>
  </sheetViews>
  <sheetFormatPr defaultColWidth="9.109375" defaultRowHeight="13.2" x14ac:dyDescent="0.25"/>
  <cols>
    <col min="1" max="1" width="2.109375" style="51" customWidth="1"/>
    <col min="2" max="2" width="7.44140625" style="51" customWidth="1"/>
    <col min="3" max="3" width="6.5546875" style="51" customWidth="1"/>
    <col min="4" max="4" width="8" style="51" customWidth="1"/>
    <col min="5" max="5" width="11" style="51" customWidth="1"/>
    <col min="6" max="6" width="12.6640625" style="4" customWidth="1"/>
    <col min="7" max="7" width="15.44140625" style="51" customWidth="1"/>
    <col min="8" max="8" width="14.6640625" style="51" customWidth="1"/>
    <col min="9" max="9" width="14.5546875" style="51" bestFit="1" customWidth="1"/>
    <col min="10" max="10" width="14.44140625" style="51" customWidth="1"/>
    <col min="11" max="11" width="13.5546875" style="51" customWidth="1"/>
    <col min="12" max="12" width="14" style="51" customWidth="1"/>
    <col min="13" max="13" width="11.5546875" style="51" customWidth="1"/>
    <col min="14" max="14" width="10.88671875" style="51" customWidth="1"/>
    <col min="15" max="15" width="11.6640625" style="51" customWidth="1"/>
    <col min="16" max="16" width="14.44140625" style="51" customWidth="1"/>
    <col min="17" max="17" width="12.5546875" style="51" bestFit="1" customWidth="1"/>
    <col min="18" max="18" width="14" style="19" customWidth="1"/>
    <col min="19" max="19" width="13.109375" style="51" customWidth="1"/>
    <col min="20" max="20" width="13.44140625" style="51" customWidth="1"/>
    <col min="21" max="21" width="2" style="51" customWidth="1"/>
    <col min="22" max="25" width="10" style="51" customWidth="1"/>
    <col min="26" max="26" width="10" style="4" customWidth="1"/>
    <col min="27" max="29" width="11.33203125" style="51" bestFit="1" customWidth="1"/>
    <col min="30" max="30" width="10" style="51" customWidth="1"/>
    <col min="31" max="31" width="11.33203125" style="51" bestFit="1" customWidth="1"/>
    <col min="32" max="32" width="8.6640625" style="4" customWidth="1"/>
    <col min="33" max="33" width="1.5546875" style="51" customWidth="1"/>
    <col min="34" max="34" width="12.33203125" style="51" bestFit="1" customWidth="1"/>
    <col min="35" max="16384" width="9.109375" style="51"/>
  </cols>
  <sheetData>
    <row r="2" spans="2:34" ht="15.6" x14ac:dyDescent="0.3">
      <c r="F2" s="50" t="s">
        <v>27</v>
      </c>
      <c r="G2" s="72" t="s">
        <v>101</v>
      </c>
      <c r="J2" s="116" t="s">
        <v>56</v>
      </c>
    </row>
    <row r="3" spans="2:34" x14ac:dyDescent="0.25">
      <c r="F3" s="50"/>
      <c r="G3" s="75"/>
      <c r="J3" s="115" t="s">
        <v>57</v>
      </c>
      <c r="T3" s="115"/>
    </row>
    <row r="5" spans="2:34" x14ac:dyDescent="0.25">
      <c r="D5" s="54" t="s">
        <v>28</v>
      </c>
      <c r="E5" s="54"/>
      <c r="H5" s="1" t="s">
        <v>0</v>
      </c>
      <c r="I5" s="2" t="s">
        <v>1</v>
      </c>
      <c r="J5" s="3" t="s">
        <v>2</v>
      </c>
    </row>
    <row r="6" spans="2:34" x14ac:dyDescent="0.25">
      <c r="H6" s="4" t="s">
        <v>18</v>
      </c>
      <c r="I6" s="4"/>
      <c r="J6" s="4" t="s">
        <v>3</v>
      </c>
      <c r="K6" s="4" t="s">
        <v>4</v>
      </c>
      <c r="L6" s="438" t="s">
        <v>5</v>
      </c>
      <c r="M6" s="438"/>
      <c r="N6" s="438"/>
      <c r="O6" s="438"/>
      <c r="P6" s="438"/>
      <c r="Q6" s="438"/>
      <c r="R6" s="438"/>
      <c r="S6" s="438"/>
      <c r="T6" s="438"/>
      <c r="U6" s="438"/>
      <c r="V6" s="438"/>
    </row>
    <row r="7" spans="2:34" ht="13.8" thickBot="1" x14ac:dyDescent="0.3">
      <c r="B7" s="13"/>
      <c r="C7" s="13"/>
      <c r="D7" s="13"/>
      <c r="E7" s="13"/>
      <c r="F7" s="53"/>
      <c r="G7" s="13"/>
      <c r="H7" s="53"/>
      <c r="I7" s="53"/>
      <c r="J7" s="53"/>
      <c r="K7" s="53"/>
      <c r="L7" s="55"/>
      <c r="M7" s="55"/>
      <c r="N7" s="55"/>
      <c r="O7" s="55"/>
      <c r="P7" s="55"/>
      <c r="Q7" s="55"/>
      <c r="R7" s="55"/>
      <c r="S7" s="55"/>
      <c r="T7" s="55"/>
      <c r="U7" s="55"/>
      <c r="V7" s="117"/>
      <c r="W7" s="117"/>
      <c r="X7" s="117"/>
      <c r="Y7" s="117"/>
      <c r="Z7" s="108"/>
      <c r="AA7" s="117"/>
      <c r="AB7" s="117"/>
      <c r="AC7" s="117"/>
      <c r="AD7" s="117"/>
      <c r="AE7" s="117"/>
      <c r="AF7" s="108"/>
    </row>
    <row r="8" spans="2:34" ht="13.8" thickBot="1" x14ac:dyDescent="0.3"/>
    <row r="9" spans="2:34" ht="14.25" customHeight="1" thickBot="1" x14ac:dyDescent="0.3">
      <c r="F9" s="439" t="s">
        <v>16</v>
      </c>
      <c r="G9" s="441"/>
      <c r="H9" s="441"/>
      <c r="I9" s="47">
        <v>36617</v>
      </c>
      <c r="J9" s="38"/>
      <c r="L9" s="455" t="s">
        <v>39</v>
      </c>
      <c r="M9" s="457">
        <v>0.04</v>
      </c>
    </row>
    <row r="10" spans="2:34" ht="14.25" customHeight="1" thickBot="1" x14ac:dyDescent="0.3">
      <c r="F10" s="439" t="s">
        <v>26</v>
      </c>
      <c r="G10" s="441"/>
      <c r="H10" s="441"/>
      <c r="I10" s="46">
        <v>275</v>
      </c>
      <c r="J10" s="39"/>
      <c r="L10" s="456"/>
      <c r="M10" s="458"/>
    </row>
    <row r="11" spans="2:34" ht="13.8" thickBot="1" x14ac:dyDescent="0.3">
      <c r="B11" s="41"/>
      <c r="C11" s="21" t="s">
        <v>24</v>
      </c>
      <c r="F11" s="442" t="s">
        <v>25</v>
      </c>
      <c r="G11" s="444"/>
      <c r="H11" s="444"/>
      <c r="I11" s="40">
        <v>100000000</v>
      </c>
      <c r="M11" s="8"/>
      <c r="N11" s="8"/>
    </row>
    <row r="12" spans="2:34" ht="21" customHeight="1" thickBot="1" x14ac:dyDescent="0.3">
      <c r="V12" s="435" t="s">
        <v>35</v>
      </c>
      <c r="W12" s="436"/>
      <c r="X12" s="436"/>
      <c r="Y12" s="436"/>
      <c r="Z12" s="437"/>
      <c r="AA12" s="435" t="s">
        <v>30</v>
      </c>
      <c r="AB12" s="436"/>
      <c r="AC12" s="436"/>
      <c r="AD12" s="436"/>
      <c r="AE12" s="436"/>
      <c r="AF12" s="437"/>
    </row>
    <row r="13" spans="2:34" s="21" customFormat="1" ht="53.4" thickBot="1" x14ac:dyDescent="0.3">
      <c r="B13" s="33" t="s">
        <v>6</v>
      </c>
      <c r="C13" s="33" t="s">
        <v>23</v>
      </c>
      <c r="D13" s="32" t="s">
        <v>19</v>
      </c>
      <c r="E13" s="74" t="s">
        <v>18</v>
      </c>
      <c r="F13" s="32" t="s">
        <v>3</v>
      </c>
      <c r="G13" s="33" t="s">
        <v>13</v>
      </c>
      <c r="H13" s="33" t="s">
        <v>14</v>
      </c>
      <c r="I13" s="33" t="s">
        <v>7</v>
      </c>
      <c r="J13" s="33" t="s">
        <v>15</v>
      </c>
      <c r="K13" s="33" t="s">
        <v>17</v>
      </c>
      <c r="L13" s="33" t="s">
        <v>8</v>
      </c>
      <c r="M13" s="33" t="s">
        <v>9</v>
      </c>
      <c r="N13" s="33" t="s">
        <v>10</v>
      </c>
      <c r="O13" s="33" t="s">
        <v>11</v>
      </c>
      <c r="P13" s="33" t="s">
        <v>49</v>
      </c>
      <c r="Q13" s="57" t="s">
        <v>12</v>
      </c>
      <c r="R13" s="34" t="s">
        <v>20</v>
      </c>
      <c r="S13" s="34" t="s">
        <v>21</v>
      </c>
      <c r="T13" s="34" t="s">
        <v>22</v>
      </c>
      <c r="V13" s="66" t="s">
        <v>31</v>
      </c>
      <c r="W13" s="34" t="s">
        <v>32</v>
      </c>
      <c r="X13" s="34" t="s">
        <v>33</v>
      </c>
      <c r="Y13" s="34" t="s">
        <v>34</v>
      </c>
      <c r="Z13" s="67" t="s">
        <v>36</v>
      </c>
      <c r="AA13" s="66" t="s">
        <v>31</v>
      </c>
      <c r="AB13" s="34" t="s">
        <v>32</v>
      </c>
      <c r="AC13" s="34" t="s">
        <v>33</v>
      </c>
      <c r="AD13" s="34" t="s">
        <v>34</v>
      </c>
      <c r="AE13" s="76" t="s">
        <v>40</v>
      </c>
      <c r="AF13" s="67" t="s">
        <v>37</v>
      </c>
    </row>
    <row r="14" spans="2:34" ht="13.8" thickBot="1" x14ac:dyDescent="0.3">
      <c r="B14" s="42"/>
      <c r="C14" s="42"/>
      <c r="D14" s="45"/>
      <c r="E14" s="73"/>
      <c r="F14" s="43"/>
      <c r="G14" s="43"/>
      <c r="H14" s="43"/>
      <c r="I14" s="43"/>
      <c r="J14" s="44"/>
      <c r="K14" s="43"/>
      <c r="L14" s="43"/>
      <c r="M14" s="43"/>
      <c r="N14" s="43"/>
      <c r="O14" s="43"/>
      <c r="P14" s="43"/>
      <c r="Q14" s="58"/>
      <c r="R14" s="64" t="s">
        <v>29</v>
      </c>
      <c r="S14" s="22"/>
      <c r="T14" s="22"/>
      <c r="V14" s="68"/>
      <c r="W14" s="22"/>
      <c r="X14" s="22"/>
      <c r="Y14" s="22"/>
      <c r="Z14" s="109"/>
      <c r="AA14" s="68"/>
      <c r="AB14" s="22"/>
      <c r="AC14" s="22"/>
      <c r="AD14" s="22"/>
      <c r="AE14" s="77"/>
      <c r="AF14" s="109"/>
    </row>
    <row r="15" spans="2:34" x14ac:dyDescent="0.25">
      <c r="B15" s="62">
        <v>1</v>
      </c>
      <c r="C15" s="48">
        <v>2000</v>
      </c>
      <c r="D15" s="114">
        <v>0.04</v>
      </c>
      <c r="E15" s="35">
        <v>1000</v>
      </c>
      <c r="F15" s="35">
        <v>800</v>
      </c>
      <c r="G15" s="23">
        <f>I11</f>
        <v>100000000</v>
      </c>
      <c r="H15" s="24">
        <f>G15</f>
        <v>100000000</v>
      </c>
      <c r="I15" s="24">
        <f>IF((G15*M$9)&gt;H15,H15,(G15*M$9))</f>
        <v>4000000</v>
      </c>
      <c r="J15" s="24">
        <f t="shared" ref="J15:J41" si="0">H15-I15</f>
        <v>96000000</v>
      </c>
      <c r="K15" s="24">
        <f t="shared" ref="K15" si="1">((H15+J15)/2)*D15</f>
        <v>3920000</v>
      </c>
      <c r="L15" s="24">
        <f t="shared" ref="L15:L41" si="2">K15+I15</f>
        <v>7920000</v>
      </c>
      <c r="M15" s="107">
        <f>IF(F15/E15&gt;0.75,L15/F15,L15/(E15*0.75))</f>
        <v>9900</v>
      </c>
      <c r="N15" s="52">
        <v>1000000</v>
      </c>
      <c r="O15" s="26">
        <f>N15/F15</f>
        <v>1250</v>
      </c>
      <c r="P15" s="107">
        <f>L15+N15</f>
        <v>8920000</v>
      </c>
      <c r="Q15" s="59">
        <f t="shared" ref="Q15:Q41" si="3">M15+O15</f>
        <v>11150</v>
      </c>
      <c r="R15" s="36"/>
      <c r="S15" s="36">
        <v>0</v>
      </c>
      <c r="T15" s="27"/>
      <c r="V15" s="71">
        <v>350</v>
      </c>
      <c r="W15" s="52">
        <v>250</v>
      </c>
      <c r="X15" s="52">
        <v>150</v>
      </c>
      <c r="Y15" s="52">
        <v>50</v>
      </c>
      <c r="Z15" s="110">
        <f>SUM(V15:Y15)/F15</f>
        <v>1</v>
      </c>
      <c r="AA15" s="70">
        <f>V15*Q15</f>
        <v>3902500</v>
      </c>
      <c r="AB15" s="65">
        <f>W15*Q15</f>
        <v>2787500</v>
      </c>
      <c r="AC15" s="65">
        <f>X15*Q15</f>
        <v>1672500</v>
      </c>
      <c r="AD15" s="65">
        <f>Y15*Q15</f>
        <v>557500</v>
      </c>
      <c r="AE15" s="78">
        <f>SUM(AA15:AD15)</f>
        <v>8920000</v>
      </c>
      <c r="AF15" s="110">
        <f>SUM(AA15:AD15)/(L15+N15)</f>
        <v>1</v>
      </c>
      <c r="AH15" s="49" t="str">
        <f>IF(P15=AE15," ","Error - Total Costs don't match")</f>
        <v xml:space="preserve"> </v>
      </c>
    </row>
    <row r="16" spans="2:34" x14ac:dyDescent="0.25">
      <c r="B16" s="63">
        <v>2</v>
      </c>
      <c r="C16" s="30">
        <f>C15+1</f>
        <v>2001</v>
      </c>
      <c r="D16" s="114">
        <v>0.04</v>
      </c>
      <c r="E16" s="35">
        <v>1000</v>
      </c>
      <c r="F16" s="35">
        <v>800</v>
      </c>
      <c r="G16" s="15">
        <f>G15+R15+S15</f>
        <v>100000000</v>
      </c>
      <c r="H16" s="17">
        <f>J15+R15+T15</f>
        <v>96000000</v>
      </c>
      <c r="I16" s="25">
        <f>IF((G16*M$9)&gt;H16,H16,(G16*M$9))</f>
        <v>4000000</v>
      </c>
      <c r="J16" s="16">
        <f t="shared" si="0"/>
        <v>92000000</v>
      </c>
      <c r="K16" s="25">
        <f t="shared" ref="K16:K41" si="4">((H16+J16)/2)*D16</f>
        <v>3760000</v>
      </c>
      <c r="L16" s="17">
        <f t="shared" si="2"/>
        <v>7760000</v>
      </c>
      <c r="M16" s="107">
        <f t="shared" ref="M16:M41" si="5">IF(F16/E16&gt;0.75,L16/F16,L16/(E16*0.75))</f>
        <v>9700</v>
      </c>
      <c r="N16" s="52">
        <v>1000000</v>
      </c>
      <c r="O16" s="26">
        <f t="shared" ref="O16:O41" si="6">N16/F16</f>
        <v>1250</v>
      </c>
      <c r="P16" s="107">
        <f t="shared" ref="P16:P41" si="7">L16+N16</f>
        <v>8760000</v>
      </c>
      <c r="Q16" s="60">
        <f t="shared" si="3"/>
        <v>10950</v>
      </c>
      <c r="R16" s="36">
        <v>0</v>
      </c>
      <c r="S16" s="36">
        <v>0</v>
      </c>
      <c r="T16" s="27"/>
      <c r="V16" s="71">
        <v>350</v>
      </c>
      <c r="W16" s="52">
        <v>250</v>
      </c>
      <c r="X16" s="52">
        <v>150</v>
      </c>
      <c r="Y16" s="52">
        <v>50</v>
      </c>
      <c r="Z16" s="110">
        <f t="shared" ref="Z16:Z41" si="8">SUM(V16:Y16)/F16</f>
        <v>1</v>
      </c>
      <c r="AA16" s="70">
        <f t="shared" ref="AA16:AA41" si="9">V16*Q16</f>
        <v>3832500</v>
      </c>
      <c r="AB16" s="65">
        <f t="shared" ref="AB16:AB41" si="10">W16*Q16</f>
        <v>2737500</v>
      </c>
      <c r="AC16" s="65">
        <f t="shared" ref="AC16:AC41" si="11">X16*Q16</f>
        <v>1642500</v>
      </c>
      <c r="AD16" s="65">
        <f t="shared" ref="AD16:AD41" si="12">Y16*Q16</f>
        <v>547500</v>
      </c>
      <c r="AE16" s="78">
        <f t="shared" ref="AE16:AE41" si="13">SUM(AA16:AD16)</f>
        <v>8760000</v>
      </c>
      <c r="AF16" s="110">
        <f t="shared" ref="AF16:AF41" si="14">SUM(AA16:AD16)/(L16+N16)</f>
        <v>1</v>
      </c>
      <c r="AH16" s="49" t="str">
        <f t="shared" ref="AH16:AH41" si="15">IF(P16=AE16," ","Error - Total Costs don't match")</f>
        <v xml:space="preserve"> </v>
      </c>
    </row>
    <row r="17" spans="2:34" x14ac:dyDescent="0.25">
      <c r="B17" s="63">
        <v>3</v>
      </c>
      <c r="C17" s="30">
        <f t="shared" ref="C17:C41" si="16">C16+1</f>
        <v>2002</v>
      </c>
      <c r="D17" s="114">
        <v>0.04</v>
      </c>
      <c r="E17" s="35">
        <v>1000</v>
      </c>
      <c r="F17" s="35">
        <v>800</v>
      </c>
      <c r="G17" s="15">
        <f t="shared" ref="G17:G41" si="17">G16+R16+S16</f>
        <v>100000000</v>
      </c>
      <c r="H17" s="17">
        <f t="shared" ref="H17:H41" si="18">J16+R16+T16</f>
        <v>92000000</v>
      </c>
      <c r="I17" s="25">
        <f t="shared" ref="I17:I41" si="19">IF((G17*M$9)&gt;H17,H17,(G17*M$9))</f>
        <v>4000000</v>
      </c>
      <c r="J17" s="28">
        <f t="shared" si="0"/>
        <v>88000000</v>
      </c>
      <c r="K17" s="25">
        <f t="shared" si="4"/>
        <v>3600000</v>
      </c>
      <c r="L17" s="29">
        <f t="shared" si="2"/>
        <v>7600000</v>
      </c>
      <c r="M17" s="107">
        <f t="shared" si="5"/>
        <v>9500</v>
      </c>
      <c r="N17" s="52">
        <v>1000000</v>
      </c>
      <c r="O17" s="26">
        <f t="shared" si="6"/>
        <v>1250</v>
      </c>
      <c r="P17" s="107">
        <f t="shared" si="7"/>
        <v>8600000</v>
      </c>
      <c r="Q17" s="61">
        <f t="shared" si="3"/>
        <v>10750</v>
      </c>
      <c r="R17" s="36">
        <v>0</v>
      </c>
      <c r="S17" s="36">
        <v>0</v>
      </c>
      <c r="T17" s="27"/>
      <c r="V17" s="71">
        <v>350</v>
      </c>
      <c r="W17" s="52">
        <v>250</v>
      </c>
      <c r="X17" s="52">
        <v>150</v>
      </c>
      <c r="Y17" s="52">
        <v>50</v>
      </c>
      <c r="Z17" s="110">
        <f t="shared" si="8"/>
        <v>1</v>
      </c>
      <c r="AA17" s="70">
        <f t="shared" si="9"/>
        <v>3762500</v>
      </c>
      <c r="AB17" s="65">
        <f t="shared" si="10"/>
        <v>2687500</v>
      </c>
      <c r="AC17" s="65">
        <f t="shared" si="11"/>
        <v>1612500</v>
      </c>
      <c r="AD17" s="65">
        <f t="shared" si="12"/>
        <v>537500</v>
      </c>
      <c r="AE17" s="78">
        <f t="shared" si="13"/>
        <v>8600000</v>
      </c>
      <c r="AF17" s="110">
        <f t="shared" si="14"/>
        <v>1</v>
      </c>
      <c r="AH17" s="49" t="str">
        <f t="shared" si="15"/>
        <v xml:space="preserve"> </v>
      </c>
    </row>
    <row r="18" spans="2:34" x14ac:dyDescent="0.25">
      <c r="B18" s="63">
        <v>4</v>
      </c>
      <c r="C18" s="30">
        <f t="shared" si="16"/>
        <v>2003</v>
      </c>
      <c r="D18" s="114">
        <v>0.04</v>
      </c>
      <c r="E18" s="35">
        <v>1000</v>
      </c>
      <c r="F18" s="35">
        <v>800</v>
      </c>
      <c r="G18" s="15">
        <f t="shared" si="17"/>
        <v>100000000</v>
      </c>
      <c r="H18" s="17">
        <f t="shared" si="18"/>
        <v>88000000</v>
      </c>
      <c r="I18" s="25">
        <f t="shared" si="19"/>
        <v>4000000</v>
      </c>
      <c r="J18" s="16">
        <f t="shared" si="0"/>
        <v>84000000</v>
      </c>
      <c r="K18" s="25">
        <f t="shared" si="4"/>
        <v>3440000</v>
      </c>
      <c r="L18" s="17">
        <f t="shared" si="2"/>
        <v>7440000</v>
      </c>
      <c r="M18" s="107">
        <f t="shared" si="5"/>
        <v>9300</v>
      </c>
      <c r="N18" s="52">
        <v>1000000</v>
      </c>
      <c r="O18" s="26">
        <f t="shared" si="6"/>
        <v>1250</v>
      </c>
      <c r="P18" s="107">
        <f t="shared" si="7"/>
        <v>8440000</v>
      </c>
      <c r="Q18" s="60">
        <f t="shared" si="3"/>
        <v>10550</v>
      </c>
      <c r="R18" s="36">
        <v>0</v>
      </c>
      <c r="S18" s="36">
        <v>0</v>
      </c>
      <c r="T18" s="27"/>
      <c r="V18" s="71">
        <v>350</v>
      </c>
      <c r="W18" s="52">
        <v>250</v>
      </c>
      <c r="X18" s="52">
        <v>150</v>
      </c>
      <c r="Y18" s="52">
        <v>50</v>
      </c>
      <c r="Z18" s="110">
        <f t="shared" si="8"/>
        <v>1</v>
      </c>
      <c r="AA18" s="70">
        <f t="shared" si="9"/>
        <v>3692500</v>
      </c>
      <c r="AB18" s="65">
        <f t="shared" si="10"/>
        <v>2637500</v>
      </c>
      <c r="AC18" s="65">
        <f t="shared" si="11"/>
        <v>1582500</v>
      </c>
      <c r="AD18" s="65">
        <f t="shared" si="12"/>
        <v>527500</v>
      </c>
      <c r="AE18" s="78">
        <f t="shared" si="13"/>
        <v>8440000</v>
      </c>
      <c r="AF18" s="110">
        <f t="shared" si="14"/>
        <v>1</v>
      </c>
      <c r="AH18" s="49" t="str">
        <f t="shared" si="15"/>
        <v xml:space="preserve"> </v>
      </c>
    </row>
    <row r="19" spans="2:34" x14ac:dyDescent="0.25">
      <c r="B19" s="63">
        <v>5</v>
      </c>
      <c r="C19" s="30">
        <f t="shared" si="16"/>
        <v>2004</v>
      </c>
      <c r="D19" s="114">
        <v>0.04</v>
      </c>
      <c r="E19" s="35">
        <v>1000</v>
      </c>
      <c r="F19" s="35">
        <v>800</v>
      </c>
      <c r="G19" s="15">
        <f t="shared" si="17"/>
        <v>100000000</v>
      </c>
      <c r="H19" s="17">
        <f t="shared" si="18"/>
        <v>84000000</v>
      </c>
      <c r="I19" s="25">
        <f t="shared" si="19"/>
        <v>4000000</v>
      </c>
      <c r="J19" s="16">
        <f t="shared" si="0"/>
        <v>80000000</v>
      </c>
      <c r="K19" s="25">
        <f t="shared" si="4"/>
        <v>3280000</v>
      </c>
      <c r="L19" s="17">
        <f t="shared" si="2"/>
        <v>7280000</v>
      </c>
      <c r="M19" s="107">
        <f t="shared" si="5"/>
        <v>9100</v>
      </c>
      <c r="N19" s="52">
        <v>1000000</v>
      </c>
      <c r="O19" s="26">
        <f t="shared" si="6"/>
        <v>1250</v>
      </c>
      <c r="P19" s="107">
        <f t="shared" si="7"/>
        <v>8280000</v>
      </c>
      <c r="Q19" s="60">
        <f t="shared" si="3"/>
        <v>10350</v>
      </c>
      <c r="R19" s="36">
        <v>0</v>
      </c>
      <c r="S19" s="36">
        <v>0</v>
      </c>
      <c r="T19" s="27"/>
      <c r="V19" s="71">
        <v>350</v>
      </c>
      <c r="W19" s="52">
        <v>250</v>
      </c>
      <c r="X19" s="52">
        <v>150</v>
      </c>
      <c r="Y19" s="52">
        <v>50</v>
      </c>
      <c r="Z19" s="110">
        <f t="shared" si="8"/>
        <v>1</v>
      </c>
      <c r="AA19" s="70">
        <f t="shared" si="9"/>
        <v>3622500</v>
      </c>
      <c r="AB19" s="65">
        <f t="shared" si="10"/>
        <v>2587500</v>
      </c>
      <c r="AC19" s="65">
        <f t="shared" si="11"/>
        <v>1552500</v>
      </c>
      <c r="AD19" s="65">
        <f t="shared" si="12"/>
        <v>517500</v>
      </c>
      <c r="AE19" s="78">
        <f t="shared" si="13"/>
        <v>8280000</v>
      </c>
      <c r="AF19" s="110">
        <f t="shared" si="14"/>
        <v>1</v>
      </c>
      <c r="AH19" s="49" t="str">
        <f t="shared" si="15"/>
        <v xml:space="preserve"> </v>
      </c>
    </row>
    <row r="20" spans="2:34" x14ac:dyDescent="0.25">
      <c r="B20" s="63">
        <v>6</v>
      </c>
      <c r="C20" s="30">
        <f t="shared" si="16"/>
        <v>2005</v>
      </c>
      <c r="D20" s="114">
        <v>0.04</v>
      </c>
      <c r="E20" s="35">
        <v>1000</v>
      </c>
      <c r="F20" s="35">
        <v>800</v>
      </c>
      <c r="G20" s="15">
        <f t="shared" si="17"/>
        <v>100000000</v>
      </c>
      <c r="H20" s="17">
        <f t="shared" si="18"/>
        <v>80000000</v>
      </c>
      <c r="I20" s="25">
        <f t="shared" si="19"/>
        <v>4000000</v>
      </c>
      <c r="J20" s="16">
        <f t="shared" si="0"/>
        <v>76000000</v>
      </c>
      <c r="K20" s="25">
        <f t="shared" si="4"/>
        <v>3120000</v>
      </c>
      <c r="L20" s="17">
        <f t="shared" si="2"/>
        <v>7120000</v>
      </c>
      <c r="M20" s="107">
        <f t="shared" si="5"/>
        <v>8900</v>
      </c>
      <c r="N20" s="52">
        <v>1000000</v>
      </c>
      <c r="O20" s="26">
        <f t="shared" si="6"/>
        <v>1250</v>
      </c>
      <c r="P20" s="107">
        <f t="shared" si="7"/>
        <v>8120000</v>
      </c>
      <c r="Q20" s="60">
        <f t="shared" si="3"/>
        <v>10150</v>
      </c>
      <c r="R20" s="36">
        <v>0</v>
      </c>
      <c r="S20" s="36">
        <v>0</v>
      </c>
      <c r="T20" s="27"/>
      <c r="V20" s="71">
        <v>350</v>
      </c>
      <c r="W20" s="52">
        <v>250</v>
      </c>
      <c r="X20" s="52">
        <v>150</v>
      </c>
      <c r="Y20" s="52">
        <v>50</v>
      </c>
      <c r="Z20" s="110">
        <f t="shared" si="8"/>
        <v>1</v>
      </c>
      <c r="AA20" s="70">
        <f t="shared" si="9"/>
        <v>3552500</v>
      </c>
      <c r="AB20" s="65">
        <f t="shared" si="10"/>
        <v>2537500</v>
      </c>
      <c r="AC20" s="65">
        <f t="shared" si="11"/>
        <v>1522500</v>
      </c>
      <c r="AD20" s="65">
        <f t="shared" si="12"/>
        <v>507500</v>
      </c>
      <c r="AE20" s="78">
        <f t="shared" si="13"/>
        <v>8120000</v>
      </c>
      <c r="AF20" s="110">
        <f t="shared" si="14"/>
        <v>1</v>
      </c>
      <c r="AH20" s="49" t="str">
        <f t="shared" si="15"/>
        <v xml:space="preserve"> </v>
      </c>
    </row>
    <row r="21" spans="2:34" x14ac:dyDescent="0.25">
      <c r="B21" s="63">
        <v>7</v>
      </c>
      <c r="C21" s="30">
        <f t="shared" si="16"/>
        <v>2006</v>
      </c>
      <c r="D21" s="114">
        <v>0.04</v>
      </c>
      <c r="E21" s="35">
        <v>1000</v>
      </c>
      <c r="F21" s="35">
        <v>800</v>
      </c>
      <c r="G21" s="15">
        <f t="shared" si="17"/>
        <v>100000000</v>
      </c>
      <c r="H21" s="17">
        <f t="shared" si="18"/>
        <v>76000000</v>
      </c>
      <c r="I21" s="25">
        <f t="shared" si="19"/>
        <v>4000000</v>
      </c>
      <c r="J21" s="16">
        <f t="shared" si="0"/>
        <v>72000000</v>
      </c>
      <c r="K21" s="25">
        <f t="shared" si="4"/>
        <v>2960000</v>
      </c>
      <c r="L21" s="17">
        <f t="shared" si="2"/>
        <v>6960000</v>
      </c>
      <c r="M21" s="107">
        <f t="shared" si="5"/>
        <v>8700</v>
      </c>
      <c r="N21" s="52">
        <v>1000000</v>
      </c>
      <c r="O21" s="26">
        <f t="shared" si="6"/>
        <v>1250</v>
      </c>
      <c r="P21" s="107">
        <f t="shared" si="7"/>
        <v>7960000</v>
      </c>
      <c r="Q21" s="60">
        <f>M21+O21</f>
        <v>9950</v>
      </c>
      <c r="R21" s="37">
        <v>25000000</v>
      </c>
      <c r="S21" s="37">
        <v>0</v>
      </c>
      <c r="T21" s="27"/>
      <c r="V21" s="71">
        <v>350</v>
      </c>
      <c r="W21" s="52">
        <v>250</v>
      </c>
      <c r="X21" s="52">
        <v>150</v>
      </c>
      <c r="Y21" s="52">
        <v>50</v>
      </c>
      <c r="Z21" s="110">
        <f t="shared" si="8"/>
        <v>1</v>
      </c>
      <c r="AA21" s="70">
        <f t="shared" si="9"/>
        <v>3482500</v>
      </c>
      <c r="AB21" s="65">
        <f t="shared" si="10"/>
        <v>2487500</v>
      </c>
      <c r="AC21" s="65">
        <f t="shared" si="11"/>
        <v>1492500</v>
      </c>
      <c r="AD21" s="65">
        <f t="shared" si="12"/>
        <v>497500</v>
      </c>
      <c r="AE21" s="78">
        <f t="shared" si="13"/>
        <v>7960000</v>
      </c>
      <c r="AF21" s="110">
        <f t="shared" si="14"/>
        <v>1</v>
      </c>
      <c r="AH21" s="49" t="str">
        <f t="shared" si="15"/>
        <v xml:space="preserve"> </v>
      </c>
    </row>
    <row r="22" spans="2:34" x14ac:dyDescent="0.25">
      <c r="B22" s="63">
        <v>8</v>
      </c>
      <c r="C22" s="30">
        <f t="shared" si="16"/>
        <v>2007</v>
      </c>
      <c r="D22" s="114">
        <v>0.04</v>
      </c>
      <c r="E22" s="35">
        <v>1000</v>
      </c>
      <c r="F22" s="35">
        <v>800</v>
      </c>
      <c r="G22" s="15">
        <f t="shared" si="17"/>
        <v>125000000</v>
      </c>
      <c r="H22" s="17">
        <f>J21+R21+T21</f>
        <v>97000000</v>
      </c>
      <c r="I22" s="25">
        <f t="shared" si="19"/>
        <v>5000000</v>
      </c>
      <c r="J22" s="16">
        <f t="shared" si="0"/>
        <v>92000000</v>
      </c>
      <c r="K22" s="25">
        <f t="shared" si="4"/>
        <v>3780000</v>
      </c>
      <c r="L22" s="17">
        <f t="shared" si="2"/>
        <v>8780000</v>
      </c>
      <c r="M22" s="107">
        <f t="shared" si="5"/>
        <v>10975</v>
      </c>
      <c r="N22" s="52">
        <v>1000000</v>
      </c>
      <c r="O22" s="26">
        <f t="shared" si="6"/>
        <v>1250</v>
      </c>
      <c r="P22" s="107">
        <f t="shared" si="7"/>
        <v>9780000</v>
      </c>
      <c r="Q22" s="60">
        <f t="shared" si="3"/>
        <v>12225</v>
      </c>
      <c r="R22" s="37">
        <v>0</v>
      </c>
      <c r="S22" s="37">
        <v>0</v>
      </c>
      <c r="T22" s="27"/>
      <c r="V22" s="71">
        <v>350</v>
      </c>
      <c r="W22" s="52">
        <v>250</v>
      </c>
      <c r="X22" s="52">
        <v>150</v>
      </c>
      <c r="Y22" s="52">
        <v>50</v>
      </c>
      <c r="Z22" s="110">
        <f t="shared" si="8"/>
        <v>1</v>
      </c>
      <c r="AA22" s="70">
        <f t="shared" si="9"/>
        <v>4278750</v>
      </c>
      <c r="AB22" s="65">
        <f t="shared" si="10"/>
        <v>3056250</v>
      </c>
      <c r="AC22" s="65">
        <f t="shared" si="11"/>
        <v>1833750</v>
      </c>
      <c r="AD22" s="65">
        <f t="shared" si="12"/>
        <v>611250</v>
      </c>
      <c r="AE22" s="78">
        <f t="shared" si="13"/>
        <v>9780000</v>
      </c>
      <c r="AF22" s="110">
        <f t="shared" si="14"/>
        <v>1</v>
      </c>
      <c r="AH22" s="49" t="str">
        <f t="shared" si="15"/>
        <v xml:space="preserve"> </v>
      </c>
    </row>
    <row r="23" spans="2:34" x14ac:dyDescent="0.25">
      <c r="B23" s="63">
        <v>9</v>
      </c>
      <c r="C23" s="30">
        <f t="shared" si="16"/>
        <v>2008</v>
      </c>
      <c r="D23" s="114">
        <v>0.04</v>
      </c>
      <c r="E23" s="35">
        <v>1000</v>
      </c>
      <c r="F23" s="35">
        <v>800</v>
      </c>
      <c r="G23" s="15">
        <f t="shared" si="17"/>
        <v>125000000</v>
      </c>
      <c r="H23" s="17">
        <f t="shared" si="18"/>
        <v>92000000</v>
      </c>
      <c r="I23" s="25">
        <f t="shared" si="19"/>
        <v>5000000</v>
      </c>
      <c r="J23" s="16">
        <f t="shared" si="0"/>
        <v>87000000</v>
      </c>
      <c r="K23" s="25">
        <f t="shared" si="4"/>
        <v>3580000</v>
      </c>
      <c r="L23" s="17">
        <f t="shared" si="2"/>
        <v>8580000</v>
      </c>
      <c r="M23" s="107">
        <f t="shared" si="5"/>
        <v>10725</v>
      </c>
      <c r="N23" s="52">
        <v>1000000</v>
      </c>
      <c r="O23" s="26">
        <f t="shared" si="6"/>
        <v>1250</v>
      </c>
      <c r="P23" s="107">
        <f t="shared" si="7"/>
        <v>9580000</v>
      </c>
      <c r="Q23" s="60">
        <f t="shared" si="3"/>
        <v>11975</v>
      </c>
      <c r="R23" s="37">
        <v>0</v>
      </c>
      <c r="S23" s="37">
        <v>0</v>
      </c>
      <c r="T23" s="27"/>
      <c r="V23" s="71">
        <v>350</v>
      </c>
      <c r="W23" s="52">
        <v>250</v>
      </c>
      <c r="X23" s="52">
        <v>150</v>
      </c>
      <c r="Y23" s="52">
        <v>50</v>
      </c>
      <c r="Z23" s="110">
        <f t="shared" si="8"/>
        <v>1</v>
      </c>
      <c r="AA23" s="70">
        <f t="shared" si="9"/>
        <v>4191250</v>
      </c>
      <c r="AB23" s="65">
        <f t="shared" si="10"/>
        <v>2993750</v>
      </c>
      <c r="AC23" s="65">
        <f t="shared" si="11"/>
        <v>1796250</v>
      </c>
      <c r="AD23" s="65">
        <f t="shared" si="12"/>
        <v>598750</v>
      </c>
      <c r="AE23" s="78">
        <f t="shared" si="13"/>
        <v>9580000</v>
      </c>
      <c r="AF23" s="110">
        <f t="shared" si="14"/>
        <v>1</v>
      </c>
      <c r="AH23" s="49" t="str">
        <f t="shared" si="15"/>
        <v xml:space="preserve"> </v>
      </c>
    </row>
    <row r="24" spans="2:34" x14ac:dyDescent="0.25">
      <c r="B24" s="63">
        <v>10</v>
      </c>
      <c r="C24" s="30">
        <f t="shared" si="16"/>
        <v>2009</v>
      </c>
      <c r="D24" s="114">
        <v>0.04</v>
      </c>
      <c r="E24" s="35">
        <v>1000</v>
      </c>
      <c r="F24" s="35">
        <v>800</v>
      </c>
      <c r="G24" s="15">
        <f t="shared" si="17"/>
        <v>125000000</v>
      </c>
      <c r="H24" s="17">
        <f t="shared" si="18"/>
        <v>87000000</v>
      </c>
      <c r="I24" s="25">
        <f t="shared" si="19"/>
        <v>5000000</v>
      </c>
      <c r="J24" s="16">
        <f t="shared" si="0"/>
        <v>82000000</v>
      </c>
      <c r="K24" s="25">
        <f t="shared" si="4"/>
        <v>3380000</v>
      </c>
      <c r="L24" s="17">
        <f t="shared" si="2"/>
        <v>8380000</v>
      </c>
      <c r="M24" s="107">
        <f t="shared" si="5"/>
        <v>10475</v>
      </c>
      <c r="N24" s="52">
        <v>1000000</v>
      </c>
      <c r="O24" s="26">
        <f t="shared" si="6"/>
        <v>1250</v>
      </c>
      <c r="P24" s="107">
        <f t="shared" si="7"/>
        <v>9380000</v>
      </c>
      <c r="Q24" s="60">
        <f t="shared" si="3"/>
        <v>11725</v>
      </c>
      <c r="R24" s="37">
        <v>0</v>
      </c>
      <c r="S24" s="37">
        <v>0</v>
      </c>
      <c r="T24" s="27"/>
      <c r="V24" s="71">
        <v>350</v>
      </c>
      <c r="W24" s="52">
        <v>250</v>
      </c>
      <c r="X24" s="52">
        <v>150</v>
      </c>
      <c r="Y24" s="52">
        <v>50</v>
      </c>
      <c r="Z24" s="110">
        <f t="shared" si="8"/>
        <v>1</v>
      </c>
      <c r="AA24" s="70">
        <f t="shared" si="9"/>
        <v>4103750</v>
      </c>
      <c r="AB24" s="65">
        <f t="shared" si="10"/>
        <v>2931250</v>
      </c>
      <c r="AC24" s="65">
        <f t="shared" si="11"/>
        <v>1758750</v>
      </c>
      <c r="AD24" s="65">
        <f t="shared" si="12"/>
        <v>586250</v>
      </c>
      <c r="AE24" s="78">
        <f t="shared" si="13"/>
        <v>9380000</v>
      </c>
      <c r="AF24" s="110">
        <f t="shared" si="14"/>
        <v>1</v>
      </c>
      <c r="AH24" s="49" t="str">
        <f t="shared" si="15"/>
        <v xml:space="preserve"> </v>
      </c>
    </row>
    <row r="25" spans="2:34" x14ac:dyDescent="0.25">
      <c r="B25" s="63">
        <v>11</v>
      </c>
      <c r="C25" s="30">
        <f t="shared" si="16"/>
        <v>2010</v>
      </c>
      <c r="D25" s="114">
        <v>0.04</v>
      </c>
      <c r="E25" s="35">
        <v>1000</v>
      </c>
      <c r="F25" s="35">
        <v>800</v>
      </c>
      <c r="G25" s="15">
        <f t="shared" si="17"/>
        <v>125000000</v>
      </c>
      <c r="H25" s="17">
        <f t="shared" si="18"/>
        <v>82000000</v>
      </c>
      <c r="I25" s="25">
        <f t="shared" si="19"/>
        <v>5000000</v>
      </c>
      <c r="J25" s="16">
        <f t="shared" si="0"/>
        <v>77000000</v>
      </c>
      <c r="K25" s="25">
        <f t="shared" si="4"/>
        <v>3180000</v>
      </c>
      <c r="L25" s="17">
        <f t="shared" si="2"/>
        <v>8180000</v>
      </c>
      <c r="M25" s="107">
        <f t="shared" si="5"/>
        <v>10225</v>
      </c>
      <c r="N25" s="52">
        <v>1000000</v>
      </c>
      <c r="O25" s="26">
        <f t="shared" si="6"/>
        <v>1250</v>
      </c>
      <c r="P25" s="107">
        <f t="shared" si="7"/>
        <v>9180000</v>
      </c>
      <c r="Q25" s="60">
        <f t="shared" si="3"/>
        <v>11475</v>
      </c>
      <c r="R25" s="37">
        <v>0</v>
      </c>
      <c r="S25" s="37">
        <v>0</v>
      </c>
      <c r="T25" s="27"/>
      <c r="V25" s="71">
        <v>350</v>
      </c>
      <c r="W25" s="52">
        <v>250</v>
      </c>
      <c r="X25" s="52">
        <v>150</v>
      </c>
      <c r="Y25" s="52">
        <v>50</v>
      </c>
      <c r="Z25" s="110">
        <f t="shared" si="8"/>
        <v>1</v>
      </c>
      <c r="AA25" s="70">
        <f t="shared" si="9"/>
        <v>4016250</v>
      </c>
      <c r="AB25" s="65">
        <f t="shared" si="10"/>
        <v>2868750</v>
      </c>
      <c r="AC25" s="65">
        <f t="shared" si="11"/>
        <v>1721250</v>
      </c>
      <c r="AD25" s="65">
        <f t="shared" si="12"/>
        <v>573750</v>
      </c>
      <c r="AE25" s="78">
        <f t="shared" si="13"/>
        <v>9180000</v>
      </c>
      <c r="AF25" s="110">
        <f t="shared" si="14"/>
        <v>1</v>
      </c>
      <c r="AH25" s="49" t="str">
        <f t="shared" si="15"/>
        <v xml:space="preserve"> </v>
      </c>
    </row>
    <row r="26" spans="2:34" x14ac:dyDescent="0.25">
      <c r="B26" s="63">
        <v>12</v>
      </c>
      <c r="C26" s="30">
        <f t="shared" si="16"/>
        <v>2011</v>
      </c>
      <c r="D26" s="114">
        <v>0.04</v>
      </c>
      <c r="E26" s="35">
        <v>1000</v>
      </c>
      <c r="F26" s="35">
        <v>800</v>
      </c>
      <c r="G26" s="15">
        <f t="shared" si="17"/>
        <v>125000000</v>
      </c>
      <c r="H26" s="17">
        <f t="shared" si="18"/>
        <v>77000000</v>
      </c>
      <c r="I26" s="25">
        <f t="shared" si="19"/>
        <v>5000000</v>
      </c>
      <c r="J26" s="16">
        <f t="shared" si="0"/>
        <v>72000000</v>
      </c>
      <c r="K26" s="25">
        <f t="shared" si="4"/>
        <v>2980000</v>
      </c>
      <c r="L26" s="17">
        <f t="shared" si="2"/>
        <v>7980000</v>
      </c>
      <c r="M26" s="107">
        <f t="shared" si="5"/>
        <v>9975</v>
      </c>
      <c r="N26" s="52">
        <v>1000000</v>
      </c>
      <c r="O26" s="26">
        <f t="shared" si="6"/>
        <v>1250</v>
      </c>
      <c r="P26" s="107">
        <f t="shared" si="7"/>
        <v>8980000</v>
      </c>
      <c r="Q26" s="60">
        <f t="shared" si="3"/>
        <v>11225</v>
      </c>
      <c r="R26" s="37">
        <v>0</v>
      </c>
      <c r="S26" s="37">
        <v>0</v>
      </c>
      <c r="T26" s="27"/>
      <c r="V26" s="71">
        <v>350</v>
      </c>
      <c r="W26" s="52">
        <v>250</v>
      </c>
      <c r="X26" s="52">
        <v>150</v>
      </c>
      <c r="Y26" s="52">
        <v>50</v>
      </c>
      <c r="Z26" s="110">
        <f t="shared" si="8"/>
        <v>1</v>
      </c>
      <c r="AA26" s="70">
        <f t="shared" si="9"/>
        <v>3928750</v>
      </c>
      <c r="AB26" s="65">
        <f t="shared" si="10"/>
        <v>2806250</v>
      </c>
      <c r="AC26" s="65">
        <f t="shared" si="11"/>
        <v>1683750</v>
      </c>
      <c r="AD26" s="65">
        <f t="shared" si="12"/>
        <v>561250</v>
      </c>
      <c r="AE26" s="78">
        <f t="shared" si="13"/>
        <v>8980000</v>
      </c>
      <c r="AF26" s="110">
        <f t="shared" si="14"/>
        <v>1</v>
      </c>
      <c r="AH26" s="49" t="str">
        <f t="shared" si="15"/>
        <v xml:space="preserve"> </v>
      </c>
    </row>
    <row r="27" spans="2:34" x14ac:dyDescent="0.25">
      <c r="B27" s="63">
        <v>13</v>
      </c>
      <c r="C27" s="30">
        <f t="shared" si="16"/>
        <v>2012</v>
      </c>
      <c r="D27" s="114">
        <v>0.04</v>
      </c>
      <c r="E27" s="35">
        <v>1000</v>
      </c>
      <c r="F27" s="35">
        <v>800</v>
      </c>
      <c r="G27" s="15">
        <f t="shared" si="17"/>
        <v>125000000</v>
      </c>
      <c r="H27" s="17">
        <f t="shared" si="18"/>
        <v>72000000</v>
      </c>
      <c r="I27" s="25">
        <f t="shared" si="19"/>
        <v>5000000</v>
      </c>
      <c r="J27" s="16">
        <f t="shared" si="0"/>
        <v>67000000</v>
      </c>
      <c r="K27" s="25">
        <f t="shared" si="4"/>
        <v>2780000</v>
      </c>
      <c r="L27" s="17">
        <f t="shared" si="2"/>
        <v>7780000</v>
      </c>
      <c r="M27" s="107">
        <f t="shared" si="5"/>
        <v>9725</v>
      </c>
      <c r="N27" s="52">
        <v>1000000</v>
      </c>
      <c r="O27" s="26">
        <f t="shared" si="6"/>
        <v>1250</v>
      </c>
      <c r="P27" s="107">
        <f t="shared" si="7"/>
        <v>8780000</v>
      </c>
      <c r="Q27" s="60">
        <f t="shared" si="3"/>
        <v>10975</v>
      </c>
      <c r="R27" s="37">
        <v>0</v>
      </c>
      <c r="S27" s="37">
        <v>0</v>
      </c>
      <c r="T27" s="27"/>
      <c r="V27" s="71">
        <v>350</v>
      </c>
      <c r="W27" s="52">
        <v>250</v>
      </c>
      <c r="X27" s="52">
        <v>150</v>
      </c>
      <c r="Y27" s="52">
        <v>50</v>
      </c>
      <c r="Z27" s="110">
        <f t="shared" si="8"/>
        <v>1</v>
      </c>
      <c r="AA27" s="70">
        <f t="shared" si="9"/>
        <v>3841250</v>
      </c>
      <c r="AB27" s="65">
        <f t="shared" si="10"/>
        <v>2743750</v>
      </c>
      <c r="AC27" s="65">
        <f t="shared" si="11"/>
        <v>1646250</v>
      </c>
      <c r="AD27" s="65">
        <f t="shared" si="12"/>
        <v>548750</v>
      </c>
      <c r="AE27" s="78">
        <f t="shared" si="13"/>
        <v>8780000</v>
      </c>
      <c r="AF27" s="110">
        <f t="shared" si="14"/>
        <v>1</v>
      </c>
      <c r="AH27" s="49" t="str">
        <f t="shared" si="15"/>
        <v xml:space="preserve"> </v>
      </c>
    </row>
    <row r="28" spans="2:34" x14ac:dyDescent="0.25">
      <c r="B28" s="63">
        <v>14</v>
      </c>
      <c r="C28" s="30">
        <f t="shared" si="16"/>
        <v>2013</v>
      </c>
      <c r="D28" s="114">
        <v>0.04</v>
      </c>
      <c r="E28" s="35">
        <v>1000</v>
      </c>
      <c r="F28" s="35">
        <v>800</v>
      </c>
      <c r="G28" s="15">
        <f t="shared" si="17"/>
        <v>125000000</v>
      </c>
      <c r="H28" s="17">
        <f t="shared" si="18"/>
        <v>67000000</v>
      </c>
      <c r="I28" s="25">
        <f t="shared" si="19"/>
        <v>5000000</v>
      </c>
      <c r="J28" s="16">
        <f t="shared" si="0"/>
        <v>62000000</v>
      </c>
      <c r="K28" s="25">
        <f t="shared" si="4"/>
        <v>2580000</v>
      </c>
      <c r="L28" s="17">
        <f t="shared" si="2"/>
        <v>7580000</v>
      </c>
      <c r="M28" s="107">
        <f t="shared" si="5"/>
        <v>9475</v>
      </c>
      <c r="N28" s="52">
        <v>1000000</v>
      </c>
      <c r="O28" s="26">
        <f t="shared" si="6"/>
        <v>1250</v>
      </c>
      <c r="P28" s="107">
        <f t="shared" si="7"/>
        <v>8580000</v>
      </c>
      <c r="Q28" s="60">
        <f t="shared" si="3"/>
        <v>10725</v>
      </c>
      <c r="R28" s="37">
        <v>0</v>
      </c>
      <c r="S28" s="37">
        <v>0</v>
      </c>
      <c r="T28" s="27"/>
      <c r="V28" s="71">
        <v>350</v>
      </c>
      <c r="W28" s="52">
        <v>250</v>
      </c>
      <c r="X28" s="52">
        <v>150</v>
      </c>
      <c r="Y28" s="52">
        <v>50</v>
      </c>
      <c r="Z28" s="110">
        <f t="shared" si="8"/>
        <v>1</v>
      </c>
      <c r="AA28" s="70">
        <f t="shared" si="9"/>
        <v>3753750</v>
      </c>
      <c r="AB28" s="65">
        <f t="shared" si="10"/>
        <v>2681250</v>
      </c>
      <c r="AC28" s="65">
        <f t="shared" si="11"/>
        <v>1608750</v>
      </c>
      <c r="AD28" s="65">
        <f t="shared" si="12"/>
        <v>536250</v>
      </c>
      <c r="AE28" s="78">
        <f t="shared" si="13"/>
        <v>8580000</v>
      </c>
      <c r="AF28" s="110">
        <f t="shared" si="14"/>
        <v>1</v>
      </c>
      <c r="AH28" s="49" t="str">
        <f t="shared" si="15"/>
        <v xml:space="preserve"> </v>
      </c>
    </row>
    <row r="29" spans="2:34" x14ac:dyDescent="0.25">
      <c r="B29" s="63">
        <v>15</v>
      </c>
      <c r="C29" s="30">
        <f t="shared" si="16"/>
        <v>2014</v>
      </c>
      <c r="D29" s="114">
        <v>0.04</v>
      </c>
      <c r="E29" s="35">
        <v>1000</v>
      </c>
      <c r="F29" s="35">
        <v>800</v>
      </c>
      <c r="G29" s="15">
        <f t="shared" si="17"/>
        <v>125000000</v>
      </c>
      <c r="H29" s="17">
        <f t="shared" si="18"/>
        <v>62000000</v>
      </c>
      <c r="I29" s="25">
        <f t="shared" si="19"/>
        <v>5000000</v>
      </c>
      <c r="J29" s="16">
        <f t="shared" si="0"/>
        <v>57000000</v>
      </c>
      <c r="K29" s="25">
        <f t="shared" si="4"/>
        <v>2380000</v>
      </c>
      <c r="L29" s="17">
        <f t="shared" si="2"/>
        <v>7380000</v>
      </c>
      <c r="M29" s="107">
        <f t="shared" si="5"/>
        <v>9225</v>
      </c>
      <c r="N29" s="52">
        <v>1000000</v>
      </c>
      <c r="O29" s="26">
        <f t="shared" si="6"/>
        <v>1250</v>
      </c>
      <c r="P29" s="107">
        <f t="shared" si="7"/>
        <v>8380000</v>
      </c>
      <c r="Q29" s="60">
        <f t="shared" si="3"/>
        <v>10475</v>
      </c>
      <c r="R29" s="37">
        <v>0</v>
      </c>
      <c r="S29" s="37">
        <v>-15000000</v>
      </c>
      <c r="T29" s="88">
        <f>-T52</f>
        <v>-6000000</v>
      </c>
      <c r="V29" s="71">
        <v>350</v>
      </c>
      <c r="W29" s="52">
        <v>250</v>
      </c>
      <c r="X29" s="52">
        <v>150</v>
      </c>
      <c r="Y29" s="52">
        <v>50</v>
      </c>
      <c r="Z29" s="110">
        <f t="shared" si="8"/>
        <v>1</v>
      </c>
      <c r="AA29" s="70">
        <f t="shared" si="9"/>
        <v>3666250</v>
      </c>
      <c r="AB29" s="65">
        <f t="shared" si="10"/>
        <v>2618750</v>
      </c>
      <c r="AC29" s="65">
        <f t="shared" si="11"/>
        <v>1571250</v>
      </c>
      <c r="AD29" s="65">
        <f t="shared" si="12"/>
        <v>523750</v>
      </c>
      <c r="AE29" s="78">
        <f t="shared" si="13"/>
        <v>8380000</v>
      </c>
      <c r="AF29" s="110">
        <f t="shared" si="14"/>
        <v>1</v>
      </c>
      <c r="AH29" s="49" t="str">
        <f t="shared" si="15"/>
        <v xml:space="preserve"> </v>
      </c>
    </row>
    <row r="30" spans="2:34" x14ac:dyDescent="0.25">
      <c r="B30" s="63">
        <v>16</v>
      </c>
      <c r="C30" s="30">
        <f t="shared" si="16"/>
        <v>2015</v>
      </c>
      <c r="D30" s="114">
        <v>0.04</v>
      </c>
      <c r="E30" s="35">
        <v>1000</v>
      </c>
      <c r="F30" s="35">
        <v>800</v>
      </c>
      <c r="G30" s="15">
        <f t="shared" si="17"/>
        <v>110000000</v>
      </c>
      <c r="H30" s="17">
        <f t="shared" si="18"/>
        <v>51000000</v>
      </c>
      <c r="I30" s="25">
        <f t="shared" si="19"/>
        <v>4400000</v>
      </c>
      <c r="J30" s="16">
        <f t="shared" si="0"/>
        <v>46600000</v>
      </c>
      <c r="K30" s="25">
        <f t="shared" si="4"/>
        <v>1952000</v>
      </c>
      <c r="L30" s="17">
        <f t="shared" si="2"/>
        <v>6352000</v>
      </c>
      <c r="M30" s="107">
        <f t="shared" si="5"/>
        <v>7940</v>
      </c>
      <c r="N30" s="52">
        <v>1000000</v>
      </c>
      <c r="O30" s="26">
        <f t="shared" si="6"/>
        <v>1250</v>
      </c>
      <c r="P30" s="107">
        <f t="shared" si="7"/>
        <v>7352000</v>
      </c>
      <c r="Q30" s="60">
        <f t="shared" si="3"/>
        <v>9190</v>
      </c>
      <c r="R30" s="37">
        <v>0</v>
      </c>
      <c r="S30" s="37">
        <v>0</v>
      </c>
      <c r="T30" s="27"/>
      <c r="V30" s="71">
        <v>350</v>
      </c>
      <c r="W30" s="52">
        <v>250</v>
      </c>
      <c r="X30" s="52">
        <v>150</v>
      </c>
      <c r="Y30" s="52">
        <v>50</v>
      </c>
      <c r="Z30" s="110">
        <f t="shared" si="8"/>
        <v>1</v>
      </c>
      <c r="AA30" s="70">
        <f t="shared" si="9"/>
        <v>3216500</v>
      </c>
      <c r="AB30" s="65">
        <f t="shared" si="10"/>
        <v>2297500</v>
      </c>
      <c r="AC30" s="65">
        <f t="shared" si="11"/>
        <v>1378500</v>
      </c>
      <c r="AD30" s="65">
        <f t="shared" si="12"/>
        <v>459500</v>
      </c>
      <c r="AE30" s="78">
        <f t="shared" si="13"/>
        <v>7352000</v>
      </c>
      <c r="AF30" s="110">
        <f t="shared" si="14"/>
        <v>1</v>
      </c>
      <c r="AH30" s="49" t="str">
        <f t="shared" si="15"/>
        <v xml:space="preserve"> </v>
      </c>
    </row>
    <row r="31" spans="2:34" x14ac:dyDescent="0.25">
      <c r="B31" s="63">
        <v>17</v>
      </c>
      <c r="C31" s="30">
        <f t="shared" si="16"/>
        <v>2016</v>
      </c>
      <c r="D31" s="114">
        <v>0.04</v>
      </c>
      <c r="E31" s="35">
        <v>1000</v>
      </c>
      <c r="F31" s="35">
        <v>800</v>
      </c>
      <c r="G31" s="15">
        <f t="shared" si="17"/>
        <v>110000000</v>
      </c>
      <c r="H31" s="17">
        <f t="shared" si="18"/>
        <v>46600000</v>
      </c>
      <c r="I31" s="25">
        <f t="shared" si="19"/>
        <v>4400000</v>
      </c>
      <c r="J31" s="16">
        <f t="shared" si="0"/>
        <v>42200000</v>
      </c>
      <c r="K31" s="25">
        <f t="shared" si="4"/>
        <v>1776000</v>
      </c>
      <c r="L31" s="17">
        <f t="shared" si="2"/>
        <v>6176000</v>
      </c>
      <c r="M31" s="107">
        <f t="shared" si="5"/>
        <v>7720</v>
      </c>
      <c r="N31" s="52">
        <v>1000000</v>
      </c>
      <c r="O31" s="26">
        <f t="shared" si="6"/>
        <v>1250</v>
      </c>
      <c r="P31" s="107">
        <f t="shared" si="7"/>
        <v>7176000</v>
      </c>
      <c r="Q31" s="60">
        <f t="shared" si="3"/>
        <v>8970</v>
      </c>
      <c r="R31" s="37">
        <v>0</v>
      </c>
      <c r="S31" s="37">
        <v>0</v>
      </c>
      <c r="T31" s="27"/>
      <c r="V31" s="71">
        <v>350</v>
      </c>
      <c r="W31" s="52">
        <v>250</v>
      </c>
      <c r="X31" s="52">
        <v>150</v>
      </c>
      <c r="Y31" s="52">
        <v>50</v>
      </c>
      <c r="Z31" s="110">
        <f t="shared" si="8"/>
        <v>1</v>
      </c>
      <c r="AA31" s="70">
        <f t="shared" si="9"/>
        <v>3139500</v>
      </c>
      <c r="AB31" s="65">
        <f t="shared" si="10"/>
        <v>2242500</v>
      </c>
      <c r="AC31" s="65">
        <f t="shared" si="11"/>
        <v>1345500</v>
      </c>
      <c r="AD31" s="65">
        <f t="shared" si="12"/>
        <v>448500</v>
      </c>
      <c r="AE31" s="78">
        <f t="shared" si="13"/>
        <v>7176000</v>
      </c>
      <c r="AF31" s="110">
        <f t="shared" si="14"/>
        <v>1</v>
      </c>
      <c r="AH31" s="49" t="str">
        <f t="shared" si="15"/>
        <v xml:space="preserve"> </v>
      </c>
    </row>
    <row r="32" spans="2:34" x14ac:dyDescent="0.25">
      <c r="B32" s="63">
        <v>18</v>
      </c>
      <c r="C32" s="30">
        <f t="shared" si="16"/>
        <v>2017</v>
      </c>
      <c r="D32" s="114">
        <v>0.04</v>
      </c>
      <c r="E32" s="35">
        <v>1000</v>
      </c>
      <c r="F32" s="35">
        <v>800</v>
      </c>
      <c r="G32" s="15">
        <f t="shared" si="17"/>
        <v>110000000</v>
      </c>
      <c r="H32" s="17">
        <f t="shared" si="18"/>
        <v>42200000</v>
      </c>
      <c r="I32" s="25">
        <f t="shared" si="19"/>
        <v>4400000</v>
      </c>
      <c r="J32" s="16">
        <f t="shared" si="0"/>
        <v>37800000</v>
      </c>
      <c r="K32" s="25">
        <f t="shared" si="4"/>
        <v>1600000</v>
      </c>
      <c r="L32" s="17">
        <f t="shared" si="2"/>
        <v>6000000</v>
      </c>
      <c r="M32" s="107">
        <f t="shared" si="5"/>
        <v>7500</v>
      </c>
      <c r="N32" s="52">
        <v>1000000</v>
      </c>
      <c r="O32" s="26">
        <f t="shared" si="6"/>
        <v>1250</v>
      </c>
      <c r="P32" s="107">
        <f t="shared" si="7"/>
        <v>7000000</v>
      </c>
      <c r="Q32" s="60">
        <f t="shared" si="3"/>
        <v>8750</v>
      </c>
      <c r="R32" s="37">
        <v>0</v>
      </c>
      <c r="S32" s="37">
        <v>0</v>
      </c>
      <c r="T32" s="27"/>
      <c r="V32" s="71">
        <v>350</v>
      </c>
      <c r="W32" s="52">
        <v>250</v>
      </c>
      <c r="X32" s="52">
        <v>150</v>
      </c>
      <c r="Y32" s="52">
        <v>50</v>
      </c>
      <c r="Z32" s="110">
        <f t="shared" si="8"/>
        <v>1</v>
      </c>
      <c r="AA32" s="70">
        <f t="shared" si="9"/>
        <v>3062500</v>
      </c>
      <c r="AB32" s="65">
        <f t="shared" si="10"/>
        <v>2187500</v>
      </c>
      <c r="AC32" s="65">
        <f t="shared" si="11"/>
        <v>1312500</v>
      </c>
      <c r="AD32" s="65">
        <f t="shared" si="12"/>
        <v>437500</v>
      </c>
      <c r="AE32" s="78">
        <f t="shared" si="13"/>
        <v>7000000</v>
      </c>
      <c r="AF32" s="110">
        <f t="shared" si="14"/>
        <v>1</v>
      </c>
      <c r="AH32" s="49" t="str">
        <f t="shared" si="15"/>
        <v xml:space="preserve"> </v>
      </c>
    </row>
    <row r="33" spans="2:34" x14ac:dyDescent="0.25">
      <c r="B33" s="63">
        <v>19</v>
      </c>
      <c r="C33" s="30">
        <f t="shared" si="16"/>
        <v>2018</v>
      </c>
      <c r="D33" s="114">
        <v>0.04</v>
      </c>
      <c r="E33" s="35">
        <v>1000</v>
      </c>
      <c r="F33" s="35">
        <v>800</v>
      </c>
      <c r="G33" s="15">
        <f t="shared" si="17"/>
        <v>110000000</v>
      </c>
      <c r="H33" s="17">
        <f t="shared" si="18"/>
        <v>37800000</v>
      </c>
      <c r="I33" s="25">
        <f t="shared" si="19"/>
        <v>4400000</v>
      </c>
      <c r="J33" s="16">
        <f t="shared" si="0"/>
        <v>33400000</v>
      </c>
      <c r="K33" s="25">
        <f t="shared" si="4"/>
        <v>1424000</v>
      </c>
      <c r="L33" s="17">
        <f t="shared" si="2"/>
        <v>5824000</v>
      </c>
      <c r="M33" s="107">
        <f t="shared" si="5"/>
        <v>7280</v>
      </c>
      <c r="N33" s="52">
        <v>1000000</v>
      </c>
      <c r="O33" s="26">
        <f t="shared" si="6"/>
        <v>1250</v>
      </c>
      <c r="P33" s="107">
        <f t="shared" si="7"/>
        <v>6824000</v>
      </c>
      <c r="Q33" s="60">
        <f t="shared" si="3"/>
        <v>8530</v>
      </c>
      <c r="R33" s="37">
        <v>0</v>
      </c>
      <c r="S33" s="37">
        <v>0</v>
      </c>
      <c r="T33" s="27"/>
      <c r="U33" s="6"/>
      <c r="V33" s="71">
        <v>350</v>
      </c>
      <c r="W33" s="52">
        <v>250</v>
      </c>
      <c r="X33" s="52">
        <v>150</v>
      </c>
      <c r="Y33" s="52">
        <v>50</v>
      </c>
      <c r="Z33" s="110">
        <f t="shared" si="8"/>
        <v>1</v>
      </c>
      <c r="AA33" s="70">
        <f t="shared" si="9"/>
        <v>2985500</v>
      </c>
      <c r="AB33" s="65">
        <f t="shared" si="10"/>
        <v>2132500</v>
      </c>
      <c r="AC33" s="65">
        <f t="shared" si="11"/>
        <v>1279500</v>
      </c>
      <c r="AD33" s="65">
        <f t="shared" si="12"/>
        <v>426500</v>
      </c>
      <c r="AE33" s="78">
        <f t="shared" si="13"/>
        <v>6824000</v>
      </c>
      <c r="AF33" s="110">
        <f t="shared" si="14"/>
        <v>1</v>
      </c>
      <c r="AH33" s="49" t="str">
        <f t="shared" si="15"/>
        <v xml:space="preserve"> </v>
      </c>
    </row>
    <row r="34" spans="2:34" x14ac:dyDescent="0.25">
      <c r="B34" s="63">
        <v>20</v>
      </c>
      <c r="C34" s="30">
        <f t="shared" si="16"/>
        <v>2019</v>
      </c>
      <c r="D34" s="114">
        <v>0.04</v>
      </c>
      <c r="E34" s="35">
        <v>1000</v>
      </c>
      <c r="F34" s="35">
        <v>800</v>
      </c>
      <c r="G34" s="15">
        <f t="shared" si="17"/>
        <v>110000000</v>
      </c>
      <c r="H34" s="17">
        <f t="shared" si="18"/>
        <v>33400000</v>
      </c>
      <c r="I34" s="25">
        <f t="shared" si="19"/>
        <v>4400000</v>
      </c>
      <c r="J34" s="16">
        <f t="shared" si="0"/>
        <v>29000000</v>
      </c>
      <c r="K34" s="25">
        <f t="shared" si="4"/>
        <v>1248000</v>
      </c>
      <c r="L34" s="17">
        <f t="shared" si="2"/>
        <v>5648000</v>
      </c>
      <c r="M34" s="107">
        <f t="shared" si="5"/>
        <v>7060</v>
      </c>
      <c r="N34" s="52">
        <v>1000000</v>
      </c>
      <c r="O34" s="26">
        <f t="shared" si="6"/>
        <v>1250</v>
      </c>
      <c r="P34" s="107">
        <f t="shared" si="7"/>
        <v>6648000</v>
      </c>
      <c r="Q34" s="60">
        <f t="shared" si="3"/>
        <v>8310</v>
      </c>
      <c r="R34" s="37">
        <v>0</v>
      </c>
      <c r="S34" s="37">
        <v>0</v>
      </c>
      <c r="T34" s="27"/>
      <c r="V34" s="71">
        <v>350</v>
      </c>
      <c r="W34" s="52">
        <v>250</v>
      </c>
      <c r="X34" s="52">
        <v>150</v>
      </c>
      <c r="Y34" s="52">
        <v>50</v>
      </c>
      <c r="Z34" s="110">
        <f t="shared" si="8"/>
        <v>1</v>
      </c>
      <c r="AA34" s="70">
        <f t="shared" si="9"/>
        <v>2908500</v>
      </c>
      <c r="AB34" s="65">
        <f t="shared" si="10"/>
        <v>2077500</v>
      </c>
      <c r="AC34" s="65">
        <f t="shared" si="11"/>
        <v>1246500</v>
      </c>
      <c r="AD34" s="65">
        <f t="shared" si="12"/>
        <v>415500</v>
      </c>
      <c r="AE34" s="78">
        <f t="shared" si="13"/>
        <v>6648000</v>
      </c>
      <c r="AF34" s="110">
        <f t="shared" si="14"/>
        <v>1</v>
      </c>
      <c r="AH34" s="49" t="str">
        <f t="shared" si="15"/>
        <v xml:space="preserve"> </v>
      </c>
    </row>
    <row r="35" spans="2:34" x14ac:dyDescent="0.25">
      <c r="B35" s="63">
        <v>21</v>
      </c>
      <c r="C35" s="30">
        <f t="shared" si="16"/>
        <v>2020</v>
      </c>
      <c r="D35" s="114">
        <v>0.04</v>
      </c>
      <c r="E35" s="35">
        <v>1000</v>
      </c>
      <c r="F35" s="35">
        <v>800</v>
      </c>
      <c r="G35" s="15">
        <f t="shared" si="17"/>
        <v>110000000</v>
      </c>
      <c r="H35" s="17">
        <f t="shared" si="18"/>
        <v>29000000</v>
      </c>
      <c r="I35" s="25">
        <f t="shared" si="19"/>
        <v>4400000</v>
      </c>
      <c r="J35" s="16">
        <f t="shared" si="0"/>
        <v>24600000</v>
      </c>
      <c r="K35" s="25">
        <f t="shared" si="4"/>
        <v>1072000</v>
      </c>
      <c r="L35" s="17">
        <f t="shared" si="2"/>
        <v>5472000</v>
      </c>
      <c r="M35" s="107">
        <f t="shared" si="5"/>
        <v>6840</v>
      </c>
      <c r="N35" s="52">
        <v>1000000</v>
      </c>
      <c r="O35" s="26">
        <f t="shared" si="6"/>
        <v>1250</v>
      </c>
      <c r="P35" s="107">
        <f t="shared" si="7"/>
        <v>6472000</v>
      </c>
      <c r="Q35" s="60">
        <f t="shared" si="3"/>
        <v>8090</v>
      </c>
      <c r="R35" s="37">
        <v>0</v>
      </c>
      <c r="S35" s="37">
        <v>0</v>
      </c>
      <c r="T35" s="27"/>
      <c r="V35" s="71">
        <v>350</v>
      </c>
      <c r="W35" s="52">
        <v>250</v>
      </c>
      <c r="X35" s="52">
        <v>150</v>
      </c>
      <c r="Y35" s="52">
        <v>50</v>
      </c>
      <c r="Z35" s="110">
        <f t="shared" si="8"/>
        <v>1</v>
      </c>
      <c r="AA35" s="70">
        <f t="shared" si="9"/>
        <v>2831500</v>
      </c>
      <c r="AB35" s="65">
        <f t="shared" si="10"/>
        <v>2022500</v>
      </c>
      <c r="AC35" s="65">
        <f t="shared" si="11"/>
        <v>1213500</v>
      </c>
      <c r="AD35" s="65">
        <f t="shared" si="12"/>
        <v>404500</v>
      </c>
      <c r="AE35" s="78">
        <f t="shared" si="13"/>
        <v>6472000</v>
      </c>
      <c r="AF35" s="110">
        <f t="shared" si="14"/>
        <v>1</v>
      </c>
      <c r="AH35" s="49" t="str">
        <f t="shared" si="15"/>
        <v xml:space="preserve"> </v>
      </c>
    </row>
    <row r="36" spans="2:34" x14ac:dyDescent="0.25">
      <c r="B36" s="63">
        <v>22</v>
      </c>
      <c r="C36" s="30">
        <f t="shared" si="16"/>
        <v>2021</v>
      </c>
      <c r="D36" s="114">
        <v>0.04</v>
      </c>
      <c r="E36" s="35">
        <v>1000</v>
      </c>
      <c r="F36" s="35">
        <v>800</v>
      </c>
      <c r="G36" s="15">
        <f t="shared" si="17"/>
        <v>110000000</v>
      </c>
      <c r="H36" s="17">
        <f t="shared" si="18"/>
        <v>24600000</v>
      </c>
      <c r="I36" s="25">
        <f t="shared" si="19"/>
        <v>4400000</v>
      </c>
      <c r="J36" s="16">
        <f t="shared" si="0"/>
        <v>20200000</v>
      </c>
      <c r="K36" s="25">
        <f t="shared" si="4"/>
        <v>896000</v>
      </c>
      <c r="L36" s="17">
        <f t="shared" si="2"/>
        <v>5296000</v>
      </c>
      <c r="M36" s="107">
        <f t="shared" si="5"/>
        <v>6620</v>
      </c>
      <c r="N36" s="52">
        <v>1000000</v>
      </c>
      <c r="O36" s="26">
        <f t="shared" si="6"/>
        <v>1250</v>
      </c>
      <c r="P36" s="107">
        <f t="shared" si="7"/>
        <v>6296000</v>
      </c>
      <c r="Q36" s="60">
        <f t="shared" si="3"/>
        <v>7870</v>
      </c>
      <c r="R36" s="37">
        <v>0</v>
      </c>
      <c r="S36" s="37">
        <v>0</v>
      </c>
      <c r="T36" s="27"/>
      <c r="U36" s="7"/>
      <c r="V36" s="71">
        <v>350</v>
      </c>
      <c r="W36" s="52">
        <v>250</v>
      </c>
      <c r="X36" s="52">
        <v>150</v>
      </c>
      <c r="Y36" s="52">
        <v>50</v>
      </c>
      <c r="Z36" s="110">
        <f t="shared" si="8"/>
        <v>1</v>
      </c>
      <c r="AA36" s="70">
        <f t="shared" si="9"/>
        <v>2754500</v>
      </c>
      <c r="AB36" s="65">
        <f t="shared" si="10"/>
        <v>1967500</v>
      </c>
      <c r="AC36" s="65">
        <f t="shared" si="11"/>
        <v>1180500</v>
      </c>
      <c r="AD36" s="65">
        <f t="shared" si="12"/>
        <v>393500</v>
      </c>
      <c r="AE36" s="78">
        <f t="shared" si="13"/>
        <v>6296000</v>
      </c>
      <c r="AF36" s="110">
        <f t="shared" si="14"/>
        <v>1</v>
      </c>
      <c r="AH36" s="49" t="str">
        <f t="shared" si="15"/>
        <v xml:space="preserve"> </v>
      </c>
    </row>
    <row r="37" spans="2:34" x14ac:dyDescent="0.25">
      <c r="B37" s="63">
        <v>23</v>
      </c>
      <c r="C37" s="30">
        <f t="shared" si="16"/>
        <v>2022</v>
      </c>
      <c r="D37" s="114">
        <v>0.04</v>
      </c>
      <c r="E37" s="35">
        <v>1000</v>
      </c>
      <c r="F37" s="35">
        <v>800</v>
      </c>
      <c r="G37" s="15">
        <f t="shared" si="17"/>
        <v>110000000</v>
      </c>
      <c r="H37" s="17">
        <f t="shared" si="18"/>
        <v>20200000</v>
      </c>
      <c r="I37" s="25">
        <f t="shared" si="19"/>
        <v>4400000</v>
      </c>
      <c r="J37" s="16">
        <f t="shared" si="0"/>
        <v>15800000</v>
      </c>
      <c r="K37" s="25">
        <f t="shared" si="4"/>
        <v>720000</v>
      </c>
      <c r="L37" s="17">
        <f t="shared" si="2"/>
        <v>5120000</v>
      </c>
      <c r="M37" s="107">
        <f t="shared" si="5"/>
        <v>6400</v>
      </c>
      <c r="N37" s="52">
        <v>1000000</v>
      </c>
      <c r="O37" s="26">
        <f t="shared" si="6"/>
        <v>1250</v>
      </c>
      <c r="P37" s="107">
        <f t="shared" si="7"/>
        <v>6120000</v>
      </c>
      <c r="Q37" s="60">
        <f t="shared" si="3"/>
        <v>7650</v>
      </c>
      <c r="R37" s="37">
        <v>0</v>
      </c>
      <c r="S37" s="37">
        <v>0</v>
      </c>
      <c r="T37" s="27"/>
      <c r="V37" s="71">
        <v>350</v>
      </c>
      <c r="W37" s="52">
        <v>250</v>
      </c>
      <c r="X37" s="52">
        <v>150</v>
      </c>
      <c r="Y37" s="52">
        <v>50</v>
      </c>
      <c r="Z37" s="110">
        <f t="shared" si="8"/>
        <v>1</v>
      </c>
      <c r="AA37" s="70">
        <f t="shared" si="9"/>
        <v>2677500</v>
      </c>
      <c r="AB37" s="65">
        <f t="shared" si="10"/>
        <v>1912500</v>
      </c>
      <c r="AC37" s="65">
        <f t="shared" si="11"/>
        <v>1147500</v>
      </c>
      <c r="AD37" s="65">
        <f t="shared" si="12"/>
        <v>382500</v>
      </c>
      <c r="AE37" s="78">
        <f t="shared" si="13"/>
        <v>6120000</v>
      </c>
      <c r="AF37" s="110">
        <f t="shared" si="14"/>
        <v>1</v>
      </c>
      <c r="AH37" s="49" t="str">
        <f t="shared" si="15"/>
        <v xml:space="preserve"> </v>
      </c>
    </row>
    <row r="38" spans="2:34" x14ac:dyDescent="0.25">
      <c r="B38" s="63">
        <v>24</v>
      </c>
      <c r="C38" s="30">
        <f t="shared" si="16"/>
        <v>2023</v>
      </c>
      <c r="D38" s="114">
        <v>0.04</v>
      </c>
      <c r="E38" s="35">
        <v>1000</v>
      </c>
      <c r="F38" s="35">
        <v>800</v>
      </c>
      <c r="G38" s="15">
        <f t="shared" si="17"/>
        <v>110000000</v>
      </c>
      <c r="H38" s="17">
        <f t="shared" si="18"/>
        <v>15800000</v>
      </c>
      <c r="I38" s="25">
        <f t="shared" si="19"/>
        <v>4400000</v>
      </c>
      <c r="J38" s="16">
        <f t="shared" si="0"/>
        <v>11400000</v>
      </c>
      <c r="K38" s="25">
        <f t="shared" si="4"/>
        <v>544000</v>
      </c>
      <c r="L38" s="17">
        <f t="shared" si="2"/>
        <v>4944000</v>
      </c>
      <c r="M38" s="107">
        <f t="shared" si="5"/>
        <v>6180</v>
      </c>
      <c r="N38" s="52">
        <v>1000000</v>
      </c>
      <c r="O38" s="26">
        <f t="shared" si="6"/>
        <v>1250</v>
      </c>
      <c r="P38" s="107">
        <f t="shared" si="7"/>
        <v>5944000</v>
      </c>
      <c r="Q38" s="60">
        <f t="shared" si="3"/>
        <v>7430</v>
      </c>
      <c r="R38" s="37">
        <v>0</v>
      </c>
      <c r="S38" s="37">
        <v>0</v>
      </c>
      <c r="T38" s="27"/>
      <c r="V38" s="71">
        <v>350</v>
      </c>
      <c r="W38" s="52">
        <v>250</v>
      </c>
      <c r="X38" s="52">
        <v>150</v>
      </c>
      <c r="Y38" s="52">
        <v>50</v>
      </c>
      <c r="Z38" s="110">
        <f t="shared" si="8"/>
        <v>1</v>
      </c>
      <c r="AA38" s="70">
        <f t="shared" si="9"/>
        <v>2600500</v>
      </c>
      <c r="AB38" s="65">
        <f t="shared" si="10"/>
        <v>1857500</v>
      </c>
      <c r="AC38" s="65">
        <f t="shared" si="11"/>
        <v>1114500</v>
      </c>
      <c r="AD38" s="65">
        <f t="shared" si="12"/>
        <v>371500</v>
      </c>
      <c r="AE38" s="78">
        <f t="shared" si="13"/>
        <v>5944000</v>
      </c>
      <c r="AF38" s="110">
        <f t="shared" si="14"/>
        <v>1</v>
      </c>
      <c r="AH38" s="49" t="str">
        <f t="shared" si="15"/>
        <v xml:space="preserve"> </v>
      </c>
    </row>
    <row r="39" spans="2:34" x14ac:dyDescent="0.25">
      <c r="B39" s="63">
        <v>25</v>
      </c>
      <c r="C39" s="30">
        <f t="shared" si="16"/>
        <v>2024</v>
      </c>
      <c r="D39" s="114">
        <v>0.04</v>
      </c>
      <c r="E39" s="35">
        <v>1000</v>
      </c>
      <c r="F39" s="35">
        <v>800</v>
      </c>
      <c r="G39" s="15">
        <f t="shared" si="17"/>
        <v>110000000</v>
      </c>
      <c r="H39" s="17">
        <f t="shared" si="18"/>
        <v>11400000</v>
      </c>
      <c r="I39" s="25">
        <f t="shared" si="19"/>
        <v>4400000</v>
      </c>
      <c r="J39" s="16">
        <f t="shared" si="0"/>
        <v>7000000</v>
      </c>
      <c r="K39" s="25">
        <f t="shared" si="4"/>
        <v>368000</v>
      </c>
      <c r="L39" s="17">
        <f t="shared" si="2"/>
        <v>4768000</v>
      </c>
      <c r="M39" s="107">
        <f t="shared" si="5"/>
        <v>5960</v>
      </c>
      <c r="N39" s="52">
        <v>1000000</v>
      </c>
      <c r="O39" s="26">
        <f t="shared" si="6"/>
        <v>1250</v>
      </c>
      <c r="P39" s="107">
        <f t="shared" si="7"/>
        <v>5768000</v>
      </c>
      <c r="Q39" s="60">
        <f t="shared" si="3"/>
        <v>7210</v>
      </c>
      <c r="R39" s="37">
        <v>0</v>
      </c>
      <c r="S39" s="37">
        <v>0</v>
      </c>
      <c r="T39" s="27"/>
      <c r="V39" s="71">
        <v>350</v>
      </c>
      <c r="W39" s="52">
        <v>250</v>
      </c>
      <c r="X39" s="52">
        <v>150</v>
      </c>
      <c r="Y39" s="52">
        <v>50</v>
      </c>
      <c r="Z39" s="110">
        <f t="shared" si="8"/>
        <v>1</v>
      </c>
      <c r="AA39" s="70">
        <f t="shared" si="9"/>
        <v>2523500</v>
      </c>
      <c r="AB39" s="65">
        <f t="shared" si="10"/>
        <v>1802500</v>
      </c>
      <c r="AC39" s="65">
        <f t="shared" si="11"/>
        <v>1081500</v>
      </c>
      <c r="AD39" s="65">
        <f t="shared" si="12"/>
        <v>360500</v>
      </c>
      <c r="AE39" s="78">
        <f t="shared" si="13"/>
        <v>5768000</v>
      </c>
      <c r="AF39" s="110">
        <f t="shared" si="14"/>
        <v>1</v>
      </c>
      <c r="AH39" s="49" t="str">
        <f t="shared" si="15"/>
        <v xml:space="preserve"> </v>
      </c>
    </row>
    <row r="40" spans="2:34" x14ac:dyDescent="0.25">
      <c r="B40" s="63">
        <v>26</v>
      </c>
      <c r="C40" s="30">
        <f t="shared" si="16"/>
        <v>2025</v>
      </c>
      <c r="D40" s="114">
        <v>0.04</v>
      </c>
      <c r="E40" s="35">
        <v>1000</v>
      </c>
      <c r="F40" s="35">
        <v>800</v>
      </c>
      <c r="G40" s="15">
        <f t="shared" si="17"/>
        <v>110000000</v>
      </c>
      <c r="H40" s="17">
        <f t="shared" si="18"/>
        <v>7000000</v>
      </c>
      <c r="I40" s="25">
        <f t="shared" si="19"/>
        <v>4400000</v>
      </c>
      <c r="J40" s="16">
        <f t="shared" si="0"/>
        <v>2600000</v>
      </c>
      <c r="K40" s="25">
        <f t="shared" si="4"/>
        <v>192000</v>
      </c>
      <c r="L40" s="17">
        <f t="shared" si="2"/>
        <v>4592000</v>
      </c>
      <c r="M40" s="107">
        <f t="shared" si="5"/>
        <v>5740</v>
      </c>
      <c r="N40" s="52">
        <v>1000000</v>
      </c>
      <c r="O40" s="26">
        <f t="shared" si="6"/>
        <v>1250</v>
      </c>
      <c r="P40" s="107">
        <f t="shared" si="7"/>
        <v>5592000</v>
      </c>
      <c r="Q40" s="60">
        <f t="shared" si="3"/>
        <v>6990</v>
      </c>
      <c r="R40" s="37">
        <v>0</v>
      </c>
      <c r="S40" s="37">
        <v>0</v>
      </c>
      <c r="T40" s="27"/>
      <c r="V40" s="71">
        <v>350</v>
      </c>
      <c r="W40" s="52">
        <v>250</v>
      </c>
      <c r="X40" s="52">
        <v>150</v>
      </c>
      <c r="Y40" s="52">
        <v>50</v>
      </c>
      <c r="Z40" s="110">
        <f t="shared" si="8"/>
        <v>1</v>
      </c>
      <c r="AA40" s="70">
        <f t="shared" si="9"/>
        <v>2446500</v>
      </c>
      <c r="AB40" s="65">
        <f t="shared" si="10"/>
        <v>1747500</v>
      </c>
      <c r="AC40" s="65">
        <f t="shared" si="11"/>
        <v>1048500</v>
      </c>
      <c r="AD40" s="65">
        <f t="shared" si="12"/>
        <v>349500</v>
      </c>
      <c r="AE40" s="78">
        <f t="shared" si="13"/>
        <v>5592000</v>
      </c>
      <c r="AF40" s="110">
        <f t="shared" si="14"/>
        <v>1</v>
      </c>
      <c r="AH40" s="49" t="str">
        <f t="shared" si="15"/>
        <v xml:space="preserve"> </v>
      </c>
    </row>
    <row r="41" spans="2:34" x14ac:dyDescent="0.25">
      <c r="B41" s="63">
        <v>27</v>
      </c>
      <c r="C41" s="30">
        <f t="shared" si="16"/>
        <v>2026</v>
      </c>
      <c r="D41" s="114">
        <v>0.04</v>
      </c>
      <c r="E41" s="35">
        <v>1000</v>
      </c>
      <c r="F41" s="35">
        <v>800</v>
      </c>
      <c r="G41" s="15">
        <f t="shared" si="17"/>
        <v>110000000</v>
      </c>
      <c r="H41" s="17">
        <f t="shared" si="18"/>
        <v>2600000</v>
      </c>
      <c r="I41" s="25">
        <f t="shared" si="19"/>
        <v>2600000</v>
      </c>
      <c r="J41" s="16">
        <f t="shared" si="0"/>
        <v>0</v>
      </c>
      <c r="K41" s="25">
        <f t="shared" si="4"/>
        <v>52000</v>
      </c>
      <c r="L41" s="17">
        <f t="shared" si="2"/>
        <v>2652000</v>
      </c>
      <c r="M41" s="107">
        <f t="shared" si="5"/>
        <v>3315</v>
      </c>
      <c r="N41" s="52">
        <v>1000000</v>
      </c>
      <c r="O41" s="26">
        <f t="shared" si="6"/>
        <v>1250</v>
      </c>
      <c r="P41" s="107">
        <f t="shared" si="7"/>
        <v>3652000</v>
      </c>
      <c r="Q41" s="60">
        <f t="shared" si="3"/>
        <v>4565</v>
      </c>
      <c r="R41" s="37">
        <v>0</v>
      </c>
      <c r="S41" s="37">
        <v>0</v>
      </c>
      <c r="T41" s="27"/>
      <c r="V41" s="71">
        <v>350</v>
      </c>
      <c r="W41" s="52">
        <v>250</v>
      </c>
      <c r="X41" s="52">
        <v>150</v>
      </c>
      <c r="Y41" s="52">
        <v>50</v>
      </c>
      <c r="Z41" s="110">
        <f t="shared" si="8"/>
        <v>1</v>
      </c>
      <c r="AA41" s="70">
        <f t="shared" si="9"/>
        <v>1597750</v>
      </c>
      <c r="AB41" s="65">
        <f t="shared" si="10"/>
        <v>1141250</v>
      </c>
      <c r="AC41" s="65">
        <f t="shared" si="11"/>
        <v>684750</v>
      </c>
      <c r="AD41" s="65">
        <f t="shared" si="12"/>
        <v>228250</v>
      </c>
      <c r="AE41" s="78">
        <f t="shared" si="13"/>
        <v>3652000</v>
      </c>
      <c r="AF41" s="110">
        <f t="shared" si="14"/>
        <v>1</v>
      </c>
      <c r="AH41" s="49" t="str">
        <f t="shared" si="15"/>
        <v xml:space="preserve"> </v>
      </c>
    </row>
    <row r="42" spans="2:34" ht="13.8" thickBot="1" x14ac:dyDescent="0.3">
      <c r="F42" s="9"/>
      <c r="G42" s="10"/>
      <c r="H42" s="11"/>
      <c r="I42" s="12"/>
      <c r="J42" s="12"/>
      <c r="K42" s="13"/>
      <c r="L42" s="13"/>
      <c r="M42" s="13"/>
      <c r="N42" s="13"/>
      <c r="O42" s="13"/>
      <c r="P42" s="13"/>
      <c r="Q42" s="13"/>
      <c r="R42" s="31"/>
      <c r="S42" s="31"/>
      <c r="T42" s="31"/>
      <c r="V42" s="69"/>
      <c r="W42" s="31"/>
      <c r="X42" s="31"/>
      <c r="Y42" s="31"/>
      <c r="Z42" s="111"/>
      <c r="AA42" s="69"/>
      <c r="AB42" s="31"/>
      <c r="AC42" s="31"/>
      <c r="AD42" s="31"/>
      <c r="AE42" s="79"/>
      <c r="AF42" s="111"/>
    </row>
    <row r="43" spans="2:34" x14ac:dyDescent="0.25">
      <c r="G43" s="14"/>
      <c r="H43" s="5"/>
      <c r="S43" s="19"/>
      <c r="T43" s="19"/>
    </row>
    <row r="44" spans="2:34" x14ac:dyDescent="0.25">
      <c r="H44" s="119" t="s">
        <v>62</v>
      </c>
      <c r="I44" s="49">
        <f>SUM(I15:I43)</f>
        <v>119000000</v>
      </c>
      <c r="S44" s="19"/>
      <c r="T44" s="19"/>
    </row>
    <row r="45" spans="2:34" x14ac:dyDescent="0.25">
      <c r="B45" s="113"/>
    </row>
    <row r="46" spans="2:34" x14ac:dyDescent="0.25">
      <c r="M46" s="106" t="s">
        <v>48</v>
      </c>
      <c r="N46" s="89"/>
      <c r="O46" s="89"/>
      <c r="P46" s="89"/>
      <c r="Q46" s="89"/>
      <c r="R46" s="90"/>
      <c r="S46" s="91"/>
      <c r="T46" s="92"/>
    </row>
    <row r="47" spans="2:34" x14ac:dyDescent="0.25">
      <c r="M47" s="93"/>
      <c r="N47" s="8"/>
      <c r="O47" s="8"/>
      <c r="P47" s="8"/>
      <c r="Q47" s="8"/>
      <c r="R47" s="94" t="s">
        <v>41</v>
      </c>
      <c r="S47" s="8"/>
      <c r="T47" s="95">
        <f>-S29</f>
        <v>15000000</v>
      </c>
    </row>
    <row r="48" spans="2:34" x14ac:dyDescent="0.25">
      <c r="M48" s="93"/>
      <c r="N48" s="8"/>
      <c r="O48" s="8"/>
      <c r="P48" s="8"/>
      <c r="Q48" s="8"/>
      <c r="R48" s="94" t="s">
        <v>45</v>
      </c>
      <c r="S48" s="8"/>
      <c r="T48" s="95"/>
    </row>
    <row r="49" spans="13:22" x14ac:dyDescent="0.25">
      <c r="M49" s="80"/>
      <c r="N49" s="81" t="s">
        <v>42</v>
      </c>
      <c r="O49" s="85"/>
      <c r="P49" s="82" t="s">
        <v>43</v>
      </c>
      <c r="Q49" s="83"/>
      <c r="R49" s="96" t="s">
        <v>44</v>
      </c>
      <c r="S49" s="97">
        <f>T47*O49*Q49</f>
        <v>0</v>
      </c>
      <c r="T49" s="98"/>
    </row>
    <row r="50" spans="13:22" x14ac:dyDescent="0.25">
      <c r="M50" s="80"/>
      <c r="N50" s="81" t="s">
        <v>42</v>
      </c>
      <c r="O50" s="85">
        <v>15</v>
      </c>
      <c r="P50" s="82" t="s">
        <v>43</v>
      </c>
      <c r="Q50" s="84">
        <v>0.04</v>
      </c>
      <c r="R50" s="87" t="s">
        <v>44</v>
      </c>
      <c r="S50" s="86">
        <f>T47*O50*Q50</f>
        <v>9000000</v>
      </c>
      <c r="T50" s="99">
        <f>-SUM(S49:S50)</f>
        <v>-9000000</v>
      </c>
    </row>
    <row r="51" spans="13:22" x14ac:dyDescent="0.25">
      <c r="M51" s="93"/>
      <c r="N51" s="8"/>
      <c r="O51" s="8"/>
      <c r="P51" s="8"/>
      <c r="Q51" s="8"/>
      <c r="R51" s="94"/>
      <c r="S51" s="100"/>
      <c r="T51" s="98"/>
    </row>
    <row r="52" spans="13:22" x14ac:dyDescent="0.25">
      <c r="M52" s="93"/>
      <c r="N52" s="8"/>
      <c r="O52" s="8"/>
      <c r="P52" s="8"/>
      <c r="Q52" s="8"/>
      <c r="R52" s="94" t="s">
        <v>46</v>
      </c>
      <c r="S52" s="100"/>
      <c r="T52" s="101">
        <f>T47+T50</f>
        <v>6000000</v>
      </c>
      <c r="V52" s="51" t="s">
        <v>47</v>
      </c>
    </row>
    <row r="53" spans="13:22" x14ac:dyDescent="0.25">
      <c r="M53" s="102"/>
      <c r="N53" s="103"/>
      <c r="O53" s="103"/>
      <c r="P53" s="103"/>
      <c r="Q53" s="103"/>
      <c r="R53" s="104"/>
      <c r="S53" s="86"/>
      <c r="T53" s="105"/>
    </row>
    <row r="55" spans="13:22" x14ac:dyDescent="0.25">
      <c r="M55" s="112" t="s">
        <v>53</v>
      </c>
    </row>
  </sheetData>
  <mergeCells count="8">
    <mergeCell ref="V12:Z12"/>
    <mergeCell ref="AA12:AF12"/>
    <mergeCell ref="L6:V6"/>
    <mergeCell ref="F9:H9"/>
    <mergeCell ref="L9:L10"/>
    <mergeCell ref="M9:M10"/>
    <mergeCell ref="F10:H10"/>
    <mergeCell ref="F11:H11"/>
  </mergeCells>
  <conditionalFormatting sqref="D15:D40">
    <cfRule type="cellIs" dxfId="5" priority="2" operator="equal">
      <formula>0</formula>
    </cfRule>
  </conditionalFormatting>
  <conditionalFormatting sqref="D41">
    <cfRule type="cellIs" dxfId="4" priority="1" operator="equal">
      <formula>0</formula>
    </cfRule>
  </conditionalFormatting>
  <hyperlinks>
    <hyperlink ref="G2" r:id="rId1" display="https://www.alberta.ca/oil-sands-royalty-guidelines.aspx"/>
  </hyperlinks>
  <pageMargins left="0.7" right="0.7" top="0.75" bottom="0.75" header="0.3" footer="0.3"/>
  <pageSetup paperSize="5" scale="69" orientation="landscape" r:id="rId2"/>
  <headerFooter>
    <oddFooter>&amp;L&amp;1#&amp;"Calibri"&amp;11&amp;K000000Classification: Protected A</oddFooter>
  </headerFooter>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Z48"/>
  <sheetViews>
    <sheetView zoomScale="90" zoomScaleNormal="90" workbookViewId="0">
      <selection activeCell="H7" sqref="H7:I7"/>
    </sheetView>
  </sheetViews>
  <sheetFormatPr defaultRowHeight="13.2" x14ac:dyDescent="0.25"/>
  <cols>
    <col min="1" max="1" width="5.6640625" customWidth="1"/>
    <col min="3" max="3" width="26.6640625" customWidth="1"/>
    <col min="4" max="4" width="32.5546875" customWidth="1"/>
    <col min="6" max="6" width="14.6640625" customWidth="1"/>
    <col min="7" max="7" width="15.33203125" customWidth="1"/>
    <col min="8" max="8" width="21" customWidth="1"/>
    <col min="9" max="9" width="32.88671875" customWidth="1"/>
    <col min="10" max="10" width="7.5546875" customWidth="1"/>
    <col min="11" max="11" width="6.6640625" customWidth="1"/>
  </cols>
  <sheetData>
    <row r="2" spans="2:26" x14ac:dyDescent="0.25">
      <c r="D2" s="72" t="s">
        <v>38</v>
      </c>
    </row>
    <row r="3" spans="2:26" x14ac:dyDescent="0.25">
      <c r="D3" s="72" t="s">
        <v>100</v>
      </c>
    </row>
    <row r="4" spans="2:26" s="248" customFormat="1" x14ac:dyDescent="0.25">
      <c r="F4" s="72"/>
    </row>
    <row r="5" spans="2:26" ht="30" x14ac:dyDescent="0.25">
      <c r="B5" s="433" t="s">
        <v>6</v>
      </c>
      <c r="C5" s="434" t="s">
        <v>104</v>
      </c>
      <c r="D5" s="434" t="s">
        <v>103</v>
      </c>
    </row>
    <row r="6" spans="2:26" ht="18" customHeight="1" x14ac:dyDescent="0.25">
      <c r="B6" s="18">
        <v>2000</v>
      </c>
      <c r="C6" s="56">
        <v>5.7099999999999998E-2</v>
      </c>
      <c r="D6" s="56">
        <v>0.12920000000000001</v>
      </c>
      <c r="E6" s="20"/>
      <c r="L6" s="56"/>
      <c r="M6" s="56"/>
      <c r="N6" s="56"/>
      <c r="O6" s="56"/>
      <c r="P6" s="56"/>
      <c r="Q6" s="56"/>
      <c r="R6" s="56"/>
      <c r="S6" s="56"/>
      <c r="T6" s="56"/>
      <c r="U6" s="56"/>
      <c r="V6" s="56"/>
      <c r="W6" s="56"/>
      <c r="X6" s="56"/>
      <c r="Y6" s="56"/>
      <c r="Z6" s="56"/>
    </row>
    <row r="7" spans="2:26" ht="18" customHeight="1" x14ac:dyDescent="0.25">
      <c r="B7" s="18">
        <v>2001</v>
      </c>
      <c r="C7" s="56">
        <v>5.7599999999999998E-2</v>
      </c>
      <c r="D7" s="56">
        <v>0.1265</v>
      </c>
      <c r="E7" s="20"/>
      <c r="F7" s="459"/>
      <c r="H7" s="459"/>
      <c r="I7" s="459"/>
    </row>
    <row r="8" spans="2:26" ht="18" customHeight="1" x14ac:dyDescent="0.25">
      <c r="B8" s="18">
        <v>2002</v>
      </c>
      <c r="C8" s="56">
        <v>5.6799999999999996E-2</v>
      </c>
      <c r="D8" s="56">
        <v>0.12540000000000001</v>
      </c>
      <c r="E8" s="20"/>
      <c r="F8" s="459"/>
      <c r="L8" s="56"/>
    </row>
    <row r="9" spans="2:26" ht="18" customHeight="1" x14ac:dyDescent="0.25">
      <c r="B9" s="18">
        <v>2003</v>
      </c>
      <c r="C9" s="56">
        <v>5.3399999999999996E-2</v>
      </c>
      <c r="D9" s="56">
        <v>0.12640000000000001</v>
      </c>
      <c r="E9" s="20"/>
      <c r="F9" s="248"/>
      <c r="G9" s="20"/>
      <c r="H9" s="20"/>
      <c r="I9" s="429"/>
      <c r="L9" s="56"/>
    </row>
    <row r="10" spans="2:26" ht="18" customHeight="1" x14ac:dyDescent="0.25">
      <c r="B10" s="18">
        <v>2004</v>
      </c>
      <c r="C10" s="56">
        <v>5.1399999999999994E-2</v>
      </c>
      <c r="D10" s="56">
        <v>0.11360000000000001</v>
      </c>
      <c r="E10" s="20"/>
      <c r="F10" s="248"/>
      <c r="G10" s="20"/>
      <c r="H10" s="20"/>
      <c r="I10" s="429"/>
      <c r="J10" s="248"/>
      <c r="L10" s="56"/>
      <c r="O10" s="20"/>
    </row>
    <row r="11" spans="2:26" ht="18" customHeight="1" x14ac:dyDescent="0.25">
      <c r="B11" s="18">
        <v>2005</v>
      </c>
      <c r="C11" s="56">
        <v>4.4000000000000004E-2</v>
      </c>
      <c r="D11" s="56">
        <v>0.1077</v>
      </c>
      <c r="E11" s="20"/>
      <c r="F11" s="248"/>
      <c r="G11" s="20"/>
      <c r="H11" s="20"/>
      <c r="I11" s="429"/>
      <c r="J11" s="248"/>
      <c r="L11" s="56"/>
      <c r="O11" s="20"/>
    </row>
    <row r="12" spans="2:26" ht="18" customHeight="1" x14ac:dyDescent="0.25">
      <c r="B12" s="18">
        <v>2006</v>
      </c>
      <c r="C12" s="56">
        <v>4.2800000000000005E-2</v>
      </c>
      <c r="D12" s="56">
        <v>9.8299999999999998E-2</v>
      </c>
      <c r="E12" s="20"/>
      <c r="F12" s="248"/>
      <c r="G12" s="20"/>
      <c r="H12" s="20"/>
      <c r="I12" s="429"/>
      <c r="J12" s="248"/>
      <c r="L12" s="56"/>
      <c r="O12" s="20"/>
    </row>
    <row r="13" spans="2:26" ht="18" customHeight="1" x14ac:dyDescent="0.25">
      <c r="B13" s="18">
        <v>2007</v>
      </c>
      <c r="C13" s="56">
        <v>4.3200000000000002E-2</v>
      </c>
      <c r="D13" s="56">
        <v>9.2499999999999999E-2</v>
      </c>
      <c r="E13" s="20"/>
      <c r="F13" s="248"/>
      <c r="G13" s="20"/>
      <c r="H13" s="20"/>
      <c r="I13" s="429"/>
      <c r="J13" s="248"/>
      <c r="L13" s="56"/>
      <c r="O13" s="20"/>
    </row>
    <row r="14" spans="2:26" ht="18" customHeight="1" x14ac:dyDescent="0.25">
      <c r="B14" s="18">
        <v>2008</v>
      </c>
      <c r="C14" s="56">
        <v>4.0500000000000001E-2</v>
      </c>
      <c r="D14" s="56">
        <v>9.0700000000000003E-2</v>
      </c>
      <c r="E14" s="20"/>
      <c r="F14" s="248"/>
      <c r="G14" s="20"/>
      <c r="H14" s="20"/>
      <c r="I14" s="429"/>
      <c r="L14" s="56"/>
      <c r="N14" s="20"/>
      <c r="Q14" s="18"/>
    </row>
    <row r="15" spans="2:26" ht="18" customHeight="1" x14ac:dyDescent="0.25">
      <c r="B15" s="18">
        <v>2009</v>
      </c>
      <c r="C15" s="56">
        <v>3.9E-2</v>
      </c>
      <c r="D15" s="56">
        <v>8.8400000000000006E-2</v>
      </c>
      <c r="E15" s="20"/>
      <c r="F15" s="248"/>
      <c r="G15" s="20"/>
      <c r="H15" s="20"/>
      <c r="I15" s="429"/>
      <c r="J15" s="248"/>
      <c r="L15" s="56"/>
      <c r="N15" s="20"/>
      <c r="Q15" s="18"/>
    </row>
    <row r="16" spans="2:26" ht="18" customHeight="1" x14ac:dyDescent="0.25">
      <c r="B16" s="18">
        <v>2010</v>
      </c>
      <c r="C16" s="56">
        <v>3.73E-2</v>
      </c>
      <c r="D16" s="56">
        <v>8.6300000000000002E-2</v>
      </c>
      <c r="E16" s="20"/>
      <c r="F16" s="248"/>
      <c r="G16" s="20"/>
      <c r="H16" s="20"/>
      <c r="I16" s="429"/>
      <c r="J16" s="248"/>
      <c r="L16" s="56"/>
      <c r="N16" s="20"/>
      <c r="Q16" s="146"/>
    </row>
    <row r="17" spans="1:15" ht="18" customHeight="1" x14ac:dyDescent="0.25">
      <c r="B17" s="18">
        <v>2011</v>
      </c>
      <c r="C17" s="56">
        <v>3.2899999999999999E-2</v>
      </c>
      <c r="D17" s="56">
        <v>7.9799999999999996E-2</v>
      </c>
      <c r="E17" s="20"/>
      <c r="F17" s="248"/>
      <c r="G17" s="20"/>
      <c r="H17" s="20"/>
      <c r="I17" s="20"/>
      <c r="J17" s="248"/>
      <c r="L17" s="56"/>
      <c r="N17" s="20"/>
    </row>
    <row r="18" spans="1:15" ht="18" customHeight="1" x14ac:dyDescent="0.25">
      <c r="A18" s="18"/>
      <c r="B18" s="18">
        <v>2012</v>
      </c>
      <c r="C18" s="56">
        <v>2.4300000000000002E-2</v>
      </c>
      <c r="D18" s="56">
        <v>7.0999999999999994E-2</v>
      </c>
      <c r="E18" s="20"/>
      <c r="F18" s="248"/>
      <c r="G18" s="20"/>
      <c r="H18" s="20"/>
      <c r="I18" s="20"/>
      <c r="J18" s="428"/>
      <c r="L18" s="56"/>
      <c r="O18" s="20"/>
    </row>
    <row r="19" spans="1:15" ht="18" customHeight="1" x14ac:dyDescent="0.25">
      <c r="A19" s="18"/>
      <c r="B19" s="18">
        <v>2013</v>
      </c>
      <c r="C19" s="56">
        <v>2.8400000000000002E-2</v>
      </c>
      <c r="D19" s="56">
        <v>7.0300000000000001E-2</v>
      </c>
      <c r="E19" s="20"/>
      <c r="F19" s="248"/>
      <c r="G19" s="20"/>
      <c r="H19" s="20"/>
      <c r="I19" s="20"/>
      <c r="L19" s="56"/>
      <c r="O19" s="20"/>
    </row>
    <row r="20" spans="1:15" ht="18" customHeight="1" x14ac:dyDescent="0.25">
      <c r="A20" s="18"/>
      <c r="B20" s="18">
        <v>2014</v>
      </c>
      <c r="C20" s="56">
        <v>2.7300000000000001E-2</v>
      </c>
      <c r="D20" s="56">
        <v>7.4899999999999994E-2</v>
      </c>
      <c r="E20" s="20"/>
      <c r="F20" s="248"/>
      <c r="G20" s="20"/>
      <c r="H20" s="20"/>
      <c r="I20" s="20"/>
      <c r="L20" s="56"/>
      <c r="O20" s="20"/>
    </row>
    <row r="21" spans="1:15" ht="18" customHeight="1" x14ac:dyDescent="0.25">
      <c r="A21" s="18"/>
      <c r="B21" s="18">
        <v>2015</v>
      </c>
      <c r="C21" s="56">
        <v>2.1700000000000001E-2</v>
      </c>
      <c r="D21" s="56">
        <v>7.1800000000000003E-2</v>
      </c>
      <c r="E21" s="20"/>
      <c r="F21" s="248"/>
      <c r="G21" s="20"/>
      <c r="H21" s="20"/>
      <c r="I21" s="20"/>
      <c r="L21" s="56"/>
      <c r="O21" s="20"/>
    </row>
    <row r="22" spans="1:15" ht="18" customHeight="1" x14ac:dyDescent="0.25">
      <c r="A22" s="18"/>
      <c r="B22" s="18">
        <v>2016</v>
      </c>
      <c r="C22" s="56">
        <v>1.9199999999999998E-2</v>
      </c>
      <c r="D22" s="56">
        <v>6.88E-2</v>
      </c>
      <c r="E22" s="20"/>
      <c r="F22" s="248"/>
      <c r="G22" s="20"/>
      <c r="H22" s="20"/>
      <c r="I22" s="20"/>
      <c r="L22" s="56"/>
      <c r="O22" s="20"/>
    </row>
    <row r="23" spans="1:15" ht="18" customHeight="1" x14ac:dyDescent="0.25">
      <c r="A23" s="18"/>
      <c r="B23" s="18">
        <v>2017</v>
      </c>
      <c r="C23" s="56">
        <v>2.2800000000000001E-2</v>
      </c>
      <c r="D23" s="56">
        <v>6.6400000000000001E-2</v>
      </c>
      <c r="E23" s="20"/>
      <c r="F23" s="248"/>
      <c r="G23" s="20"/>
      <c r="H23" s="20"/>
      <c r="I23" s="20"/>
      <c r="N23" s="56"/>
    </row>
    <row r="24" spans="1:15" ht="18" customHeight="1" x14ac:dyDescent="0.25">
      <c r="A24" s="18"/>
      <c r="B24" s="18">
        <v>2018</v>
      </c>
      <c r="C24" s="56">
        <v>2.3300000000000001E-2</v>
      </c>
      <c r="D24" s="56">
        <v>7.0499999999999993E-2</v>
      </c>
      <c r="E24" s="20"/>
      <c r="F24" s="248"/>
      <c r="G24" s="20"/>
      <c r="H24" s="20"/>
      <c r="I24" s="20"/>
    </row>
    <row r="25" spans="1:15" ht="18" customHeight="1" x14ac:dyDescent="0.25">
      <c r="A25" s="18"/>
      <c r="B25" s="18">
        <v>2019</v>
      </c>
      <c r="C25" s="56">
        <v>1.77E-2</v>
      </c>
      <c r="D25" s="56">
        <v>6.8099999999999994E-2</v>
      </c>
      <c r="E25" s="20"/>
      <c r="F25" s="248"/>
      <c r="G25" s="20"/>
      <c r="H25" s="20"/>
      <c r="I25" s="20"/>
    </row>
    <row r="26" spans="1:15" ht="18" customHeight="1" x14ac:dyDescent="0.25">
      <c r="A26" s="18"/>
      <c r="B26" s="18">
        <v>2020</v>
      </c>
      <c r="C26" s="56">
        <v>1.1900000000000001E-2</v>
      </c>
      <c r="D26" s="56">
        <v>5.7799999999999997E-2</v>
      </c>
      <c r="E26" s="20"/>
      <c r="F26" s="248"/>
      <c r="G26" s="20"/>
      <c r="H26" s="20"/>
      <c r="I26" s="20"/>
    </row>
    <row r="27" spans="1:15" ht="18" customHeight="1" x14ac:dyDescent="0.25">
      <c r="A27" s="18"/>
      <c r="B27" s="18">
        <v>2021</v>
      </c>
      <c r="C27" s="56">
        <v>1.8800000000000001E-2</v>
      </c>
      <c r="D27" s="56">
        <v>5.8700000000000002E-2</v>
      </c>
      <c r="E27" s="20"/>
      <c r="F27" s="248"/>
      <c r="G27" s="20"/>
      <c r="H27" s="20"/>
      <c r="I27" s="20"/>
    </row>
    <row r="28" spans="1:15" ht="18" customHeight="1" x14ac:dyDescent="0.25">
      <c r="A28" s="18"/>
      <c r="B28" s="18">
        <v>2022</v>
      </c>
      <c r="C28" s="56">
        <v>0</v>
      </c>
      <c r="D28" s="56">
        <v>0</v>
      </c>
      <c r="F28" s="248"/>
      <c r="G28" s="20"/>
      <c r="H28" s="20"/>
      <c r="I28" s="20"/>
    </row>
    <row r="29" spans="1:15" ht="18" customHeight="1" x14ac:dyDescent="0.25">
      <c r="A29" s="18"/>
      <c r="B29" s="18">
        <v>2023</v>
      </c>
      <c r="C29" s="56">
        <v>0</v>
      </c>
      <c r="D29" s="56">
        <v>0</v>
      </c>
      <c r="F29" s="248"/>
      <c r="G29" s="20"/>
      <c r="H29" s="20"/>
      <c r="I29" s="20"/>
    </row>
    <row r="30" spans="1:15" ht="18" customHeight="1" x14ac:dyDescent="0.25">
      <c r="A30" s="18"/>
      <c r="B30" s="18">
        <v>2024</v>
      </c>
      <c r="C30" s="56">
        <v>0</v>
      </c>
      <c r="D30" s="56">
        <v>0</v>
      </c>
      <c r="F30" s="248"/>
      <c r="G30" s="20"/>
      <c r="H30" s="20"/>
      <c r="I30" s="20"/>
    </row>
    <row r="31" spans="1:15" ht="18" customHeight="1" x14ac:dyDescent="0.25">
      <c r="A31" s="18"/>
      <c r="B31" s="18">
        <v>2025</v>
      </c>
      <c r="C31" s="56">
        <v>0</v>
      </c>
      <c r="D31" s="56">
        <v>0</v>
      </c>
      <c r="F31" s="248"/>
      <c r="G31" s="20"/>
      <c r="H31" s="20"/>
      <c r="I31" s="20"/>
    </row>
    <row r="32" spans="1:15" ht="18" customHeight="1" x14ac:dyDescent="0.25">
      <c r="A32" s="18"/>
      <c r="B32" s="18">
        <v>2026</v>
      </c>
      <c r="C32" s="56">
        <v>0</v>
      </c>
      <c r="D32" s="56">
        <v>0</v>
      </c>
      <c r="F32" s="248"/>
      <c r="G32" s="20"/>
      <c r="H32" s="20"/>
      <c r="I32" s="20"/>
    </row>
    <row r="33" spans="1:9" ht="18" customHeight="1" x14ac:dyDescent="0.25">
      <c r="A33" s="18"/>
      <c r="B33" s="18">
        <v>2027</v>
      </c>
      <c r="C33" s="56">
        <v>0</v>
      </c>
      <c r="D33" s="56">
        <v>0</v>
      </c>
      <c r="F33" s="248"/>
      <c r="G33" s="20"/>
      <c r="H33" s="20"/>
      <c r="I33" s="20"/>
    </row>
    <row r="34" spans="1:9" ht="18" customHeight="1" x14ac:dyDescent="0.25">
      <c r="A34" s="18"/>
      <c r="B34" s="18">
        <v>2028</v>
      </c>
      <c r="C34" s="56">
        <v>0</v>
      </c>
      <c r="D34" s="56">
        <v>0</v>
      </c>
      <c r="F34" s="248"/>
      <c r="G34" s="20"/>
      <c r="H34" s="20"/>
      <c r="I34" s="20"/>
    </row>
    <row r="35" spans="1:9" ht="18" customHeight="1" x14ac:dyDescent="0.25">
      <c r="A35" s="18"/>
      <c r="B35" s="18">
        <v>2029</v>
      </c>
      <c r="C35" s="56">
        <v>0</v>
      </c>
      <c r="D35" s="56">
        <v>0</v>
      </c>
      <c r="F35" s="248"/>
      <c r="G35" s="20"/>
      <c r="H35" s="20"/>
      <c r="I35" s="20"/>
    </row>
    <row r="36" spans="1:9" ht="18" customHeight="1" x14ac:dyDescent="0.25">
      <c r="A36" s="18"/>
      <c r="B36" s="18">
        <v>2030</v>
      </c>
      <c r="C36" s="56">
        <v>0</v>
      </c>
      <c r="D36" s="56">
        <v>0</v>
      </c>
      <c r="F36" s="248"/>
    </row>
    <row r="37" spans="1:9" ht="18" customHeight="1" x14ac:dyDescent="0.25">
      <c r="A37" s="18"/>
      <c r="B37" s="18">
        <v>2031</v>
      </c>
      <c r="C37" s="56">
        <v>0</v>
      </c>
      <c r="D37" s="56">
        <v>0</v>
      </c>
      <c r="F37" s="248"/>
    </row>
    <row r="38" spans="1:9" ht="18" customHeight="1" x14ac:dyDescent="0.25">
      <c r="A38" s="18"/>
      <c r="B38" s="18">
        <v>2032</v>
      </c>
      <c r="C38" s="56">
        <v>0</v>
      </c>
      <c r="D38" s="56">
        <v>0</v>
      </c>
      <c r="F38" s="248"/>
    </row>
    <row r="39" spans="1:9" ht="18" customHeight="1" x14ac:dyDescent="0.25">
      <c r="A39" s="18"/>
      <c r="B39" s="18">
        <v>2033</v>
      </c>
      <c r="C39" s="56">
        <v>0</v>
      </c>
      <c r="D39" s="56">
        <v>0</v>
      </c>
      <c r="F39" s="248"/>
    </row>
    <row r="40" spans="1:9" ht="18" customHeight="1" x14ac:dyDescent="0.25">
      <c r="A40" s="18"/>
      <c r="B40" s="18">
        <v>2034</v>
      </c>
      <c r="C40" s="56">
        <v>0</v>
      </c>
      <c r="D40" s="56">
        <v>0</v>
      </c>
    </row>
    <row r="41" spans="1:9" ht="18" customHeight="1" x14ac:dyDescent="0.25">
      <c r="A41" s="18"/>
      <c r="B41" s="18">
        <v>2035</v>
      </c>
      <c r="C41" s="56">
        <v>0</v>
      </c>
      <c r="D41" s="56">
        <v>0</v>
      </c>
    </row>
    <row r="42" spans="1:9" ht="18" customHeight="1" x14ac:dyDescent="0.25">
      <c r="A42" s="18"/>
      <c r="B42" s="18">
        <v>2036</v>
      </c>
      <c r="C42" s="56">
        <v>0</v>
      </c>
      <c r="D42" s="56">
        <v>0</v>
      </c>
    </row>
    <row r="43" spans="1:9" ht="18" customHeight="1" x14ac:dyDescent="0.25">
      <c r="A43" s="18"/>
      <c r="B43" s="18">
        <v>2037</v>
      </c>
      <c r="C43" s="56">
        <v>0</v>
      </c>
      <c r="D43" s="56">
        <v>0</v>
      </c>
    </row>
    <row r="44" spans="1:9" ht="18" customHeight="1" x14ac:dyDescent="0.25">
      <c r="B44" s="18">
        <v>2038</v>
      </c>
      <c r="C44" s="56">
        <v>0</v>
      </c>
      <c r="D44" s="56">
        <v>0</v>
      </c>
    </row>
    <row r="45" spans="1:9" ht="18" customHeight="1" x14ac:dyDescent="0.25">
      <c r="B45" s="18">
        <v>2039</v>
      </c>
      <c r="C45" s="56">
        <v>0</v>
      </c>
      <c r="D45" s="56">
        <v>0</v>
      </c>
    </row>
    <row r="46" spans="1:9" ht="18" customHeight="1" x14ac:dyDescent="0.25">
      <c r="B46" s="18">
        <v>2040</v>
      </c>
      <c r="C46" s="56">
        <v>0</v>
      </c>
      <c r="D46" s="56">
        <v>0</v>
      </c>
    </row>
    <row r="47" spans="1:9" x14ac:dyDescent="0.25">
      <c r="B47" s="18"/>
      <c r="C47" s="56"/>
    </row>
    <row r="48" spans="1:9" x14ac:dyDescent="0.25">
      <c r="B48" s="18"/>
      <c r="C48" s="56"/>
    </row>
  </sheetData>
  <mergeCells count="2">
    <mergeCell ref="F7:F8"/>
    <mergeCell ref="H7:I7"/>
  </mergeCells>
  <hyperlinks>
    <hyperlink ref="D2" r:id="rId1"/>
    <hyperlink ref="D3" r:id="rId2"/>
  </hyperlinks>
  <pageMargins left="0.7" right="0.7" top="0.75" bottom="0.75" header="0.3" footer="0.3"/>
  <pageSetup orientation="portrait" r:id="rId3"/>
  <headerFooter>
    <oddFooter>&amp;L&amp;1#&amp;"Calibri"&amp;11&amp;K000000Classification: Protected A</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C4F99AF7032A46AC55A960A65F4D0C" ma:contentTypeVersion="14" ma:contentTypeDescription="Create a new document." ma:contentTypeScope="" ma:versionID="10c0192bad0827f6b4a7d7a980618745">
  <xsd:schema xmlns:xsd="http://www.w3.org/2001/XMLSchema" xmlns:xs="http://www.w3.org/2001/XMLSchema" xmlns:p="http://schemas.microsoft.com/office/2006/metadata/properties" xmlns:ns3="6ac4521d-e308-416c-8e23-f88e7a337a65" xmlns:ns4="2ce412ff-a754-44a2-8f0e-d7983e091ec3" targetNamespace="http://schemas.microsoft.com/office/2006/metadata/properties" ma:root="true" ma:fieldsID="c1b67b55f9544cfad9ca46cf178fb290" ns3:_="" ns4:_="">
    <xsd:import namespace="6ac4521d-e308-416c-8e23-f88e7a337a65"/>
    <xsd:import namespace="2ce412ff-a754-44a2-8f0e-d7983e091ec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4521d-e308-416c-8e23-f88e7a337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e412ff-a754-44a2-8f0e-d7983e091ec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7CA74-FA1A-4020-85AD-61AF71241967}">
  <ds:schemaRefs>
    <ds:schemaRef ds:uri="2ce412ff-a754-44a2-8f0e-d7983e091ec3"/>
    <ds:schemaRef ds:uri="6ac4521d-e308-416c-8e23-f88e7a337a6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2CC0495-7D5A-44E1-A5C1-9165FF425900}">
  <ds:schemaRefs>
    <ds:schemaRef ds:uri="http://schemas.microsoft.com/sharepoint/v3/contenttype/forms"/>
  </ds:schemaRefs>
</ds:datastoreItem>
</file>

<file path=customXml/itemProps3.xml><?xml version="1.0" encoding="utf-8"?>
<ds:datastoreItem xmlns:ds="http://schemas.openxmlformats.org/officeDocument/2006/customXml" ds:itemID="{400DBEA0-195D-4BC7-ACE5-2BFB0C293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4521d-e308-416c-8e23-f88e7a337a65"/>
    <ds:schemaRef ds:uri="2ce412ff-a754-44a2-8f0e-d7983e091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Standard - Fillable</vt:lpstr>
      <vt:lpstr>Standard-Example</vt:lpstr>
      <vt:lpstr>ONP - Fillable</vt:lpstr>
      <vt:lpstr>ONP-Example</vt:lpstr>
      <vt:lpstr>Partially Included - Fillable</vt:lpstr>
      <vt:lpstr>Partially included-Example</vt:lpstr>
      <vt:lpstr>G-Line App J Corr Notice exampl</vt:lpstr>
      <vt:lpstr>LTBR &amp; RORC</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of Service Template</dc:title>
  <dc:subject>Form Template</dc:subject>
  <dc:creator>Alberta Energy</dc:creator>
  <cp:keywords>Security Classfication: PUBLIC</cp:keywords>
  <cp:lastPrinted>2013-09-11T14:48:35Z</cp:lastPrinted>
  <dcterms:created xsi:type="dcterms:W3CDTF">2010-06-22T16:19:21Z</dcterms:created>
  <dcterms:modified xsi:type="dcterms:W3CDTF">2022-04-06T17:50:08Z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0x01010057C4F99AF7032A46AC55A960A65F4D0C</vt:lpwstr>
  </property>
  <property fmtid="{D5CDD505-2E9C-101B-9397-08002B2CF9AE}" pid="3" name="_dlc_DocIdItemGuid">
    <vt:lpwstr>72653318-8f8b-426f-8930-3bb9d5b89ee2</vt:lpwstr>
  </property>
  <property fmtid="{D5CDD505-2E9C-101B-9397-08002B2CF9AE}" pid="4" name="MSIP_Label_abf2ea38-542c-4b75-bd7d-582ec36a519f_Enabled">
    <vt:lpwstr>true</vt:lpwstr>
  </property>
  <property fmtid="{D5CDD505-2E9C-101B-9397-08002B2CF9AE}" pid="5" name="MSIP_Label_abf2ea38-542c-4b75-bd7d-582ec36a519f_SetDate">
    <vt:lpwstr>2022-04-06T17:50:07Z</vt:lpwstr>
  </property>
  <property fmtid="{D5CDD505-2E9C-101B-9397-08002B2CF9AE}" pid="6" name="MSIP_Label_abf2ea38-542c-4b75-bd7d-582ec36a519f_Method">
    <vt:lpwstr>Standard</vt:lpwstr>
  </property>
  <property fmtid="{D5CDD505-2E9C-101B-9397-08002B2CF9AE}" pid="7" name="MSIP_Label_abf2ea38-542c-4b75-bd7d-582ec36a519f_Name">
    <vt:lpwstr>Protected A</vt:lpwstr>
  </property>
  <property fmtid="{D5CDD505-2E9C-101B-9397-08002B2CF9AE}" pid="8" name="MSIP_Label_abf2ea38-542c-4b75-bd7d-582ec36a519f_SiteId">
    <vt:lpwstr>2bb51c06-af9b-42c5-8bf5-3c3b7b10850b</vt:lpwstr>
  </property>
  <property fmtid="{D5CDD505-2E9C-101B-9397-08002B2CF9AE}" pid="9" name="MSIP_Label_abf2ea38-542c-4b75-bd7d-582ec36a519f_ActionId">
    <vt:lpwstr>7e7d50ec-7e96-4d75-a1af-5d4073f648c2</vt:lpwstr>
  </property>
  <property fmtid="{D5CDD505-2E9C-101B-9397-08002B2CF9AE}" pid="10" name="MSIP_Label_abf2ea38-542c-4b75-bd7d-582ec36a519f_ContentBits">
    <vt:lpwstr>2</vt:lpwstr>
  </property>
</Properties>
</file>