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updateLinks="never" codeName="ThisWorkbook"/>
  <mc:AlternateContent xmlns:mc="http://schemas.openxmlformats.org/markup-compatibility/2006">
    <mc:Choice Requires="x15">
      <x15ac:absPath xmlns:x15ac="http://schemas.microsoft.com/office/spreadsheetml/2010/11/ac" url="https://abgov-my.sharepoint.com/personal/jennifer_lau_gov_ab_ca/Documents/Documents/_RedDot files/"/>
    </mc:Choice>
  </mc:AlternateContent>
  <xr:revisionPtr revIDLastSave="7" documentId="8_{4CE47FC0-DF12-4028-A45B-A71840918FA6}" xr6:coauthVersionLast="47" xr6:coauthVersionMax="47" xr10:uidLastSave="{C41C9778-26CF-4CB0-97AC-FDF3D6793D8E}"/>
  <bookViews>
    <workbookView xWindow="1380" yWindow="1260" windowWidth="23610" windowHeight="14355" xr2:uid="{00000000-000D-0000-FFFF-FFFF00000000}"/>
  </bookViews>
  <sheets>
    <sheet name="Introductions" sheetId="5" r:id="rId1"/>
    <sheet name="LE and Opt-in" sheetId="6" r:id="rId2"/>
    <sheet name="Aggregates" sheetId="2" r:id="rId3"/>
    <sheet name="Emissions and Fuel Charge" sheetId="4" r:id="rId4"/>
    <sheet name="Configuration" sheetId="7" state="hidden" r:id="rId5"/>
    <sheet name="High-Performance Benchmarks" sheetId="8" r:id="rId6"/>
  </sheets>
  <definedNames>
    <definedName name="AggLimit">Configuration!$D$76</definedName>
    <definedName name="Ammended">Configuration!$E$15</definedName>
    <definedName name="Be">Configuration!$D$9</definedName>
    <definedName name="BeAgg">Configuration!$D$11</definedName>
    <definedName name="Bh">Configuration!$D$8</definedName>
    <definedName name="Bhy">Configuration!$D$10</definedName>
    <definedName name="FSBe">Configuration!$E$9</definedName>
    <definedName name="FSBh">Configuration!$E$8</definedName>
    <definedName name="FSBh2">Configuration!$E$10</definedName>
    <definedName name="fuelrates">Configuration!$C$18:$Q$42</definedName>
    <definedName name="fuels">Configuration!$C$19:$C$40</definedName>
    <definedName name="LEOLimit">Configuration!$D$75</definedName>
    <definedName name="RandU">Configuration!$E$14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2" l="1"/>
  <c r="D21" i="2"/>
  <c r="D45" i="2" l="1"/>
  <c r="D88" i="6" l="1"/>
  <c r="D11" i="7" l="1"/>
  <c r="J3" i="2" s="1"/>
  <c r="D9" i="7"/>
  <c r="F41" i="2" l="1"/>
  <c r="D43" i="2" s="1"/>
  <c r="D76" i="7"/>
  <c r="B53" i="2" s="1"/>
  <c r="D75" i="7"/>
  <c r="B96" i="6" s="1"/>
  <c r="D47" i="2" l="1"/>
  <c r="D49" i="2"/>
  <c r="B100" i="6"/>
  <c r="B57" i="2"/>
  <c r="J53" i="2" l="1"/>
  <c r="J57" i="2"/>
  <c r="J48" i="4"/>
  <c r="J46" i="4"/>
  <c r="J44" i="4"/>
  <c r="J42" i="4"/>
  <c r="J40" i="4"/>
  <c r="J38" i="4"/>
  <c r="J36" i="4"/>
  <c r="J34" i="4"/>
  <c r="J32" i="4"/>
  <c r="J30" i="4"/>
  <c r="J28" i="4"/>
  <c r="J26" i="4"/>
  <c r="J24" i="4"/>
  <c r="J22" i="4"/>
  <c r="J20" i="4"/>
  <c r="J18" i="4"/>
  <c r="J16" i="4"/>
  <c r="J14" i="4"/>
  <c r="J12" i="4"/>
  <c r="J10" i="4"/>
  <c r="L10" i="4"/>
  <c r="L12" i="4"/>
  <c r="L14" i="4"/>
  <c r="L48" i="4"/>
  <c r="L46" i="4"/>
  <c r="L44" i="4"/>
  <c r="L42" i="4"/>
  <c r="L40" i="4"/>
  <c r="L38" i="4"/>
  <c r="L36" i="4"/>
  <c r="L34" i="4"/>
  <c r="L32" i="4"/>
  <c r="L30" i="4"/>
  <c r="L28" i="4"/>
  <c r="L26" i="4"/>
  <c r="L24" i="4"/>
  <c r="L22" i="4"/>
  <c r="L20" i="4"/>
  <c r="L18" i="4"/>
  <c r="L16" i="4"/>
  <c r="J102" i="6"/>
  <c r="J59" i="2"/>
  <c r="E10" i="7"/>
  <c r="D40" i="6" s="1"/>
  <c r="E8" i="7"/>
  <c r="J6" i="6" s="1"/>
  <c r="D34" i="6" l="1"/>
  <c r="J5" i="6"/>
  <c r="B49" i="8"/>
  <c r="B50" i="8"/>
  <c r="E15" i="7" l="1"/>
  <c r="H52" i="6" l="1"/>
  <c r="J52" i="6"/>
  <c r="D52" i="6"/>
  <c r="F52" i="6"/>
  <c r="H48" i="4"/>
  <c r="H46" i="4"/>
  <c r="H44" i="4"/>
  <c r="H42" i="4"/>
  <c r="H40" i="4"/>
  <c r="H38" i="4"/>
  <c r="H36" i="4"/>
  <c r="H34" i="4"/>
  <c r="H32" i="4"/>
  <c r="H30" i="4"/>
  <c r="H28" i="4"/>
  <c r="H26" i="4"/>
  <c r="H24" i="4"/>
  <c r="H22" i="4"/>
  <c r="H10" i="4"/>
  <c r="H12" i="4"/>
  <c r="H14" i="4"/>
  <c r="H16" i="4"/>
  <c r="H18" i="4"/>
  <c r="H20" i="4"/>
  <c r="I19" i="7" l="1"/>
  <c r="Q40" i="7"/>
  <c r="Q39" i="7" l="1"/>
  <c r="Q38" i="7"/>
  <c r="Q37" i="7"/>
  <c r="Q36" i="7"/>
  <c r="Q35" i="7"/>
  <c r="Q34" i="7"/>
  <c r="Q33" i="7"/>
  <c r="Q32" i="7"/>
  <c r="Q31" i="7"/>
  <c r="Q30" i="7"/>
  <c r="Q29" i="7"/>
  <c r="Q28" i="7"/>
  <c r="Q27" i="7"/>
  <c r="Q26" i="7"/>
  <c r="Q25" i="7"/>
  <c r="Q24" i="7"/>
  <c r="Q23" i="7"/>
  <c r="Q22" i="7"/>
  <c r="Q21" i="7"/>
  <c r="Q20" i="7"/>
  <c r="Q19" i="7"/>
  <c r="O40" i="7"/>
  <c r="F40" i="7" s="1"/>
  <c r="N40" i="7"/>
  <c r="M40" i="7"/>
  <c r="L40" i="7"/>
  <c r="K40" i="7"/>
  <c r="J40" i="7"/>
  <c r="I40" i="7"/>
  <c r="O39" i="7"/>
  <c r="G39" i="7" s="1"/>
  <c r="N39" i="7"/>
  <c r="M39" i="7"/>
  <c r="L39" i="7"/>
  <c r="K39" i="7"/>
  <c r="J39" i="7"/>
  <c r="I39" i="7"/>
  <c r="O38" i="7"/>
  <c r="F38" i="7" s="1"/>
  <c r="N38" i="7"/>
  <c r="M38" i="7"/>
  <c r="L38" i="7"/>
  <c r="K38" i="7"/>
  <c r="J38" i="7"/>
  <c r="I38" i="7"/>
  <c r="O37" i="7"/>
  <c r="E37" i="7" s="1"/>
  <c r="N37" i="7"/>
  <c r="M37" i="7"/>
  <c r="L37" i="7"/>
  <c r="K37" i="7"/>
  <c r="J37" i="7"/>
  <c r="I37" i="7"/>
  <c r="O36" i="7"/>
  <c r="E36" i="7" s="1"/>
  <c r="N36" i="7"/>
  <c r="M36" i="7"/>
  <c r="L36" i="7"/>
  <c r="K36" i="7"/>
  <c r="J36" i="7"/>
  <c r="I36" i="7"/>
  <c r="O35" i="7"/>
  <c r="F35" i="7" s="1"/>
  <c r="N35" i="7"/>
  <c r="M35" i="7"/>
  <c r="L35" i="7"/>
  <c r="K35" i="7"/>
  <c r="J35" i="7"/>
  <c r="I35" i="7"/>
  <c r="O34" i="7"/>
  <c r="F34" i="7" s="1"/>
  <c r="N34" i="7"/>
  <c r="M34" i="7"/>
  <c r="L34" i="7"/>
  <c r="K34" i="7"/>
  <c r="J34" i="7"/>
  <c r="I34" i="7"/>
  <c r="O33" i="7"/>
  <c r="G33" i="7" s="1"/>
  <c r="N33" i="7"/>
  <c r="M33" i="7"/>
  <c r="L33" i="7"/>
  <c r="K33" i="7"/>
  <c r="J33" i="7"/>
  <c r="I33" i="7"/>
  <c r="O32" i="7"/>
  <c r="F32" i="7" s="1"/>
  <c r="N32" i="7"/>
  <c r="M32" i="7"/>
  <c r="L32" i="7"/>
  <c r="K32" i="7"/>
  <c r="J32" i="7"/>
  <c r="I32" i="7"/>
  <c r="O31" i="7"/>
  <c r="E31" i="7" s="1"/>
  <c r="N31" i="7"/>
  <c r="M31" i="7"/>
  <c r="L31" i="7"/>
  <c r="K31" i="7"/>
  <c r="J31" i="7"/>
  <c r="I31" i="7"/>
  <c r="O30" i="7"/>
  <c r="E30" i="7" s="1"/>
  <c r="N30" i="7"/>
  <c r="M30" i="7"/>
  <c r="L30" i="7"/>
  <c r="K30" i="7"/>
  <c r="J30" i="7"/>
  <c r="I30" i="7"/>
  <c r="O29" i="7"/>
  <c r="F29" i="7" s="1"/>
  <c r="N29" i="7"/>
  <c r="M29" i="7"/>
  <c r="L29" i="7"/>
  <c r="K29" i="7"/>
  <c r="J29" i="7"/>
  <c r="I29" i="7"/>
  <c r="O28" i="7"/>
  <c r="F28" i="7" s="1"/>
  <c r="N28" i="7"/>
  <c r="M28" i="7"/>
  <c r="L28" i="7"/>
  <c r="K28" i="7"/>
  <c r="J28" i="7"/>
  <c r="I28" i="7"/>
  <c r="O27" i="7"/>
  <c r="G27" i="7" s="1"/>
  <c r="N27" i="7"/>
  <c r="M27" i="7"/>
  <c r="L27" i="7"/>
  <c r="K27" i="7"/>
  <c r="J27" i="7"/>
  <c r="I27" i="7"/>
  <c r="O26" i="7"/>
  <c r="F26" i="7" s="1"/>
  <c r="N26" i="7"/>
  <c r="M26" i="7"/>
  <c r="L26" i="7"/>
  <c r="K26" i="7"/>
  <c r="J26" i="7"/>
  <c r="I26" i="7"/>
  <c r="O25" i="7"/>
  <c r="E25" i="7" s="1"/>
  <c r="N25" i="7"/>
  <c r="M25" i="7"/>
  <c r="L25" i="7"/>
  <c r="K25" i="7"/>
  <c r="J25" i="7"/>
  <c r="I25" i="7"/>
  <c r="O24" i="7"/>
  <c r="E24" i="7" s="1"/>
  <c r="N24" i="7"/>
  <c r="M24" i="7"/>
  <c r="L24" i="7"/>
  <c r="K24" i="7"/>
  <c r="J24" i="7"/>
  <c r="I24" i="7"/>
  <c r="O23" i="7"/>
  <c r="F23" i="7" s="1"/>
  <c r="N23" i="7"/>
  <c r="M23" i="7"/>
  <c r="L23" i="7"/>
  <c r="K23" i="7"/>
  <c r="J23" i="7"/>
  <c r="I23" i="7"/>
  <c r="O22" i="7"/>
  <c r="F22" i="7" s="1"/>
  <c r="N22" i="7"/>
  <c r="M22" i="7"/>
  <c r="L22" i="7"/>
  <c r="K22" i="7"/>
  <c r="J22" i="7"/>
  <c r="I22" i="7"/>
  <c r="O21" i="7"/>
  <c r="G21" i="7" s="1"/>
  <c r="N21" i="7"/>
  <c r="M21" i="7"/>
  <c r="L21" i="7"/>
  <c r="K21" i="7"/>
  <c r="J21" i="7"/>
  <c r="I21" i="7"/>
  <c r="O20" i="7"/>
  <c r="F20" i="7" s="1"/>
  <c r="N20" i="7"/>
  <c r="M20" i="7"/>
  <c r="L20" i="7"/>
  <c r="K20" i="7"/>
  <c r="J20" i="7"/>
  <c r="I20" i="7"/>
  <c r="O19" i="7"/>
  <c r="E19" i="7" s="1"/>
  <c r="N19" i="7"/>
  <c r="M19" i="7"/>
  <c r="L19" i="7"/>
  <c r="K19" i="7"/>
  <c r="J19" i="7"/>
  <c r="H24" i="7" l="1"/>
  <c r="G26" i="7"/>
  <c r="H20" i="7"/>
  <c r="E26" i="7"/>
  <c r="E32" i="7"/>
  <c r="H26" i="7"/>
  <c r="E38" i="7"/>
  <c r="H30" i="7"/>
  <c r="H32" i="7"/>
  <c r="H36" i="7"/>
  <c r="H38" i="7"/>
  <c r="G20" i="7"/>
  <c r="G32" i="7"/>
  <c r="G38" i="7"/>
  <c r="E20" i="7"/>
  <c r="G34" i="7"/>
  <c r="F24" i="7"/>
  <c r="F36" i="7"/>
  <c r="H21" i="7"/>
  <c r="H27" i="7"/>
  <c r="H33" i="7"/>
  <c r="H39" i="7"/>
  <c r="G23" i="7"/>
  <c r="G29" i="7"/>
  <c r="G35" i="7"/>
  <c r="F19" i="7"/>
  <c r="F25" i="7"/>
  <c r="F31" i="7"/>
  <c r="F37" i="7"/>
  <c r="E21" i="7"/>
  <c r="E27" i="7"/>
  <c r="E33" i="7"/>
  <c r="E39" i="7"/>
  <c r="G22" i="7"/>
  <c r="H22" i="7"/>
  <c r="H28" i="7"/>
  <c r="H34" i="7"/>
  <c r="H40" i="7"/>
  <c r="G24" i="7"/>
  <c r="G30" i="7"/>
  <c r="G36" i="7"/>
  <c r="E22" i="7"/>
  <c r="E28" i="7"/>
  <c r="E34" i="7"/>
  <c r="E40" i="7"/>
  <c r="G28" i="7"/>
  <c r="G40" i="7"/>
  <c r="F30" i="7"/>
  <c r="H23" i="7"/>
  <c r="H29" i="7"/>
  <c r="H35" i="7"/>
  <c r="G19" i="7"/>
  <c r="G25" i="7"/>
  <c r="G31" i="7"/>
  <c r="G37" i="7"/>
  <c r="F21" i="7"/>
  <c r="F27" i="7"/>
  <c r="F33" i="7"/>
  <c r="F39" i="7"/>
  <c r="E23" i="7"/>
  <c r="E29" i="7"/>
  <c r="E35" i="7"/>
  <c r="H19" i="7"/>
  <c r="H25" i="7"/>
  <c r="H31" i="7"/>
  <c r="H37" i="7"/>
  <c r="M23" i="8"/>
  <c r="M21" i="8"/>
  <c r="M13" i="8"/>
  <c r="L23" i="8"/>
  <c r="K23" i="8"/>
  <c r="J23" i="8"/>
  <c r="I23" i="8"/>
  <c r="H23" i="8"/>
  <c r="G23" i="8"/>
  <c r="F23" i="8"/>
  <c r="L13" i="8"/>
  <c r="K13" i="8"/>
  <c r="J13" i="8"/>
  <c r="I13" i="8"/>
  <c r="H13" i="8"/>
  <c r="G13" i="8"/>
  <c r="F13" i="8"/>
  <c r="L21" i="8"/>
  <c r="K21" i="8"/>
  <c r="J21" i="8"/>
  <c r="I21" i="8"/>
  <c r="H21" i="8"/>
  <c r="G21" i="8"/>
  <c r="F21" i="8"/>
  <c r="B61" i="2" l="1"/>
  <c r="B51" i="2"/>
  <c r="B29" i="2"/>
  <c r="B1" i="2"/>
  <c r="B55" i="4" l="1"/>
  <c r="B54" i="4"/>
  <c r="B62" i="2"/>
  <c r="B104" i="6"/>
  <c r="B105" i="6"/>
  <c r="B94" i="6" l="1"/>
  <c r="J55" i="2" l="1"/>
  <c r="L50" i="4" l="1"/>
  <c r="J50" i="4"/>
  <c r="B60" i="6"/>
  <c r="B1" i="6"/>
  <c r="D10" i="7"/>
  <c r="H5" i="6" s="1"/>
  <c r="D8" i="7"/>
  <c r="H6" i="6" l="1"/>
  <c r="D86" i="6"/>
  <c r="E9" i="7"/>
  <c r="H4" i="6"/>
  <c r="J40" i="6"/>
  <c r="H40" i="6"/>
  <c r="F40" i="6"/>
  <c r="J34" i="6"/>
  <c r="H28" i="6"/>
  <c r="H56" i="6" s="1"/>
  <c r="F28" i="6"/>
  <c r="F56" i="6" s="1"/>
  <c r="A1" i="4"/>
  <c r="H34" i="6"/>
  <c r="J28" i="6"/>
  <c r="J56" i="6" s="1"/>
  <c r="F34" i="6"/>
  <c r="D92" i="6" l="1"/>
  <c r="D90" i="6"/>
  <c r="D28" i="6"/>
  <c r="D56" i="6" s="1"/>
  <c r="J4" i="6"/>
  <c r="D54" i="6"/>
  <c r="F54" i="6"/>
  <c r="F58" i="6" s="1"/>
  <c r="J54" i="6"/>
  <c r="J58" i="6" s="1"/>
  <c r="H54" i="6"/>
  <c r="H58" i="6" s="1"/>
  <c r="J100" i="6" l="1"/>
  <c r="J96" i="6"/>
  <c r="D58" i="6"/>
  <c r="J9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ana.mirandarodriguez</author>
  </authors>
  <commentList>
    <comment ref="A12" authorId="0" shapeId="0" xr:uid="{00000000-0006-0000-0000-000001000000}">
      <text>
        <r>
          <rPr>
            <b/>
            <sz val="9"/>
            <color indexed="81"/>
            <rFont val="Tahoma"/>
            <family val="2"/>
          </rPr>
          <t>This is an example comment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gustavo.hernandez</author>
    <author>yan.liu</author>
    <author>Gustavo</author>
    <author>gustato</author>
  </authors>
  <commentList>
    <comment ref="B16" authorId="0" shapeId="0" xr:uid="{00000000-0006-0000-0100-000001000000}">
      <text>
        <r>
          <rPr>
            <sz val="9"/>
            <color indexed="81"/>
            <rFont val="Tahoma"/>
            <family val="2"/>
          </rPr>
          <t>the quantity of all specified gases released from sources located at a facility, expressed in CO2e tonnes, incluiding IP emissions, but not including biomass CO2 emissions.</t>
        </r>
      </text>
    </comment>
    <comment ref="B18" authorId="0" shapeId="0" xr:uid="{00000000-0006-0000-0100-000002000000}">
      <text>
        <r>
          <rPr>
            <sz val="9"/>
            <color indexed="81"/>
            <rFont val="Tahoma"/>
            <family val="2"/>
          </rPr>
          <t>industrial process emissions as defined in Part 1 of the Standard for Completing Greenhouse Gas Compliance and Forecasting Reports.</t>
        </r>
      </text>
    </comment>
    <comment ref="B20" authorId="1" shapeId="0" xr:uid="{00000000-0006-0000-0100-000003000000}">
      <text>
        <r>
          <rPr>
            <sz val="9"/>
            <color indexed="81"/>
            <rFont val="Tahoma"/>
            <family val="2"/>
          </rPr>
          <t xml:space="preserve">excluding any carbon dioxide removed from raw gas and disposed of, as an acid gas stream, to an underground formation. </t>
        </r>
      </text>
    </comment>
    <comment ref="B22" authorId="1" shapeId="0" xr:uid="{00000000-0006-0000-0100-000004000000}">
      <text>
        <r>
          <rPr>
            <sz val="9"/>
            <color indexed="81"/>
            <rFont val="Tahoma"/>
            <family val="2"/>
          </rPr>
          <t>excluding any carbon dioxide removed from</t>
        </r>
        <r>
          <rPr>
            <b/>
            <sz val="9"/>
            <color indexed="81"/>
            <rFont val="Tahoma"/>
            <family val="2"/>
          </rPr>
          <t xml:space="preserve"> </t>
        </r>
        <r>
          <rPr>
            <sz val="9"/>
            <color indexed="81"/>
            <rFont val="Tahoma"/>
            <family val="2"/>
          </rPr>
          <t xml:space="preserve">raw gas and disposed of, as an acid gas stream, to an underground formation. </t>
        </r>
      </text>
    </comment>
    <comment ref="B24" authorId="1" shapeId="0" xr:uid="{00000000-0006-0000-0100-000005000000}">
      <text>
        <r>
          <rPr>
            <sz val="9"/>
            <color indexed="81"/>
            <rFont val="Tahoma"/>
            <family val="2"/>
          </rPr>
          <t xml:space="preserve">the quantity of carbon dioxide used as feedstock for the production of urea. </t>
        </r>
      </text>
    </comment>
    <comment ref="B26" authorId="0" shapeId="0" xr:uid="{00000000-0006-0000-0100-000006000000}">
      <text>
        <r>
          <rPr>
            <sz val="9"/>
            <color indexed="81"/>
            <rFont val="Tahoma"/>
            <family val="2"/>
          </rPr>
          <t>Emissions from fossil fuel combustion attributable to self-generation of electricity for the product. In facilities where cogeneration is utilized, these are cogeneration emissions from combustion of fossil fuels as well as CH4 and N2O emissions from biomass.
For reference, these emissions are similar to the Gt emissions reported under SGER.</t>
        </r>
      </text>
    </comment>
    <comment ref="B30" authorId="0" shapeId="0" xr:uid="{00000000-0006-0000-0100-000007000000}">
      <text>
        <r>
          <rPr>
            <sz val="9"/>
            <color indexed="81"/>
            <rFont val="Tahoma"/>
            <family val="2"/>
          </rPr>
          <t>electricity generated (net of station load) at a facility.</t>
        </r>
      </text>
    </comment>
    <comment ref="B36" authorId="0" shapeId="0" xr:uid="{00000000-0006-0000-0100-000008000000}">
      <text>
        <r>
          <rPr>
            <sz val="9"/>
            <color indexed="81"/>
            <rFont val="Tahoma"/>
            <family val="2"/>
          </rPr>
          <t>Heat generated by combustion of fossil fuels at a facility via cogeneration.
For reference, this heat value is similar to the Net Heat Production from Cogeneration (H) reported under SGER.</t>
        </r>
      </text>
    </comment>
    <comment ref="B43" authorId="0" shapeId="0" xr:uid="{00000000-0006-0000-0100-000009000000}">
      <text>
        <r>
          <rPr>
            <sz val="9"/>
            <color indexed="81"/>
            <rFont val="Tahoma"/>
            <family val="2"/>
          </rPr>
          <t>hydrogen generated at a facility excluding hydrogen that is combusted, vented or released to the atmosphere as fugitive.</t>
        </r>
      </text>
    </comment>
    <comment ref="B44" authorId="0" shapeId="0" xr:uid="{00000000-0006-0000-0100-00000A000000}">
      <text>
        <r>
          <rPr>
            <sz val="9"/>
            <color indexed="81"/>
            <rFont val="Tahoma"/>
            <family val="2"/>
          </rPr>
          <t>imported hydrogen that is used for stationary fuel combustion at the facility.</t>
        </r>
      </text>
    </comment>
    <comment ref="B46" authorId="0" shapeId="0" xr:uid="{00000000-0006-0000-0100-00000B000000}">
      <text>
        <r>
          <rPr>
            <sz val="9"/>
            <color indexed="81"/>
            <rFont val="Tahoma"/>
            <family val="2"/>
          </rPr>
          <t>capture recognition tonne means a capture recognition tonne converted from a sequestration credit in accordance with section 20.2 in TIER.</t>
        </r>
      </text>
    </comment>
    <comment ref="B48" authorId="0" shapeId="0" xr:uid="{00000000-0006-0000-0100-00000C000000}">
      <text>
        <r>
          <rPr>
            <sz val="9"/>
            <color indexed="81"/>
            <rFont val="Tahoma"/>
            <family val="2"/>
          </rPr>
          <t>the quantity, expressed in the product unit, of a product produced by a regulated facility.</t>
        </r>
      </text>
    </comment>
    <comment ref="B50" authorId="0" shapeId="0" xr:uid="{00000000-0006-0000-0100-00000D000000}">
      <text>
        <r>
          <rPr>
            <sz val="9"/>
            <color indexed="81"/>
            <rFont val="Tahoma"/>
            <family val="2"/>
          </rPr>
          <t xml:space="preserve">See section 8.5 in the Standard for developing bechmarks
As summary, RT:
In 2020, is 10% in a year subsequent to the third year of commercial operation and 5% for new facilities in their third year of commercial operation.
In 2021, is 11% in a year subsequent to the fourth year of commercial operation, is 10% for new facilities in their fourth year of commercial operation and 5% for new facilities in their third year of commercial operation.
0% is used to estimate the high-performance benchmark (HPB).
From 2023 to 2030:
a. in general sectors, the RT is 14% 2023 increasing by 2% pp each year reaching 28% in 2030.
b. insitu sector, the RT is 14% 2023 increasing by 2% pp each year till 24% in 2028, then 28% in 2029 and 32% in 2030.
c. Oil Sands sector, the RT is 20% 2023 increasing by 2% pp each year till 30% in 2028, then 34% in 2029 and 382% in 2030.
</t>
        </r>
      </text>
    </comment>
    <comment ref="B52" authorId="0" shapeId="0" xr:uid="{00000000-0006-0000-0100-00000E000000}">
      <text>
        <r>
          <rPr>
            <sz val="9"/>
            <color indexed="81"/>
            <rFont val="Tahoma"/>
            <family val="2"/>
          </rPr>
          <t>the total regulated emissions for a regulated facility determined in accordance with section 13(3) or (4) in the TIERR.</t>
        </r>
      </text>
    </comment>
    <comment ref="B54" authorId="0" shapeId="0" xr:uid="{00000000-0006-0000-0100-00000F000000}">
      <text>
        <r>
          <rPr>
            <sz val="9"/>
            <color indexed="81"/>
            <rFont val="Tahoma"/>
            <family val="2"/>
          </rPr>
          <t>portion of the facility-specific benchmark for product which is subject to target and tightening.</t>
        </r>
      </text>
    </comment>
    <comment ref="B56" authorId="0" shapeId="0" xr:uid="{00000000-0006-0000-0100-000010000000}">
      <text>
        <r>
          <rPr>
            <sz val="9"/>
            <color indexed="81"/>
            <rFont val="Tahoma"/>
            <family val="2"/>
          </rPr>
          <t>portion of the facility-specific benchmark for product which is not tightened which includes IP emissons and electricity use.</t>
        </r>
      </text>
    </comment>
    <comment ref="B62" authorId="0" shapeId="0" xr:uid="{00000000-0006-0000-0100-000011000000}">
      <text>
        <r>
          <rPr>
            <sz val="9"/>
            <color indexed="81"/>
            <rFont val="Tahoma"/>
            <family val="2"/>
          </rPr>
          <t>the quantity of all specified gases released from sources located at a facility, expressed in CO2e tonnes, not including biomass CO2 emissions, and incluiding IP emissions.</t>
        </r>
      </text>
    </comment>
    <comment ref="B70" authorId="2" shapeId="0" xr:uid="{00000000-0006-0000-0100-000012000000}">
      <text>
        <r>
          <rPr>
            <sz val="9"/>
            <color indexed="81"/>
            <rFont val="Tahoma"/>
            <family val="2"/>
          </rPr>
          <t>the quantity of carbon dioxide, expressed in tonnes, represented by capture recognition tonnes used for the regulated facility for the year. See ammended Section 13 in TIER.</t>
        </r>
      </text>
    </comment>
    <comment ref="B76" authorId="0" shapeId="0" xr:uid="{00000000-0006-0000-0100-000013000000}">
      <text>
        <r>
          <rPr>
            <sz val="9"/>
            <color indexed="81"/>
            <rFont val="Tahoma"/>
            <family val="2"/>
          </rPr>
          <t>Facillities reporting AB-CWB should not include here the Imported hydrogen.</t>
        </r>
      </text>
    </comment>
    <comment ref="B78" authorId="0" shapeId="0" xr:uid="{00000000-0006-0000-0100-000014000000}">
      <text>
        <r>
          <rPr>
            <sz val="9"/>
            <color indexed="81"/>
            <rFont val="Tahoma"/>
            <family val="2"/>
          </rPr>
          <t>imported hydrogen that is used for stationary fuel combustion at the facility</t>
        </r>
      </text>
    </comment>
    <comment ref="B82" authorId="3" shapeId="0" xr:uid="{00000000-0006-0000-0100-000015000000}">
      <text>
        <r>
          <rPr>
            <sz val="9"/>
            <color indexed="81"/>
            <rFont val="Tahoma"/>
            <family val="2"/>
          </rPr>
          <t xml:space="preserve">Facilities reporting AB-CWB, useful hydrogen should also be reported as a product using the HPB for hydrogen (9.068 t/t) as allocation rate.
</t>
        </r>
      </text>
    </comment>
    <comment ref="B84" authorId="0" shapeId="0" xr:uid="{00000000-0006-0000-0100-000016000000}">
      <text>
        <r>
          <rPr>
            <sz val="9"/>
            <color indexed="81"/>
            <rFont val="Tahoma"/>
            <family val="2"/>
          </rPr>
          <t>the greater of a) the high-performance benchmark for the product, and b) the FSB for the product.</t>
        </r>
      </text>
    </comment>
    <comment ref="B86" authorId="0" shapeId="0" xr:uid="{00000000-0006-0000-0100-000017000000}">
      <text>
        <r>
          <rPr>
            <sz val="9"/>
            <color indexed="81"/>
            <rFont val="Tahoma"/>
            <family val="2"/>
          </rPr>
          <t>quantity of allowable emissions, expressed in CO2e tonnes, for the large emitter or opted‑in facility for the year.</t>
        </r>
      </text>
    </comment>
    <comment ref="B88" authorId="0" shapeId="0" xr:uid="{00000000-0006-0000-0100-000018000000}">
      <text>
        <r>
          <rPr>
            <sz val="9"/>
            <color indexed="81"/>
            <rFont val="Tahoma"/>
            <family val="2"/>
          </rPr>
          <t>the total regulated emissions for a regulated facility determined in accordance with section 13(3) or (4) in the TIERR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gustavo.hernandez</author>
    <author>reanna.zhang</author>
  </authors>
  <commentList>
    <comment ref="B9" authorId="0" shapeId="0" xr:uid="{00000000-0006-0000-0200-000001000000}">
      <text>
        <r>
          <rPr>
            <sz val="9"/>
            <color indexed="81"/>
            <rFont val="Tahoma"/>
            <family val="2"/>
          </rPr>
          <t xml:space="preserve">The quantity of all specified gases released from sources located at a facility, from stationary fuel combustion expressed in CO2e tonnes, not including biomass CO2 emissions. SFC should be quantified using the methods in Chapter 15 of Alberta Greenhouse Gas Quantification  Methodologies.
</t>
        </r>
      </text>
    </comment>
    <comment ref="B11" authorId="1" shapeId="0" xr:uid="{2E7C0969-B76D-49FB-9E8B-3CE26A176047}">
      <text>
        <r>
          <rPr>
            <sz val="9"/>
            <color indexed="81"/>
            <rFont val="Tahoma"/>
            <family val="2"/>
          </rPr>
          <t xml:space="preserve">
Flaring emissions should be quantified using the methods in Chapter 15 of Alberta Greenhouse Gas Quantification  Methodologies.</t>
        </r>
      </text>
    </comment>
    <comment ref="B15" authorId="0" shapeId="0" xr:uid="{00000000-0006-0000-0200-000002000000}">
      <text>
        <r>
          <rPr>
            <sz val="9"/>
            <color indexed="81"/>
            <rFont val="Tahoma"/>
            <family val="2"/>
          </rPr>
          <t>The quantity, expressed in the applicable benchmark unit, of a product produced by a regulated facility, usually PROD, DISP or REC for aggregates approved by EPA.</t>
        </r>
      </text>
    </comment>
    <comment ref="B21" authorId="0" shapeId="0" xr:uid="{00000000-0006-0000-0200-000003000000}">
      <text>
        <r>
          <rPr>
            <sz val="9"/>
            <color indexed="81"/>
            <rFont val="Tahoma"/>
            <family val="2"/>
          </rPr>
          <t>The total regulated emissions for a regulated facility determined in accordance with section 13 (4) in the TIER</t>
        </r>
      </text>
    </comment>
    <comment ref="B23" authorId="0" shapeId="0" xr:uid="{00000000-0006-0000-0200-000004000000}">
      <text>
        <r>
          <rPr>
            <sz val="9"/>
            <color indexed="81"/>
            <rFont val="Tahoma"/>
            <family val="2"/>
          </rPr>
          <t>non-industrial process emissions portion of the facility-specific benchmark for product.</t>
        </r>
      </text>
    </comment>
    <comment ref="B25" authorId="0" shapeId="0" xr:uid="{00000000-0006-0000-0200-000005000000}">
      <text>
        <r>
          <rPr>
            <sz val="9"/>
            <color indexed="81"/>
            <rFont val="Tahoma"/>
            <family val="2"/>
          </rPr>
          <t>industrial process emissions portion of the facility-specific benchmark for product.</t>
        </r>
      </text>
    </comment>
    <comment ref="B41" authorId="0" shapeId="0" xr:uid="{00000000-0006-0000-0200-000007000000}">
      <text>
        <r>
          <rPr>
            <sz val="9"/>
            <color indexed="81"/>
            <rFont val="Tahoma"/>
            <family val="2"/>
          </rPr>
          <t>The FSB for the product assigned by EPA</t>
        </r>
      </text>
    </comment>
    <comment ref="B43" authorId="0" shapeId="0" xr:uid="{00000000-0006-0000-0200-000008000000}">
      <text>
        <r>
          <rPr>
            <sz val="9"/>
            <color indexed="81"/>
            <rFont val="Tahoma"/>
            <family val="2"/>
          </rPr>
          <t>Quantity of allowable emissions, expressed in CO2e tonnes, for the aggregate for the year.</t>
        </r>
      </text>
    </comment>
    <comment ref="B45" authorId="0" shapeId="0" xr:uid="{00000000-0006-0000-0200-000009000000}">
      <text>
        <r>
          <rPr>
            <sz val="9"/>
            <color indexed="81"/>
            <rFont val="Tahoma"/>
            <family val="2"/>
          </rPr>
          <t>the total regulated emissions for a regulated facility determined in accordance with section 13 (4) in the TIERR</t>
        </r>
      </text>
    </comment>
  </commentList>
</comments>
</file>

<file path=xl/sharedStrings.xml><?xml version="1.0" encoding="utf-8"?>
<sst xmlns="http://schemas.openxmlformats.org/spreadsheetml/2006/main" count="496" uniqueCount="209">
  <si>
    <t>Fuel and feedstock use reported should include those fuels and feedstocks associated with direct emissions from the facility for the data period.</t>
  </si>
  <si>
    <t>Type</t>
  </si>
  <si>
    <t>Description</t>
  </si>
  <si>
    <t>Quantity</t>
  </si>
  <si>
    <t>Units</t>
  </si>
  <si>
    <r>
      <t>Estimated Emissions (tonnes CO</t>
    </r>
    <r>
      <rPr>
        <vertAlign val="subscript"/>
        <sz val="8.5"/>
        <rFont val="Arial"/>
        <family val="2"/>
      </rPr>
      <t>2</t>
    </r>
    <r>
      <rPr>
        <sz val="8.5"/>
        <rFont val="Arial"/>
        <family val="2"/>
      </rPr>
      <t>e)</t>
    </r>
  </si>
  <si>
    <t>Butane</t>
  </si>
  <si>
    <t>Coke oven gas</t>
  </si>
  <si>
    <t>Ethane</t>
  </si>
  <si>
    <t>Gas liquids</t>
  </si>
  <si>
    <t>Heavy fuel oil</t>
  </si>
  <si>
    <t>High heat value coal</t>
  </si>
  <si>
    <t>Kerosene</t>
  </si>
  <si>
    <t>Low heat value coal</t>
  </si>
  <si>
    <t>Methanol</t>
  </si>
  <si>
    <t>Naphtha</t>
  </si>
  <si>
    <t>GJ</t>
  </si>
  <si>
    <t>Propane</t>
  </si>
  <si>
    <t>Introduction</t>
  </si>
  <si>
    <t>Legal Authority</t>
  </si>
  <si>
    <t>Completion Instructions</t>
  </si>
  <si>
    <t>1.</t>
  </si>
  <si>
    <t>2.</t>
  </si>
  <si>
    <t>More information about certain fields can be found in the form of pop-up comments. To view comments, hover the cursor over each cell with a comment or select the appropriate option in the menus to display all comments.</t>
  </si>
  <si>
    <t>3.</t>
  </si>
  <si>
    <t>Related documents:</t>
  </si>
  <si>
    <t>https://www.alberta.ca/technology-innovation-and-emissions-reduction-regulation.aspx</t>
  </si>
  <si>
    <t>Aviation gasoline</t>
  </si>
  <si>
    <t>Aviation turbo fuel</t>
  </si>
  <si>
    <t>Coke</t>
  </si>
  <si>
    <t>Combustible waste</t>
  </si>
  <si>
    <t>Gasoline</t>
  </si>
  <si>
    <t>Light fuel oil</t>
  </si>
  <si>
    <t>Petroleum coke</t>
  </si>
  <si>
    <t>Pentanes plus</t>
  </si>
  <si>
    <t>Still gas</t>
  </si>
  <si>
    <t>Estimated Fuel Charge ($CAD)</t>
  </si>
  <si>
    <r>
      <t>tonnes CO</t>
    </r>
    <r>
      <rPr>
        <vertAlign val="subscript"/>
        <sz val="9"/>
        <rFont val="Arial"/>
        <family val="2"/>
      </rPr>
      <t>2</t>
    </r>
    <r>
      <rPr>
        <sz val="9"/>
        <rFont val="Arial"/>
        <family val="2"/>
      </rPr>
      <t>e</t>
    </r>
  </si>
  <si>
    <t>Credits</t>
  </si>
  <si>
    <t>%</t>
  </si>
  <si>
    <t>Production</t>
  </si>
  <si>
    <t>Production Unit</t>
  </si>
  <si>
    <t>MWh</t>
  </si>
  <si>
    <t>tH2</t>
  </si>
  <si>
    <t>FSB (non-IP)</t>
  </si>
  <si>
    <t>FSB (IP)</t>
  </si>
  <si>
    <r>
      <t>tonnes CO</t>
    </r>
    <r>
      <rPr>
        <vertAlign val="subscript"/>
        <sz val="9"/>
        <rFont val="Arial"/>
        <family val="2"/>
      </rPr>
      <t>2</t>
    </r>
    <r>
      <rPr>
        <sz val="9"/>
        <rFont val="Arial"/>
        <family val="2"/>
      </rPr>
      <t>e / Product</t>
    </r>
  </si>
  <si>
    <t>Reduction target</t>
  </si>
  <si>
    <t>Hef</t>
  </si>
  <si>
    <t>Eef</t>
  </si>
  <si>
    <t>H2ef</t>
  </si>
  <si>
    <t>Product</t>
  </si>
  <si>
    <t>Imported electricity</t>
  </si>
  <si>
    <t>Imported CO2</t>
  </si>
  <si>
    <t>Exported CO2</t>
  </si>
  <si>
    <t>Emissions for the produciton of Urea</t>
  </si>
  <si>
    <t>Direct Emissions (DE)</t>
  </si>
  <si>
    <t>FSB (Facility-specific benchmark)</t>
  </si>
  <si>
    <t>Total Regulated Emissions (TRE)</t>
  </si>
  <si>
    <t>Emission Performance Credits (EPC)</t>
  </si>
  <si>
    <t>Product 1</t>
  </si>
  <si>
    <t>Product 2</t>
  </si>
  <si>
    <t>Product 3</t>
  </si>
  <si>
    <t>Product 4</t>
  </si>
  <si>
    <t>Total Allowable Emissions (AE)</t>
  </si>
  <si>
    <t>Stationary Fuel Combustion Emissions released to the atmosphere</t>
  </si>
  <si>
    <t>True-up obligations</t>
  </si>
  <si>
    <t>Maximum allowable usage of Pre-2017 Vintage Emission Offset Credits for true-up obligations (40% of the TuO)</t>
  </si>
  <si>
    <t>True-up obligations (TuO)</t>
  </si>
  <si>
    <t>Exported CO2 generated as Stationary Fuel Combustion Emissions</t>
  </si>
  <si>
    <t>Heat generated at the facility</t>
  </si>
  <si>
    <t>Product Unit</t>
  </si>
  <si>
    <t>Facility Fuel and Feedstock Usage, emissions and fuel charge estimations</t>
  </si>
  <si>
    <t>Totals (Fuel Charge ($CAD) and Emissions (tCO2e))</t>
  </si>
  <si>
    <t>Heat used deemed emissions</t>
  </si>
  <si>
    <t>Hydrogen used deemed emissions</t>
  </si>
  <si>
    <t>4.</t>
  </si>
  <si>
    <t>Unit</t>
  </si>
  <si>
    <t>Benchmark</t>
  </si>
  <si>
    <t>t/GJ</t>
  </si>
  <si>
    <t>t/MWh</t>
  </si>
  <si>
    <t>t/tH2</t>
  </si>
  <si>
    <t>https://www.canada.ca/en/revenue-agency/services/forms-publications/publications/fcrates/fuel-charge-rates.html</t>
  </si>
  <si>
    <t>5.</t>
  </si>
  <si>
    <t>6.</t>
  </si>
  <si>
    <t>High-performance Benchmarks</t>
  </si>
  <si>
    <t>CO2 consumed in the production of Urea</t>
  </si>
  <si>
    <t>EE (emissions for self-generated electricity)</t>
  </si>
  <si>
    <t>Electricity used emissions</t>
  </si>
  <si>
    <t>Electricity generated (net of station load)</t>
  </si>
  <si>
    <t>Net electricity (Imported - Exported)</t>
  </si>
  <si>
    <t>Net heat (Imported - Exported)</t>
  </si>
  <si>
    <t>Imported heat</t>
  </si>
  <si>
    <t>Net hydrogen (Imported - Exported)</t>
  </si>
  <si>
    <t>Facility Specific Benchmark estimation based on baseline period</t>
  </si>
  <si>
    <t>8.</t>
  </si>
  <si>
    <t>For compliance reporting, exported heat, electricity and hydrogen are considered products.</t>
  </si>
  <si>
    <t>7.</t>
  </si>
  <si>
    <t>FSB (tightening)</t>
  </si>
  <si>
    <t>FSB (non-tightening)</t>
  </si>
  <si>
    <t>Useful Hydrogen (Refining and Upgraders)</t>
  </si>
  <si>
    <t>Year</t>
  </si>
  <si>
    <t>Carbon Cost</t>
  </si>
  <si>
    <t>$/t</t>
  </si>
  <si>
    <t>$CAD / tonne CO2e</t>
  </si>
  <si>
    <t>RT</t>
  </si>
  <si>
    <t>Imported hydrogen (for others than Refining and Upgrading)</t>
  </si>
  <si>
    <t>Imported hydrogen fuel (Refining and Upgraders)</t>
  </si>
  <si>
    <t>Flaring emissions</t>
  </si>
  <si>
    <t>TBD</t>
  </si>
  <si>
    <t>Litre</t>
  </si>
  <si>
    <t>Tonne</t>
  </si>
  <si>
    <t>Cubic metre</t>
  </si>
  <si>
    <t>Marketable natural gas</t>
  </si>
  <si>
    <t>Non-marketable natural gas</t>
  </si>
  <si>
    <t>April 1, 2023 to March 31, 2024</t>
  </si>
  <si>
    <t>April 1, 2024 to March 31, 2025</t>
  </si>
  <si>
    <t>April 1, 2025 to March 31, 2026</t>
  </si>
  <si>
    <t>April 1, 2026 to March 31, 2027</t>
  </si>
  <si>
    <t>April 1, 2027 to March 31, 2028</t>
  </si>
  <si>
    <t>April 1, 2028 to March 31, 2029</t>
  </si>
  <si>
    <t>April 1, 2029 to March 31, 2030</t>
  </si>
  <si>
    <t>Beginning April 1, 2030</t>
  </si>
  <si>
    <t>non-Marketable natural gas</t>
  </si>
  <si>
    <t>t/unit</t>
  </si>
  <si>
    <t>Exported CO2 (other than from IP emissions)</t>
  </si>
  <si>
    <t>IP emissions (released &amp; exported &amp; urea use)</t>
  </si>
  <si>
    <t>retrieved in August 2023</t>
  </si>
  <si>
    <t>unit</t>
  </si>
  <si>
    <t>Electricity HPB:</t>
  </si>
  <si>
    <t>Heat HPB:</t>
  </si>
  <si>
    <t>Hydrogen HPB:</t>
  </si>
  <si>
    <t>This table uses Federal fuel charge rate for the 2021 as pivot to estimate the calendar year cost for the selected year.</t>
  </si>
  <si>
    <t>Capture Recognition tonne</t>
  </si>
  <si>
    <t>tCO2e/MWh</t>
  </si>
  <si>
    <t>tCO2e/GJ</t>
  </si>
  <si>
    <t>ammonia</t>
  </si>
  <si>
    <t>ammonium nitrate</t>
  </si>
  <si>
    <t>bituminous coal</t>
  </si>
  <si>
    <t>cement</t>
  </si>
  <si>
    <t>electricity</t>
  </si>
  <si>
    <t>ethylene glycol</t>
  </si>
  <si>
    <t>hardwood kraft pulp</t>
  </si>
  <si>
    <t>high‑value chemicals</t>
  </si>
  <si>
    <t>hydrogen</t>
  </si>
  <si>
    <t>industrial heat</t>
  </si>
  <si>
    <t>natural gas processing</t>
  </si>
  <si>
    <t>oil sands in situ bitumen</t>
  </si>
  <si>
    <t>oil sands mining bitumen</t>
  </si>
  <si>
    <t>softwood kraft pulp</t>
  </si>
  <si>
    <t>tonne</t>
  </si>
  <si>
    <t>megawatt hour</t>
  </si>
  <si>
    <t>air dry metric tonne</t>
  </si>
  <si>
    <t>gigagjoule</t>
  </si>
  <si>
    <t>Alberta gas processing index</t>
  </si>
  <si>
    <t>m3 of bitumen</t>
  </si>
  <si>
    <t>refining</t>
  </si>
  <si>
    <t>refining Alberta complexity weighted barrel (in thousand)</t>
  </si>
  <si>
    <t>upgrading</t>
  </si>
  <si>
    <t>upgrading Alberta complexity weighted barrel (in thousand)</t>
  </si>
  <si>
    <t>crude canola oil</t>
  </si>
  <si>
    <t>ethyl alcohol</t>
  </si>
  <si>
    <t>granual urea</t>
  </si>
  <si>
    <t>sub-buminous coal</t>
  </si>
  <si>
    <t>litres absolute alcohol</t>
  </si>
  <si>
    <t>Benchmark units</t>
  </si>
  <si>
    <r>
      <t>High-performance Benchmarks (CO</t>
    </r>
    <r>
      <rPr>
        <b/>
        <vertAlign val="subscript"/>
        <sz val="11"/>
        <rFont val="Arial"/>
        <family val="2"/>
      </rPr>
      <t>2</t>
    </r>
    <r>
      <rPr>
        <b/>
        <sz val="11"/>
        <rFont val="Arial"/>
        <family val="2"/>
      </rPr>
      <t>e tonnes per benchmark unit)</t>
    </r>
  </si>
  <si>
    <t xml:space="preserve">    High-performance benchmarks as per Table 2 in Schedule 2 in the TIER Regulation and ministerial orders</t>
  </si>
  <si>
    <t>Options for reduction target (RT)</t>
  </si>
  <si>
    <t>Selection of HPB for heat, power and hydrogen</t>
  </si>
  <si>
    <t>CR</t>
  </si>
  <si>
    <t>FSB</t>
  </si>
  <si>
    <t>tCO2e/tH2</t>
  </si>
  <si>
    <t>for compliance</t>
  </si>
  <si>
    <t>for benchmarking</t>
  </si>
  <si>
    <t>Special cases</t>
  </si>
  <si>
    <t>Selected ab-cwb prodduct</t>
  </si>
  <si>
    <t>Selected year ammended TIER</t>
  </si>
  <si>
    <t>Estimation of Federal Fuel charge in calendar year</t>
  </si>
  <si>
    <t>Federal Fuel charge</t>
  </si>
  <si>
    <t>source</t>
  </si>
  <si>
    <t>Unit $ per</t>
  </si>
  <si>
    <t>Refining or upgrading sector using AB-CWB product</t>
  </si>
  <si>
    <t>Limit credit usage</t>
  </si>
  <si>
    <t>Credit limit usage as per section 13 in TIER</t>
  </si>
  <si>
    <t>Capture Recognition tonnes</t>
  </si>
  <si>
    <t>LE/Opt-in</t>
  </si>
  <si>
    <t>Aggregates</t>
  </si>
  <si>
    <t>Reduction target for SFC and Exported CO2</t>
  </si>
  <si>
    <t>Stationary Fuel Combustion (SFC) Emissions</t>
  </si>
  <si>
    <t>Reduction target for flaring emissions</t>
  </si>
  <si>
    <t>Electricity</t>
  </si>
  <si>
    <t>Eef for aggregates</t>
  </si>
  <si>
    <t>Facility Specific Benchmark (FSB)</t>
  </si>
  <si>
    <t>Benchmark Year 1</t>
  </si>
  <si>
    <t>Benchmark Year 2</t>
  </si>
  <si>
    <t>Benchmark Year 3</t>
  </si>
  <si>
    <r>
      <t>m</t>
    </r>
    <r>
      <rPr>
        <vertAlign val="superscript"/>
        <sz val="9"/>
        <rFont val="Arial"/>
        <family val="2"/>
      </rPr>
      <t>3</t>
    </r>
    <r>
      <rPr>
        <sz val="9"/>
        <rFont val="Arial"/>
        <family val="2"/>
      </rPr>
      <t>OE</t>
    </r>
  </si>
  <si>
    <t>tonnes CO2e / m3OE</t>
  </si>
  <si>
    <t>kraft pulp</t>
  </si>
  <si>
    <t>Questions can be submitted to: EPA.GHG@gov.ab.ca</t>
  </si>
  <si>
    <t>TECHNOLOGY INNOVATION AND EMISSIONS REDUCTION REGULATION (TIER) COST ESTIMATION FORM v2.0</t>
  </si>
  <si>
    <t xml:space="preserve">This form is intentionally left un-locked to facilitate additional calculations, if needed. </t>
  </si>
  <si>
    <t>This form provides:
(1) "LE and Opt-in" tab provides an estimation of the facility's specific benchmark (FSB) and compliance true-up for Large Emitters and Opt-in facilities under the Alberta Technology Innovation and Emissions Reduction (TIER) regulation.
(2) "Aggregate Facilities" tab provides an estimation of the aggregate facility's specific benchmark (FSB), and compliance true-up for Aggregate Facilities under TIER regulation.
(3) "Emissions and Fuel Charge" provides an estimation of the fuel charges and emissions under the Federal Greenhouse Gas Pollution Pricing Act (GGPPA).
(4) "High-performance benchmark" provides the benchmarks as per the TIER Regulation.</t>
  </si>
  <si>
    <t>(Regulation, Standards, Alberta Greenhouse Gas Quantification Methodologies, Guidance, Fact Sheets, Application forms for benchmarking, compliance report, opt-in/out, cost containment, forecasting, deviation request, verification, and subscription to mailing list)</t>
  </si>
  <si>
    <t>High-performance benchmarks are provided in the tab "High-Performance Benchmark" for assistance in setting the Allocation Rate. In addition, tab Configuration is hidden and have HPBs for calculations that could be edited.</t>
  </si>
  <si>
    <t>For the estimation of the facility-specific benchmarks, use the totals for the benchmarking years for each entry.</t>
  </si>
  <si>
    <t>An estimation of the stationary fuel combustions emissions for Aggregate Facilities could be taken from cell L48 in the "Emissions and Fuel Charge" tab. For more information, please refer to Chapter 15 in the Alberta Greenhouse Gas Quantification Methodologies.</t>
  </si>
  <si>
    <t>This workbook is for estimation purposes only and has no legal authority. Facilities should refer to the TIER regulation and standards in determining their true up obligations.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</si>
</sst>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_);[Red]\(&quot;$&quot;#,##0.00\)"/>
    <numFmt numFmtId="43" formatCode="_(* #,##0.00_);_(* \(#,##0.00\);_(* &quot;-&quot;??_);_(@_)"/>
    <numFmt numFmtId="164" formatCode=";;;"/>
    <numFmt numFmtId="165" formatCode="&quot;$&quot;#,##0.00000_);[Red]\(&quot;$&quot;#,##0.00000\)"/>
    <numFmt numFmtId="166" formatCode="_(* #,##0.000_);_(* \(#,##0.000\);_(* &quot;-&quot;??_);_(@_)"/>
    <numFmt numFmtId="167" formatCode="0.000"/>
    <numFmt numFmtId="168" formatCode="#,##0.0000"/>
    <numFmt numFmtId="169" formatCode="0.0000"/>
    <numFmt numFmtId="170" formatCode="0;\-0;"/>
    <numFmt numFmtId="171" formatCode="_(* #,##0_);_(* \(#,##0\);_(* &quot;-&quot;??_);_(@_)"/>
    <numFmt numFmtId="172" formatCode="&quot;$&quot;#,##0.0000_);[Red]\(&quot;$&quot;#,##0.0000\)"/>
    <numFmt numFmtId="173" formatCode="#,##0.000"/>
    <numFmt numFmtId="174" formatCode="#,##0.00000"/>
  </numFmts>
  <fonts count="28" x14ac:knownFonts="1">
    <font>
      <sz val="11"/>
      <color theme="1"/>
      <name val="Calibri"/>
      <family val="2"/>
      <scheme val="minor"/>
    </font>
    <font>
      <sz val="11"/>
      <color theme="1"/>
      <name val="Calibri"/>
      <family val="2"/>
      <scheme val="minor"/>
    </font>
    <font>
      <sz val="10"/>
      <name val="Arial"/>
      <family val="2"/>
    </font>
    <font>
      <sz val="12"/>
      <name val="Arial"/>
      <family val="2"/>
    </font>
    <font>
      <sz val="8.5"/>
      <name val="Arial"/>
      <family val="2"/>
    </font>
    <font>
      <b/>
      <sz val="10"/>
      <name val="Arial"/>
      <family val="2"/>
    </font>
    <font>
      <b/>
      <sz val="8.5"/>
      <name val="Arial"/>
      <family val="2"/>
    </font>
    <font>
      <b/>
      <sz val="11"/>
      <color indexed="9"/>
      <name val="Arial"/>
      <family val="2"/>
    </font>
    <font>
      <sz val="9"/>
      <name val="Arial"/>
      <family val="2"/>
    </font>
    <font>
      <vertAlign val="subscript"/>
      <sz val="8.5"/>
      <name val="Arial"/>
      <family val="2"/>
    </font>
    <font>
      <sz val="10"/>
      <name val="Arial"/>
      <family val="2"/>
    </font>
    <font>
      <b/>
      <u/>
      <sz val="16"/>
      <name val="Arial"/>
      <family val="2"/>
    </font>
    <font>
      <sz val="16"/>
      <name val="Arial"/>
      <family val="2"/>
    </font>
    <font>
      <b/>
      <sz val="9"/>
      <name val="Arial"/>
      <family val="2"/>
    </font>
    <font>
      <u/>
      <sz val="10"/>
      <color indexed="12"/>
      <name val="Arial"/>
      <family val="2"/>
    </font>
    <font>
      <b/>
      <sz val="9"/>
      <color indexed="81"/>
      <name val="Tahoma"/>
      <family val="2"/>
    </font>
    <font>
      <sz val="9"/>
      <color indexed="81"/>
      <name val="Tahoma"/>
      <family val="2"/>
    </font>
    <font>
      <sz val="11"/>
      <color rgb="FF333333"/>
      <name val="Arial"/>
      <family val="2"/>
    </font>
    <font>
      <b/>
      <sz val="11"/>
      <color rgb="FF333333"/>
      <name val="Arial"/>
      <family val="2"/>
    </font>
    <font>
      <vertAlign val="subscript"/>
      <sz val="9"/>
      <name val="Arial"/>
      <family val="2"/>
    </font>
    <font>
      <sz val="9"/>
      <color rgb="FF000000"/>
      <name val="Times New Roman"/>
      <family val="1"/>
    </font>
    <font>
      <b/>
      <sz val="11"/>
      <name val="Arial"/>
      <family val="2"/>
    </font>
    <font>
      <b/>
      <sz val="11"/>
      <color theme="0"/>
      <name val="Arial"/>
      <family val="2"/>
    </font>
    <font>
      <sz val="8"/>
      <color rgb="FF000000"/>
      <name val="Segoe UI"/>
      <family val="2"/>
    </font>
    <font>
      <b/>
      <sz val="11"/>
      <color theme="1"/>
      <name val="Calibri"/>
      <family val="2"/>
      <scheme val="minor"/>
    </font>
    <font>
      <b/>
      <vertAlign val="subscript"/>
      <sz val="11"/>
      <name val="Arial"/>
      <family val="2"/>
    </font>
    <font>
      <vertAlign val="superscript"/>
      <sz val="9"/>
      <name val="Arial"/>
      <family val="2"/>
    </font>
    <font>
      <sz val="8"/>
      <name val="Arial"/>
      <family val="2"/>
    </font>
  </fonts>
  <fills count="9">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
      <patternFill patternType="solid">
        <fgColor rgb="FF0070C0"/>
        <bgColor indexed="64"/>
      </patternFill>
    </fill>
    <fill>
      <patternFill patternType="solid">
        <fgColor rgb="FFFFFFFF"/>
        <bgColor indexed="64"/>
      </patternFill>
    </fill>
    <fill>
      <patternFill patternType="solid">
        <fgColor theme="0" tint="-0.14999847407452621"/>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diagonal/>
    </border>
    <border>
      <left style="medium">
        <color rgb="FFDDDDDD"/>
      </left>
      <right style="medium">
        <color rgb="FFDDDDDD"/>
      </right>
      <top style="medium">
        <color rgb="FFDDDDDD"/>
      </top>
      <bottom style="medium">
        <color rgb="FFDDDDDD"/>
      </bottom>
      <diagonal/>
    </border>
    <border>
      <left style="medium">
        <color rgb="FFDDDDDD"/>
      </left>
      <right style="medium">
        <color rgb="FFDDDDDD"/>
      </right>
      <top/>
      <bottom style="medium">
        <color rgb="FFDDDDDD"/>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2" fillId="0" borderId="0"/>
    <xf numFmtId="0" fontId="1" fillId="0" borderId="0"/>
    <xf numFmtId="0" fontId="10" fillId="0" borderId="0"/>
    <xf numFmtId="43"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alignment vertical="top"/>
      <protection locked="0"/>
    </xf>
  </cellStyleXfs>
  <cellXfs count="188">
    <xf numFmtId="0" fontId="0" fillId="0" borderId="0" xfId="0"/>
    <xf numFmtId="0" fontId="3" fillId="0" borderId="0" xfId="1" applyFont="1" applyBorder="1" applyAlignment="1" applyProtection="1"/>
    <xf numFmtId="0" fontId="4" fillId="2" borderId="4" xfId="1" applyFont="1" applyFill="1" applyBorder="1" applyAlignment="1" applyProtection="1"/>
    <xf numFmtId="0" fontId="5" fillId="2" borderId="0" xfId="1" applyFont="1" applyFill="1" applyBorder="1" applyAlignment="1" applyProtection="1">
      <alignment horizontal="left" vertical="center"/>
    </xf>
    <xf numFmtId="0" fontId="5" fillId="2" borderId="0" xfId="1" applyFont="1" applyFill="1" applyBorder="1" applyAlignment="1"/>
    <xf numFmtId="0" fontId="6" fillId="2" borderId="5" xfId="1" applyFont="1" applyFill="1" applyBorder="1" applyAlignment="1" applyProtection="1"/>
    <xf numFmtId="0" fontId="4" fillId="0" borderId="0" xfId="1" applyFont="1" applyFill="1" applyBorder="1" applyAlignment="1" applyProtection="1"/>
    <xf numFmtId="0" fontId="8" fillId="2" borderId="0" xfId="1" applyFont="1" applyFill="1" applyBorder="1" applyAlignment="1" applyProtection="1">
      <alignment horizontal="left" vertical="center"/>
    </xf>
    <xf numFmtId="0" fontId="4" fillId="2" borderId="4" xfId="1" applyFont="1" applyFill="1" applyBorder="1" applyAlignment="1" applyProtection="1">
      <alignment wrapText="1"/>
    </xf>
    <xf numFmtId="0" fontId="4" fillId="2" borderId="0" xfId="1" applyFont="1" applyFill="1" applyBorder="1" applyAlignment="1" applyProtection="1">
      <alignment horizontal="center" wrapText="1"/>
    </xf>
    <xf numFmtId="0" fontId="4" fillId="2" borderId="0" xfId="1" applyNumberFormat="1" applyFont="1" applyFill="1" applyBorder="1" applyAlignment="1" applyProtection="1">
      <alignment horizontal="center" wrapText="1"/>
    </xf>
    <xf numFmtId="0" fontId="4" fillId="2" borderId="0" xfId="1" applyFont="1" applyFill="1" applyBorder="1" applyAlignment="1" applyProtection="1">
      <alignment wrapText="1"/>
    </xf>
    <xf numFmtId="0" fontId="4" fillId="2" borderId="5" xfId="1" applyFont="1" applyFill="1" applyBorder="1" applyAlignment="1" applyProtection="1">
      <alignment wrapText="1"/>
    </xf>
    <xf numFmtId="0" fontId="4" fillId="0" borderId="0" xfId="1" applyFont="1" applyFill="1" applyBorder="1" applyAlignment="1" applyProtection="1">
      <alignment wrapText="1"/>
    </xf>
    <xf numFmtId="0" fontId="4" fillId="2" borderId="6" xfId="1" applyFont="1" applyFill="1" applyBorder="1" applyAlignment="1" applyProtection="1">
      <alignment horizontal="left"/>
      <protection locked="0"/>
    </xf>
    <xf numFmtId="0" fontId="4" fillId="2" borderId="0" xfId="1" applyFont="1" applyFill="1" applyBorder="1" applyAlignment="1" applyProtection="1">
      <alignment horizontal="center"/>
    </xf>
    <xf numFmtId="49" fontId="4" fillId="2" borderId="7" xfId="1" applyNumberFormat="1" applyFont="1" applyFill="1" applyBorder="1" applyAlignment="1" applyProtection="1">
      <alignment horizontal="left"/>
    </xf>
    <xf numFmtId="0" fontId="4" fillId="2" borderId="6" xfId="1" applyNumberFormat="1" applyFont="1" applyFill="1" applyBorder="1" applyAlignment="1" applyProtection="1">
      <alignment horizontal="left"/>
      <protection locked="0"/>
    </xf>
    <xf numFmtId="0" fontId="4" fillId="2" borderId="0" xfId="1" applyFont="1" applyFill="1" applyBorder="1" applyAlignment="1" applyProtection="1"/>
    <xf numFmtId="0" fontId="4" fillId="2" borderId="5" xfId="1" applyFont="1" applyFill="1" applyBorder="1" applyAlignment="1" applyProtection="1"/>
    <xf numFmtId="0" fontId="4" fillId="0" borderId="0" xfId="3" applyFont="1" applyFill="1" applyBorder="1" applyAlignment="1" applyProtection="1"/>
    <xf numFmtId="0" fontId="4" fillId="2" borderId="0" xfId="1" applyFont="1" applyFill="1" applyBorder="1" applyAlignment="1" applyProtection="1">
      <alignment horizontal="left"/>
    </xf>
    <xf numFmtId="0" fontId="4" fillId="2" borderId="0" xfId="1" applyFont="1" applyFill="1" applyBorder="1" applyAlignment="1" applyProtection="1">
      <alignment horizontal="left" vertical="center"/>
    </xf>
    <xf numFmtId="49" fontId="4" fillId="2" borderId="0" xfId="1" applyNumberFormat="1" applyFont="1" applyFill="1" applyBorder="1" applyAlignment="1" applyProtection="1">
      <alignment horizontal="left"/>
    </xf>
    <xf numFmtId="0" fontId="4" fillId="2" borderId="0" xfId="1" applyNumberFormat="1" applyFont="1" applyFill="1" applyBorder="1" applyAlignment="1" applyProtection="1"/>
    <xf numFmtId="0" fontId="6" fillId="2" borderId="0" xfId="1" applyFont="1" applyFill="1" applyBorder="1" applyAlignment="1" applyProtection="1">
      <alignment horizontal="right"/>
    </xf>
    <xf numFmtId="0" fontId="4" fillId="2" borderId="8" xfId="1" applyFont="1" applyFill="1" applyBorder="1" applyAlignment="1" applyProtection="1"/>
    <xf numFmtId="0" fontId="10" fillId="2" borderId="8" xfId="1" applyFont="1" applyFill="1" applyBorder="1" applyAlignment="1" applyProtection="1">
      <alignment horizontal="right"/>
    </xf>
    <xf numFmtId="0" fontId="5" fillId="2" borderId="8" xfId="1" applyFont="1" applyFill="1" applyBorder="1" applyAlignment="1" applyProtection="1">
      <alignment horizontal="right"/>
    </xf>
    <xf numFmtId="0" fontId="4" fillId="2" borderId="8" xfId="1" applyNumberFormat="1" applyFont="1" applyFill="1" applyBorder="1" applyAlignment="1" applyProtection="1">
      <alignment horizontal="center"/>
    </xf>
    <xf numFmtId="0" fontId="4" fillId="0" borderId="8" xfId="1" applyFont="1" applyFill="1" applyBorder="1" applyAlignment="1" applyProtection="1"/>
    <xf numFmtId="0" fontId="10" fillId="2" borderId="4" xfId="1" applyFont="1" applyFill="1" applyBorder="1" applyAlignment="1" applyProtection="1"/>
    <xf numFmtId="0" fontId="4" fillId="0" borderId="0" xfId="1" applyFont="1" applyBorder="1" applyAlignment="1" applyProtection="1"/>
    <xf numFmtId="0" fontId="4" fillId="2" borderId="9" xfId="1" applyFont="1" applyFill="1" applyBorder="1" applyAlignment="1" applyProtection="1"/>
    <xf numFmtId="0" fontId="10" fillId="2" borderId="10" xfId="1" applyFont="1" applyFill="1" applyBorder="1" applyAlignment="1">
      <alignment wrapText="1"/>
    </xf>
    <xf numFmtId="0" fontId="4" fillId="2" borderId="11" xfId="1" applyFont="1" applyFill="1" applyBorder="1" applyAlignment="1" applyProtection="1"/>
    <xf numFmtId="0" fontId="4" fillId="0" borderId="0" xfId="1" applyNumberFormat="1" applyFont="1" applyBorder="1" applyAlignment="1" applyProtection="1"/>
    <xf numFmtId="0" fontId="12" fillId="0" borderId="0" xfId="0" applyFont="1" applyFill="1" applyProtection="1"/>
    <xf numFmtId="0" fontId="0" fillId="0" borderId="0" xfId="0" applyFill="1" applyProtection="1"/>
    <xf numFmtId="0" fontId="8" fillId="2" borderId="4" xfId="0" applyFont="1" applyFill="1" applyBorder="1" applyAlignment="1" applyProtection="1">
      <alignment horizontal="left" vertical="center" wrapText="1" indent="1"/>
    </xf>
    <xf numFmtId="0" fontId="8" fillId="2" borderId="5" xfId="0" applyFont="1" applyFill="1" applyBorder="1" applyAlignment="1" applyProtection="1">
      <alignment horizontal="left" vertical="center" wrapText="1" indent="1"/>
    </xf>
    <xf numFmtId="164" fontId="0" fillId="2" borderId="4" xfId="0" applyNumberFormat="1" applyFill="1" applyBorder="1" applyAlignment="1" applyProtection="1">
      <alignment horizontal="left"/>
      <protection hidden="1"/>
    </xf>
    <xf numFmtId="0" fontId="0" fillId="2" borderId="0" xfId="0" applyFill="1" applyBorder="1" applyAlignment="1" applyProtection="1">
      <alignment horizontal="left" wrapText="1"/>
      <protection hidden="1"/>
    </xf>
    <xf numFmtId="0" fontId="0" fillId="2" borderId="5" xfId="0" applyFill="1" applyBorder="1" applyAlignment="1" applyProtection="1">
      <alignment horizontal="left" wrapText="1"/>
      <protection hidden="1"/>
    </xf>
    <xf numFmtId="0" fontId="13" fillId="2" borderId="4" xfId="0" quotePrefix="1" applyFont="1" applyFill="1" applyBorder="1" applyAlignment="1" applyProtection="1">
      <alignment horizontal="right" vertical="top" wrapText="1"/>
    </xf>
    <xf numFmtId="0" fontId="13" fillId="2" borderId="5" xfId="0" applyFont="1" applyFill="1" applyBorder="1" applyAlignment="1" applyProtection="1">
      <alignment horizontal="left" wrapText="1" indent="1"/>
    </xf>
    <xf numFmtId="0" fontId="4" fillId="0" borderId="0" xfId="0" applyFont="1" applyFill="1" applyBorder="1" applyAlignment="1" applyProtection="1"/>
    <xf numFmtId="0" fontId="4" fillId="2" borderId="4" xfId="0" applyFont="1" applyFill="1" applyBorder="1" applyAlignment="1" applyProtection="1"/>
    <xf numFmtId="0" fontId="0" fillId="2" borderId="9" xfId="0" applyFill="1" applyBorder="1" applyAlignment="1" applyProtection="1">
      <alignment horizontal="left" indent="1"/>
    </xf>
    <xf numFmtId="0" fontId="0" fillId="2" borderId="10" xfId="0" applyFill="1" applyBorder="1" applyAlignment="1" applyProtection="1">
      <alignment horizontal="left"/>
    </xf>
    <xf numFmtId="0" fontId="0" fillId="2" borderId="11" xfId="0" applyFill="1" applyBorder="1" applyAlignment="1" applyProtection="1">
      <alignment horizontal="left" indent="1"/>
    </xf>
    <xf numFmtId="0" fontId="8" fillId="2" borderId="0" xfId="0" applyFont="1" applyFill="1" applyBorder="1" applyAlignment="1" applyProtection="1">
      <alignment horizontal="right" vertical="top" wrapText="1"/>
    </xf>
    <xf numFmtId="166" fontId="4" fillId="0" borderId="0" xfId="4" applyNumberFormat="1" applyFont="1" applyFill="1" applyBorder="1" applyAlignment="1" applyProtection="1"/>
    <xf numFmtId="0" fontId="4" fillId="2" borderId="0" xfId="0" applyFont="1" applyFill="1" applyBorder="1" applyAlignment="1" applyProtection="1">
      <alignment vertical="center"/>
    </xf>
    <xf numFmtId="0" fontId="4" fillId="2" borderId="5" xfId="0" applyFont="1" applyFill="1" applyBorder="1" applyAlignment="1" applyProtection="1"/>
    <xf numFmtId="0" fontId="4" fillId="2" borderId="4" xfId="0" applyFont="1" applyFill="1" applyBorder="1" applyProtection="1"/>
    <xf numFmtId="0" fontId="4" fillId="2" borderId="0" xfId="0" applyFont="1" applyFill="1" applyBorder="1" applyProtection="1"/>
    <xf numFmtId="0" fontId="4" fillId="2" borderId="0" xfId="0" applyFont="1" applyFill="1" applyBorder="1" applyAlignment="1" applyProtection="1">
      <alignment horizontal="center" vertical="center"/>
    </xf>
    <xf numFmtId="0" fontId="4" fillId="2" borderId="5" xfId="0" applyFont="1" applyFill="1" applyBorder="1" applyProtection="1"/>
    <xf numFmtId="0" fontId="4" fillId="0" borderId="0" xfId="0" applyFont="1" applyBorder="1" applyProtection="1"/>
    <xf numFmtId="0" fontId="13" fillId="0" borderId="7" xfId="0" applyFont="1" applyBorder="1" applyAlignment="1" applyProtection="1">
      <alignment vertical="center"/>
    </xf>
    <xf numFmtId="168" fontId="8" fillId="4" borderId="6" xfId="0" applyNumberFormat="1" applyFont="1" applyFill="1" applyBorder="1" applyAlignment="1" applyProtection="1">
      <alignment horizontal="right" vertical="center"/>
    </xf>
    <xf numFmtId="169" fontId="8" fillId="2" borderId="0" xfId="0" applyNumberFormat="1" applyFont="1" applyFill="1" applyBorder="1" applyAlignment="1" applyProtection="1">
      <alignment horizontal="left"/>
    </xf>
    <xf numFmtId="0" fontId="8" fillId="2" borderId="0" xfId="0" applyFont="1" applyFill="1" applyBorder="1" applyAlignment="1" applyProtection="1">
      <alignment vertical="center"/>
    </xf>
    <xf numFmtId="0" fontId="13" fillId="2" borderId="0" xfId="0" applyFont="1" applyFill="1" applyBorder="1" applyAlignment="1" applyProtection="1">
      <alignment horizontal="left" wrapText="1"/>
    </xf>
    <xf numFmtId="0" fontId="13" fillId="2" borderId="0" xfId="0" applyFont="1" applyFill="1" applyBorder="1" applyAlignment="1" applyProtection="1">
      <alignment vertical="center"/>
    </xf>
    <xf numFmtId="3" fontId="8" fillId="4" borderId="6" xfId="0" applyNumberFormat="1" applyFont="1" applyFill="1" applyBorder="1" applyAlignment="1" applyProtection="1">
      <alignment horizontal="right" vertical="center"/>
    </xf>
    <xf numFmtId="0" fontId="4" fillId="2" borderId="9" xfId="0" applyFont="1" applyFill="1" applyBorder="1" applyProtection="1"/>
    <xf numFmtId="0" fontId="4" fillId="2" borderId="10" xfId="0" applyFont="1" applyFill="1" applyBorder="1" applyProtection="1"/>
    <xf numFmtId="0" fontId="4" fillId="2" borderId="11" xfId="0" applyFont="1" applyFill="1" applyBorder="1" applyProtection="1"/>
    <xf numFmtId="0" fontId="8" fillId="5" borderId="0" xfId="0" applyFont="1" applyFill="1" applyBorder="1" applyAlignment="1" applyProtection="1">
      <alignment vertical="center"/>
    </xf>
    <xf numFmtId="168" fontId="8" fillId="5" borderId="6" xfId="0" applyNumberFormat="1" applyFont="1" applyFill="1" applyBorder="1" applyAlignment="1" applyProtection="1">
      <alignment horizontal="right" vertical="center"/>
      <protection locked="0"/>
    </xf>
    <xf numFmtId="9" fontId="8" fillId="5" borderId="6" xfId="5" applyFont="1" applyFill="1" applyBorder="1" applyAlignment="1" applyProtection="1">
      <alignment horizontal="right" vertical="center"/>
      <protection locked="0"/>
    </xf>
    <xf numFmtId="0" fontId="13" fillId="2" borderId="0" xfId="0" applyFont="1" applyFill="1" applyBorder="1" applyAlignment="1" applyProtection="1">
      <alignment horizontal="left" vertical="center" wrapText="1"/>
    </xf>
    <xf numFmtId="0" fontId="13" fillId="2" borderId="0" xfId="0" applyFont="1" applyFill="1" applyBorder="1" applyAlignment="1" applyProtection="1">
      <alignment horizontal="left" vertical="center"/>
    </xf>
    <xf numFmtId="0" fontId="4" fillId="5" borderId="0" xfId="0" applyFont="1" applyFill="1" applyBorder="1" applyProtection="1"/>
    <xf numFmtId="0" fontId="4" fillId="5" borderId="0" xfId="0" applyFont="1" applyFill="1" applyBorder="1" applyAlignment="1" applyProtection="1"/>
    <xf numFmtId="0" fontId="13" fillId="2" borderId="0" xfId="0" applyFont="1" applyFill="1" applyBorder="1" applyAlignment="1" applyProtection="1">
      <alignment horizontal="right" vertical="center" wrapText="1"/>
    </xf>
    <xf numFmtId="0" fontId="1" fillId="0" borderId="0" xfId="2" applyProtection="1"/>
    <xf numFmtId="0" fontId="0" fillId="0" borderId="0" xfId="0" applyProtection="1"/>
    <xf numFmtId="0" fontId="4" fillId="3" borderId="6" xfId="1" applyFont="1" applyFill="1" applyBorder="1" applyAlignment="1" applyProtection="1"/>
    <xf numFmtId="3" fontId="8" fillId="3" borderId="6" xfId="0" applyNumberFormat="1" applyFont="1" applyFill="1" applyBorder="1" applyAlignment="1" applyProtection="1">
      <alignment horizontal="right" vertical="center"/>
    </xf>
    <xf numFmtId="0" fontId="0" fillId="5" borderId="0" xfId="0" applyFill="1" applyProtection="1"/>
    <xf numFmtId="0" fontId="4" fillId="5" borderId="0" xfId="0" applyFont="1" applyFill="1" applyBorder="1" applyAlignment="1" applyProtection="1">
      <alignment horizontal="right"/>
    </xf>
    <xf numFmtId="0" fontId="4" fillId="5" borderId="0" xfId="0" quotePrefix="1" applyFont="1" applyFill="1" applyBorder="1" applyProtection="1"/>
    <xf numFmtId="170" fontId="4" fillId="5" borderId="0" xfId="0" applyNumberFormat="1" applyFont="1" applyFill="1" applyBorder="1" applyProtection="1"/>
    <xf numFmtId="3" fontId="4" fillId="5" borderId="0" xfId="0" applyNumberFormat="1" applyFont="1" applyFill="1" applyBorder="1" applyProtection="1"/>
    <xf numFmtId="0" fontId="6" fillId="5" borderId="0" xfId="0" applyFont="1" applyFill="1" applyBorder="1" applyProtection="1"/>
    <xf numFmtId="0" fontId="4" fillId="5" borderId="0" xfId="1" applyFont="1" applyFill="1" applyBorder="1" applyAlignment="1" applyProtection="1"/>
    <xf numFmtId="0" fontId="4" fillId="5" borderId="0" xfId="1" applyNumberFormat="1" applyFont="1" applyFill="1" applyBorder="1" applyAlignment="1" applyProtection="1"/>
    <xf numFmtId="0" fontId="4" fillId="5" borderId="0" xfId="1" applyFont="1" applyFill="1" applyBorder="1" applyAlignment="1" applyProtection="1">
      <protection locked="0"/>
    </xf>
    <xf numFmtId="0" fontId="18" fillId="5" borderId="0" xfId="0" applyFont="1" applyFill="1" applyAlignment="1" applyProtection="1">
      <alignment vertical="center"/>
    </xf>
    <xf numFmtId="8" fontId="17" fillId="5" borderId="0" xfId="0" applyNumberFormat="1" applyFont="1" applyFill="1" applyAlignment="1" applyProtection="1">
      <alignment vertical="center"/>
    </xf>
    <xf numFmtId="165" fontId="4" fillId="5" borderId="0" xfId="1" applyNumberFormat="1" applyFont="1" applyFill="1" applyBorder="1" applyAlignment="1" applyProtection="1"/>
    <xf numFmtId="0" fontId="4" fillId="5" borderId="0" xfId="1" applyFont="1" applyFill="1" applyBorder="1" applyAlignment="1" applyProtection="1">
      <alignment horizontal="right"/>
    </xf>
    <xf numFmtId="0" fontId="1" fillId="5" borderId="0" xfId="2" applyFill="1" applyProtection="1"/>
    <xf numFmtId="0" fontId="4" fillId="5" borderId="0" xfId="3" applyFont="1" applyFill="1" applyBorder="1" applyAlignment="1" applyProtection="1"/>
    <xf numFmtId="0" fontId="3" fillId="5" borderId="0" xfId="1" applyFont="1" applyFill="1" applyBorder="1" applyAlignment="1" applyProtection="1"/>
    <xf numFmtId="0" fontId="4" fillId="5" borderId="0" xfId="1" applyFont="1" applyFill="1" applyBorder="1" applyAlignment="1" applyProtection="1">
      <alignment wrapText="1"/>
    </xf>
    <xf numFmtId="0" fontId="12" fillId="5" borderId="0" xfId="0" applyFont="1" applyFill="1" applyProtection="1"/>
    <xf numFmtId="0" fontId="13" fillId="2" borderId="4" xfId="0" quotePrefix="1" applyFont="1" applyFill="1" applyBorder="1" applyAlignment="1" applyProtection="1">
      <alignment horizontal="center" vertical="center" wrapText="1"/>
    </xf>
    <xf numFmtId="0" fontId="0" fillId="2" borderId="4" xfId="0" applyFill="1" applyBorder="1" applyAlignment="1" applyProtection="1">
      <alignment horizontal="center" wrapText="1"/>
    </xf>
    <xf numFmtId="0" fontId="0" fillId="2" borderId="0" xfId="0" applyFill="1" applyBorder="1" applyAlignment="1" applyProtection="1">
      <alignment horizontal="left" wrapText="1"/>
    </xf>
    <xf numFmtId="0" fontId="0" fillId="2" borderId="5" xfId="0" applyFill="1" applyBorder="1" applyAlignment="1" applyProtection="1">
      <alignment horizontal="center" wrapText="1"/>
    </xf>
    <xf numFmtId="0" fontId="0" fillId="2" borderId="4" xfId="0" applyFill="1" applyBorder="1" applyAlignment="1" applyProtection="1">
      <alignment horizontal="right" vertical="top" wrapText="1"/>
    </xf>
    <xf numFmtId="0" fontId="2" fillId="2" borderId="0" xfId="0" applyFont="1" applyFill="1" applyBorder="1" applyAlignment="1" applyProtection="1">
      <alignment vertical="center"/>
    </xf>
    <xf numFmtId="0" fontId="5" fillId="2" borderId="6" xfId="0" applyFont="1" applyFill="1" applyBorder="1" applyAlignment="1" applyProtection="1">
      <alignment horizontal="left" vertical="center" wrapText="1"/>
      <protection locked="0"/>
    </xf>
    <xf numFmtId="172" fontId="4" fillId="5" borderId="0" xfId="1" applyNumberFormat="1" applyFont="1" applyFill="1" applyBorder="1" applyAlignment="1" applyProtection="1"/>
    <xf numFmtId="167" fontId="4" fillId="5" borderId="0" xfId="1" applyNumberFormat="1" applyFont="1" applyFill="1" applyBorder="1" applyAlignment="1" applyProtection="1"/>
    <xf numFmtId="0" fontId="14" fillId="5" borderId="0" xfId="6" applyFill="1" applyBorder="1" applyAlignment="1" applyProtection="1"/>
    <xf numFmtId="0" fontId="3" fillId="5" borderId="0" xfId="1" applyFont="1" applyFill="1" applyBorder="1" applyAlignment="1" applyProtection="1">
      <protection locked="0"/>
    </xf>
    <xf numFmtId="0" fontId="4" fillId="5" borderId="0" xfId="1" applyFont="1" applyFill="1" applyBorder="1" applyAlignment="1" applyProtection="1">
      <alignment wrapText="1"/>
      <protection locked="0"/>
    </xf>
    <xf numFmtId="0" fontId="20" fillId="5" borderId="12" xfId="0" applyFont="1" applyFill="1" applyBorder="1" applyAlignment="1" applyProtection="1">
      <alignment vertical="center"/>
    </xf>
    <xf numFmtId="0" fontId="20" fillId="5" borderId="13" xfId="0" applyFont="1" applyFill="1" applyBorder="1" applyAlignment="1" applyProtection="1">
      <alignment vertical="center"/>
    </xf>
    <xf numFmtId="0" fontId="0" fillId="0" borderId="0" xfId="0" applyFill="1"/>
    <xf numFmtId="0" fontId="5" fillId="5" borderId="0" xfId="1" applyFont="1" applyFill="1" applyBorder="1" applyAlignment="1"/>
    <xf numFmtId="0" fontId="2" fillId="2" borderId="0" xfId="1" applyNumberFormat="1" applyFont="1" applyFill="1" applyBorder="1" applyAlignment="1" applyProtection="1">
      <alignment horizontal="left"/>
      <protection locked="0"/>
    </xf>
    <xf numFmtId="0" fontId="2" fillId="5" borderId="0" xfId="1" applyFont="1" applyFill="1" applyBorder="1" applyAlignment="1" applyProtection="1"/>
    <xf numFmtId="0" fontId="5" fillId="2" borderId="0" xfId="1" applyNumberFormat="1" applyFont="1" applyFill="1" applyBorder="1" applyAlignment="1" applyProtection="1">
      <alignment horizontal="left"/>
      <protection locked="0"/>
    </xf>
    <xf numFmtId="0" fontId="2" fillId="5" borderId="8" xfId="1" applyFont="1" applyFill="1" applyBorder="1" applyAlignment="1" applyProtection="1"/>
    <xf numFmtId="0" fontId="2" fillId="5" borderId="14" xfId="1" applyFont="1" applyFill="1" applyBorder="1" applyAlignment="1" applyProtection="1"/>
    <xf numFmtId="0" fontId="5" fillId="2" borderId="8" xfId="1" applyNumberFormat="1" applyFont="1" applyFill="1" applyBorder="1" applyAlignment="1" applyProtection="1">
      <alignment horizontal="left"/>
      <protection locked="0"/>
    </xf>
    <xf numFmtId="0" fontId="2" fillId="2" borderId="8" xfId="1" applyNumberFormat="1" applyFont="1" applyFill="1" applyBorder="1" applyAlignment="1" applyProtection="1">
      <alignment horizontal="left"/>
      <protection locked="0"/>
    </xf>
    <xf numFmtId="0" fontId="5" fillId="2" borderId="14" xfId="1" applyFont="1" applyFill="1" applyBorder="1" applyAlignment="1" applyProtection="1">
      <alignment horizontal="left"/>
    </xf>
    <xf numFmtId="0" fontId="2" fillId="2" borderId="14" xfId="1" applyFont="1" applyFill="1" applyBorder="1" applyAlignment="1" applyProtection="1">
      <alignment horizontal="left"/>
    </xf>
    <xf numFmtId="0" fontId="5" fillId="2" borderId="14" xfId="1" applyFont="1" applyFill="1" applyBorder="1" applyAlignment="1" applyProtection="1">
      <alignment horizontal="left" vertical="center"/>
    </xf>
    <xf numFmtId="0" fontId="2" fillId="2" borderId="14" xfId="1" applyFont="1" applyFill="1" applyBorder="1" applyAlignment="1" applyProtection="1">
      <alignment horizontal="left" vertical="center"/>
    </xf>
    <xf numFmtId="0" fontId="21" fillId="2" borderId="8" xfId="1" applyFont="1" applyFill="1" applyBorder="1" applyAlignment="1" applyProtection="1">
      <alignment horizontal="center" wrapText="1"/>
    </xf>
    <xf numFmtId="0" fontId="21" fillId="5" borderId="8" xfId="1" applyFont="1" applyFill="1" applyBorder="1" applyAlignment="1" applyProtection="1">
      <alignment horizontal="center" wrapText="1"/>
    </xf>
    <xf numFmtId="0" fontId="4" fillId="0" borderId="0" xfId="1" applyNumberFormat="1" applyFont="1" applyFill="1" applyBorder="1" applyAlignment="1" applyProtection="1">
      <alignment horizontal="center" wrapText="1"/>
    </xf>
    <xf numFmtId="0" fontId="7" fillId="6" borderId="0" xfId="0" applyFont="1" applyFill="1" applyBorder="1" applyAlignment="1" applyProtection="1">
      <alignment horizontal="left" indent="1"/>
    </xf>
    <xf numFmtId="0" fontId="7" fillId="6" borderId="5" xfId="0" applyFont="1" applyFill="1" applyBorder="1" applyAlignment="1" applyProtection="1">
      <alignment horizontal="left" indent="1"/>
    </xf>
    <xf numFmtId="0" fontId="22" fillId="6" borderId="0" xfId="0" applyFont="1" applyFill="1" applyBorder="1" applyAlignment="1" applyProtection="1">
      <alignment horizontal="left" indent="1"/>
    </xf>
    <xf numFmtId="173" fontId="8" fillId="4" borderId="6" xfId="0" applyNumberFormat="1" applyFont="1" applyFill="1" applyBorder="1" applyAlignment="1" applyProtection="1">
      <alignment horizontal="right" vertical="center"/>
    </xf>
    <xf numFmtId="0" fontId="5" fillId="2" borderId="0" xfId="0" applyFont="1" applyFill="1" applyBorder="1" applyAlignment="1" applyProtection="1">
      <alignment horizontal="right" vertical="center"/>
    </xf>
    <xf numFmtId="9" fontId="4" fillId="5" borderId="0" xfId="0" applyNumberFormat="1" applyFont="1" applyFill="1" applyBorder="1" applyAlignment="1" applyProtection="1"/>
    <xf numFmtId="0" fontId="14" fillId="0" borderId="0" xfId="6" applyAlignment="1" applyProtection="1"/>
    <xf numFmtId="171" fontId="4" fillId="2" borderId="6" xfId="4" applyNumberFormat="1" applyFont="1" applyFill="1" applyBorder="1" applyAlignment="1" applyProtection="1">
      <alignment horizontal="right"/>
      <protection locked="0"/>
    </xf>
    <xf numFmtId="43" fontId="4" fillId="3" borderId="6" xfId="4" applyFont="1" applyFill="1" applyBorder="1" applyAlignment="1" applyProtection="1">
      <alignment horizontal="right"/>
    </xf>
    <xf numFmtId="43" fontId="4" fillId="2" borderId="0" xfId="4" applyFont="1" applyFill="1" applyBorder="1" applyAlignment="1" applyProtection="1"/>
    <xf numFmtId="43" fontId="4" fillId="2" borderId="0" xfId="4" applyFont="1" applyFill="1" applyBorder="1" applyAlignment="1" applyProtection="1">
      <alignment horizontal="center"/>
    </xf>
    <xf numFmtId="43" fontId="4" fillId="3" borderId="6" xfId="4" applyFont="1" applyFill="1" applyBorder="1" applyAlignment="1" applyProtection="1"/>
    <xf numFmtId="171" fontId="4" fillId="2" borderId="0" xfId="4" applyNumberFormat="1" applyFont="1" applyFill="1" applyBorder="1" applyAlignment="1" applyProtection="1">
      <alignment horizontal="center"/>
    </xf>
    <xf numFmtId="171" fontId="4" fillId="2" borderId="0" xfId="4" applyNumberFormat="1" applyFont="1" applyFill="1" applyBorder="1" applyAlignment="1" applyProtection="1"/>
    <xf numFmtId="0" fontId="2" fillId="2" borderId="6" xfId="0" applyFont="1" applyFill="1" applyBorder="1" applyAlignment="1" applyProtection="1">
      <alignment vertical="center"/>
    </xf>
    <xf numFmtId="0" fontId="2" fillId="2" borderId="8" xfId="1" applyNumberFormat="1" applyFont="1" applyFill="1" applyBorder="1" applyAlignment="1" applyProtection="1">
      <alignment horizontal="center"/>
      <protection locked="0"/>
    </xf>
    <xf numFmtId="0" fontId="2" fillId="2" borderId="14" xfId="1" applyFont="1" applyFill="1" applyBorder="1" applyAlignment="1" applyProtection="1">
      <alignment horizontal="center"/>
    </xf>
    <xf numFmtId="0" fontId="2" fillId="2" borderId="14" xfId="1" applyFont="1" applyFill="1" applyBorder="1" applyAlignment="1" applyProtection="1">
      <alignment horizontal="center" vertical="center"/>
    </xf>
    <xf numFmtId="43" fontId="4" fillId="5" borderId="0" xfId="1" applyNumberFormat="1" applyFont="1" applyFill="1" applyBorder="1" applyAlignment="1" applyProtection="1"/>
    <xf numFmtId="0" fontId="17" fillId="7" borderId="15" xfId="0" applyFont="1" applyFill="1" applyBorder="1" applyAlignment="1">
      <alignment horizontal="right" vertical="top"/>
    </xf>
    <xf numFmtId="0" fontId="24" fillId="0" borderId="0" xfId="0" applyFont="1"/>
    <xf numFmtId="0" fontId="7" fillId="6" borderId="0" xfId="0" applyFont="1" applyFill="1" applyBorder="1" applyAlignment="1" applyProtection="1">
      <alignment horizontal="left"/>
    </xf>
    <xf numFmtId="0" fontId="4" fillId="2" borderId="0" xfId="0" applyFont="1" applyFill="1" applyBorder="1" applyAlignment="1" applyProtection="1">
      <alignment horizontal="center"/>
    </xf>
    <xf numFmtId="0" fontId="0" fillId="0" borderId="6" xfId="0" applyBorder="1"/>
    <xf numFmtId="9" fontId="0" fillId="0" borderId="6" xfId="0" applyNumberFormat="1" applyBorder="1"/>
    <xf numFmtId="0" fontId="24" fillId="0" borderId="17" xfId="0" applyFont="1" applyBorder="1"/>
    <xf numFmtId="0" fontId="24" fillId="0" borderId="6" xfId="0" applyFont="1" applyBorder="1"/>
    <xf numFmtId="0" fontId="0" fillId="0" borderId="17" xfId="0" applyBorder="1"/>
    <xf numFmtId="0" fontId="17" fillId="7" borderId="16" xfId="0" applyFont="1" applyFill="1" applyBorder="1" applyAlignment="1">
      <alignment horizontal="right" vertical="top"/>
    </xf>
    <xf numFmtId="0" fontId="6" fillId="2" borderId="0" xfId="0" applyFont="1" applyFill="1" applyBorder="1" applyAlignment="1" applyProtection="1">
      <alignment horizontal="center" vertical="center"/>
    </xf>
    <xf numFmtId="0" fontId="6" fillId="2" borderId="0" xfId="0" applyFont="1" applyFill="1" applyBorder="1" applyAlignment="1" applyProtection="1">
      <alignment vertical="center"/>
    </xf>
    <xf numFmtId="0" fontId="6" fillId="2" borderId="0" xfId="0" applyFont="1" applyFill="1" applyBorder="1" applyAlignment="1" applyProtection="1">
      <alignment horizontal="right" vertical="center"/>
    </xf>
    <xf numFmtId="0" fontId="24" fillId="0" borderId="6" xfId="0" applyFont="1" applyBorder="1" applyAlignment="1">
      <alignment horizontal="right"/>
    </xf>
    <xf numFmtId="9" fontId="0" fillId="0" borderId="0" xfId="5" applyFont="1"/>
    <xf numFmtId="0" fontId="24" fillId="0" borderId="0" xfId="0" applyFont="1" applyFill="1" applyBorder="1" applyAlignment="1">
      <alignment horizontal="right"/>
    </xf>
    <xf numFmtId="0" fontId="24" fillId="0" borderId="0" xfId="0" applyFont="1" applyAlignment="1">
      <alignment horizontal="right"/>
    </xf>
    <xf numFmtId="171" fontId="0" fillId="0" borderId="0" xfId="4" applyNumberFormat="1" applyFont="1"/>
    <xf numFmtId="0" fontId="20" fillId="5" borderId="0" xfId="0" applyFont="1" applyFill="1" applyBorder="1" applyAlignment="1" applyProtection="1">
      <alignment vertical="center"/>
    </xf>
    <xf numFmtId="0" fontId="8" fillId="2" borderId="0" xfId="0" applyFont="1" applyFill="1" applyBorder="1" applyAlignment="1" applyProtection="1">
      <alignment horizontal="left" vertical="center"/>
    </xf>
    <xf numFmtId="168" fontId="27" fillId="4" borderId="6" xfId="0" applyNumberFormat="1" applyFont="1" applyFill="1" applyBorder="1" applyAlignment="1" applyProtection="1">
      <alignment horizontal="center" vertical="center"/>
    </xf>
    <xf numFmtId="173" fontId="27" fillId="4" borderId="6" xfId="0" applyNumberFormat="1" applyFont="1" applyFill="1" applyBorder="1" applyAlignment="1" applyProtection="1">
      <alignment horizontal="center" vertical="center"/>
    </xf>
    <xf numFmtId="174" fontId="27" fillId="4" borderId="6" xfId="0" applyNumberFormat="1" applyFont="1" applyFill="1" applyBorder="1" applyAlignment="1" applyProtection="1">
      <alignment horizontal="center" vertical="center"/>
    </xf>
    <xf numFmtId="0" fontId="13" fillId="2" borderId="4" xfId="0" quotePrefix="1" applyFont="1" applyFill="1" applyBorder="1" applyAlignment="1" applyProtection="1">
      <alignment horizontal="center" vertical="top" wrapText="1"/>
    </xf>
    <xf numFmtId="0" fontId="2" fillId="0" borderId="0" xfId="0" applyFont="1" applyAlignment="1" applyProtection="1">
      <alignment vertical="top"/>
    </xf>
    <xf numFmtId="0" fontId="14" fillId="5" borderId="0" xfId="6" applyFill="1" applyAlignment="1" applyProtection="1">
      <alignment vertical="top"/>
    </xf>
    <xf numFmtId="0" fontId="8" fillId="2" borderId="0" xfId="0" applyFont="1" applyFill="1" applyBorder="1" applyAlignment="1" applyProtection="1">
      <alignment horizontal="left" vertical="top" wrapText="1"/>
    </xf>
    <xf numFmtId="0" fontId="14" fillId="5" borderId="0" xfId="6" applyFill="1" applyBorder="1" applyAlignment="1" applyProtection="1">
      <alignment vertical="top"/>
    </xf>
    <xf numFmtId="0" fontId="8" fillId="2" borderId="0" xfId="0" applyFont="1" applyFill="1" applyBorder="1" applyAlignment="1" applyProtection="1">
      <alignment horizontal="left" vertical="center" wrapText="1"/>
    </xf>
    <xf numFmtId="0" fontId="8" fillId="2" borderId="0" xfId="0" applyFont="1" applyFill="1" applyBorder="1" applyAlignment="1" applyProtection="1">
      <alignment horizontal="left" vertical="top" wrapText="1"/>
    </xf>
    <xf numFmtId="0" fontId="11" fillId="8" borderId="1" xfId="0" applyFont="1" applyFill="1" applyBorder="1" applyAlignment="1" applyProtection="1">
      <alignment horizontal="center" vertical="center" wrapText="1"/>
    </xf>
    <xf numFmtId="0" fontId="12" fillId="8" borderId="2" xfId="0" applyFont="1" applyFill="1" applyBorder="1" applyAlignment="1" applyProtection="1">
      <alignment horizontal="center" vertical="center" wrapText="1"/>
    </xf>
    <xf numFmtId="0" fontId="12" fillId="8" borderId="3" xfId="0" applyFont="1" applyFill="1" applyBorder="1" applyAlignment="1" applyProtection="1">
      <alignment horizontal="center" vertical="center" wrapText="1"/>
    </xf>
    <xf numFmtId="0" fontId="4" fillId="5" borderId="0" xfId="0" applyFont="1" applyFill="1" applyBorder="1" applyAlignment="1" applyProtection="1">
      <alignment horizontal="left" wrapText="1"/>
    </xf>
    <xf numFmtId="0" fontId="0" fillId="0" borderId="18" xfId="0" applyBorder="1" applyAlignment="1">
      <alignment horizontal="left"/>
    </xf>
    <xf numFmtId="0" fontId="0" fillId="0" borderId="19" xfId="0" applyBorder="1" applyAlignment="1">
      <alignment horizontal="left"/>
    </xf>
    <xf numFmtId="0" fontId="7" fillId="6" borderId="8" xfId="0" applyFont="1" applyFill="1" applyBorder="1" applyAlignment="1" applyProtection="1">
      <alignment horizontal="left"/>
    </xf>
    <xf numFmtId="0" fontId="8" fillId="2" borderId="14" xfId="0" applyFont="1" applyFill="1" applyBorder="1" applyAlignment="1" applyProtection="1">
      <alignment horizontal="left" vertical="center" wrapText="1"/>
    </xf>
    <xf numFmtId="0" fontId="21" fillId="2" borderId="0" xfId="1" applyFont="1" applyFill="1" applyBorder="1" applyAlignment="1" applyProtection="1">
      <alignment horizontal="center" wrapText="1"/>
    </xf>
  </cellXfs>
  <cellStyles count="7">
    <cellStyle name="Comma" xfId="4" builtinId="3"/>
    <cellStyle name="Hyperlink" xfId="6" builtinId="8"/>
    <cellStyle name="Normal" xfId="0" builtinId="0"/>
    <cellStyle name="Normal 2" xfId="1" xr:uid="{00000000-0005-0000-0000-000003000000}"/>
    <cellStyle name="Normal 2 2" xfId="3" xr:uid="{00000000-0005-0000-0000-000004000000}"/>
    <cellStyle name="Normal 3" xfId="2" xr:uid="{00000000-0005-0000-0000-000005000000}"/>
    <cellStyle name="Percent" xfId="5" builtinId="5"/>
  </cellStyles>
  <dxfs count="0"/>
  <tableStyles count="0" defaultTableStyle="TableStyleMedium2" defaultPivotStyle="PivotStyleLight16"/>
  <colors>
    <mruColors>
      <color rgb="FF0099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Configuration!$E$14" lockText="1" noThreeD="1"/>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0</xdr:colOff>
      <xdr:row>4</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180975" y="2667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E</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E2003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baseline emissions intensity for electricity generation and I</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intensity metric for electricity generation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4</xdr:row>
      <xdr:rowOff>0</xdr:rowOff>
    </xdr:from>
    <xdr:to>
      <xdr:col>1</xdr:col>
      <xdr:colOff>0</xdr:colOff>
      <xdr:row>4</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180975" y="2667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H</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H2003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baseline emissions intensity for heat production and I</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intensity metric for heat production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4</xdr:row>
      <xdr:rowOff>0</xdr:rowOff>
    </xdr:from>
    <xdr:to>
      <xdr:col>1</xdr:col>
      <xdr:colOff>0</xdr:colOff>
      <xdr:row>4</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bwMode="auto">
        <a:xfrm>
          <a:off x="180975" y="2667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E</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E2003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baseline emissions intensity for electricity generation and I</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intensity metric for electricity generation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4</xdr:row>
      <xdr:rowOff>0</xdr:rowOff>
    </xdr:from>
    <xdr:to>
      <xdr:col>1</xdr:col>
      <xdr:colOff>0</xdr:colOff>
      <xdr:row>4</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a:spLocks noChangeArrowheads="1"/>
        </xdr:cNvSpPr>
      </xdr:nvSpPr>
      <xdr:spPr bwMode="auto">
        <a:xfrm>
          <a:off x="180975" y="2667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H</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H2003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baseline emissions intensity for heat production and I</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intensity metric for heat production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4</xdr:row>
      <xdr:rowOff>0</xdr:rowOff>
    </xdr:from>
    <xdr:to>
      <xdr:col>1</xdr:col>
      <xdr:colOff>0</xdr:colOff>
      <xdr:row>4</xdr:row>
      <xdr:rowOff>0</xdr:rowOff>
    </xdr:to>
    <xdr:sp macro="" textlink="">
      <xdr:nvSpPr>
        <xdr:cNvPr id="8" name="Text Box 15">
          <a:extLst>
            <a:ext uri="{FF2B5EF4-FFF2-40B4-BE49-F238E27FC236}">
              <a16:creationId xmlns:a16="http://schemas.microsoft.com/office/drawing/2014/main" id="{00000000-0008-0000-0100-000008000000}"/>
            </a:ext>
          </a:extLst>
        </xdr:cNvPr>
        <xdr:cNvSpPr txBox="1">
          <a:spLocks noChangeArrowheads="1"/>
        </xdr:cNvSpPr>
      </xdr:nvSpPr>
      <xdr:spPr bwMode="auto">
        <a:xfrm>
          <a:off x="180975" y="2667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E</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E2003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baseline emissions intensity for electricity generation and I</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intensity metric for electricity generation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4</xdr:row>
      <xdr:rowOff>0</xdr:rowOff>
    </xdr:from>
    <xdr:to>
      <xdr:col>1</xdr:col>
      <xdr:colOff>0</xdr:colOff>
      <xdr:row>4</xdr:row>
      <xdr:rowOff>0</xdr:rowOff>
    </xdr:to>
    <xdr:sp macro="" textlink="">
      <xdr:nvSpPr>
        <xdr:cNvPr id="9" name="Text Box 16">
          <a:extLst>
            <a:ext uri="{FF2B5EF4-FFF2-40B4-BE49-F238E27FC236}">
              <a16:creationId xmlns:a16="http://schemas.microsoft.com/office/drawing/2014/main" id="{00000000-0008-0000-0100-000009000000}"/>
            </a:ext>
          </a:extLst>
        </xdr:cNvPr>
        <xdr:cNvSpPr txBox="1">
          <a:spLocks noChangeArrowheads="1"/>
        </xdr:cNvSpPr>
      </xdr:nvSpPr>
      <xdr:spPr bwMode="auto">
        <a:xfrm>
          <a:off x="180975" y="2667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H</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H2003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baseline emissions intensity for heat production and I</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intensity metric for heat production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8</xdr:row>
          <xdr:rowOff>123825</xdr:rowOff>
        </xdr:from>
        <xdr:to>
          <xdr:col>1</xdr:col>
          <xdr:colOff>2857500</xdr:colOff>
          <xdr:row>10</xdr:row>
          <xdr:rowOff>28575</xdr:rowOff>
        </xdr:to>
        <xdr:sp macro="" textlink="">
          <xdr:nvSpPr>
            <xdr:cNvPr id="8255" name="Check Box 63" descr="Refining or Upgrader sector using AB-CWB product" hidden="1">
              <a:extLst>
                <a:ext uri="{63B3BB69-23CF-44E3-9099-C40C66FF867C}">
                  <a14:compatExt spid="_x0000_s8255"/>
                </a:ext>
                <a:ext uri="{FF2B5EF4-FFF2-40B4-BE49-F238E27FC236}">
                  <a16:creationId xmlns:a16="http://schemas.microsoft.com/office/drawing/2014/main" id="{00000000-0008-0000-01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Refining or Upgrader sector using AB-CWB product</a:t>
              </a:r>
            </a:p>
          </xdr:txBody>
        </xdr:sp>
        <xdr:clientData fLocksWithSheet="0"/>
      </xdr:twoCellAnchor>
    </mc:Choice>
    <mc:Fallback/>
  </mc:AlternateContent>
  <xdr:oneCellAnchor>
    <xdr:from>
      <xdr:col>2</xdr:col>
      <xdr:colOff>76200</xdr:colOff>
      <xdr:row>11</xdr:row>
      <xdr:rowOff>0</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962275" y="495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2</xdr:col>
      <xdr:colOff>76200</xdr:colOff>
      <xdr:row>10</xdr:row>
      <xdr:rowOff>0</xdr:rowOff>
    </xdr:from>
    <xdr:ext cx="184731" cy="264560"/>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2962275" y="107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2</xdr:col>
      <xdr:colOff>76200</xdr:colOff>
      <xdr:row>7</xdr:row>
      <xdr:rowOff>0</xdr:rowOff>
    </xdr:from>
    <xdr:ext cx="184731" cy="264560"/>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3543300" y="129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2</xdr:col>
      <xdr:colOff>76200</xdr:colOff>
      <xdr:row>6</xdr:row>
      <xdr:rowOff>0</xdr:rowOff>
    </xdr:from>
    <xdr:ext cx="184731" cy="264560"/>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3543300" y="1152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2</xdr:col>
      <xdr:colOff>76200</xdr:colOff>
      <xdr:row>8</xdr:row>
      <xdr:rowOff>0</xdr:rowOff>
    </xdr:from>
    <xdr:ext cx="184731" cy="264560"/>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3543300" y="131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50</xdr:row>
      <xdr:rowOff>0</xdr:rowOff>
    </xdr:from>
    <xdr:to>
      <xdr:col>1</xdr:col>
      <xdr:colOff>0</xdr:colOff>
      <xdr:row>50</xdr:row>
      <xdr:rowOff>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180975" y="725805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E</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E2003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baseline emissions intensity for electricity generation and I</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intensity metric for electricity generation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50</xdr:row>
      <xdr:rowOff>0</xdr:rowOff>
    </xdr:from>
    <xdr:to>
      <xdr:col>1</xdr:col>
      <xdr:colOff>0</xdr:colOff>
      <xdr:row>50</xdr:row>
      <xdr:rowOff>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180975" y="725805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H</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H2003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baseline emissions intensity for heat production and I</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intensity metric for heat production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4</xdr:row>
      <xdr:rowOff>0</xdr:rowOff>
    </xdr:from>
    <xdr:to>
      <xdr:col>1</xdr:col>
      <xdr:colOff>0</xdr:colOff>
      <xdr:row>4</xdr:row>
      <xdr:rowOff>0</xdr:rowOff>
    </xdr:to>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180975" y="2667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E</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E2003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baseline emissions intensity for electricity generation and I</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intensity metric for electricity generation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4</xdr:row>
      <xdr:rowOff>0</xdr:rowOff>
    </xdr:from>
    <xdr:to>
      <xdr:col>1</xdr:col>
      <xdr:colOff>0</xdr:colOff>
      <xdr:row>4</xdr:row>
      <xdr:rowOff>0</xdr:rowOff>
    </xdr:to>
    <xdr:sp macro="" textlink="">
      <xdr:nvSpPr>
        <xdr:cNvPr id="5" name="Text Box 4">
          <a:extLst>
            <a:ext uri="{FF2B5EF4-FFF2-40B4-BE49-F238E27FC236}">
              <a16:creationId xmlns:a16="http://schemas.microsoft.com/office/drawing/2014/main" id="{00000000-0008-0000-0200-000005000000}"/>
            </a:ext>
          </a:extLst>
        </xdr:cNvPr>
        <xdr:cNvSpPr txBox="1">
          <a:spLocks noChangeArrowheads="1"/>
        </xdr:cNvSpPr>
      </xdr:nvSpPr>
      <xdr:spPr bwMode="auto">
        <a:xfrm>
          <a:off x="180975" y="2667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H</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H2003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baseline emissions intensity for heat production and I</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intensity metric for heat production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4</xdr:row>
      <xdr:rowOff>0</xdr:rowOff>
    </xdr:from>
    <xdr:to>
      <xdr:col>1</xdr:col>
      <xdr:colOff>0</xdr:colOff>
      <xdr:row>4</xdr:row>
      <xdr:rowOff>0</xdr:rowOff>
    </xdr:to>
    <xdr:sp macro="" textlink="">
      <xdr:nvSpPr>
        <xdr:cNvPr id="6" name="Text Box 5">
          <a:extLst>
            <a:ext uri="{FF2B5EF4-FFF2-40B4-BE49-F238E27FC236}">
              <a16:creationId xmlns:a16="http://schemas.microsoft.com/office/drawing/2014/main" id="{00000000-0008-0000-0200-000006000000}"/>
            </a:ext>
          </a:extLst>
        </xdr:cNvPr>
        <xdr:cNvSpPr txBox="1">
          <a:spLocks noChangeArrowheads="1"/>
        </xdr:cNvSpPr>
      </xdr:nvSpPr>
      <xdr:spPr bwMode="auto">
        <a:xfrm>
          <a:off x="180975" y="2667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E</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E2003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baseline emissions intensity for electricity generation and I</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intensity metric for electricity generation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4</xdr:row>
      <xdr:rowOff>0</xdr:rowOff>
    </xdr:from>
    <xdr:to>
      <xdr:col>1</xdr:col>
      <xdr:colOff>0</xdr:colOff>
      <xdr:row>4</xdr:row>
      <xdr:rowOff>0</xdr:rowOff>
    </xdr:to>
    <xdr:sp macro="" textlink="">
      <xdr:nvSpPr>
        <xdr:cNvPr id="7" name="Text Box 6">
          <a:extLst>
            <a:ext uri="{FF2B5EF4-FFF2-40B4-BE49-F238E27FC236}">
              <a16:creationId xmlns:a16="http://schemas.microsoft.com/office/drawing/2014/main" id="{00000000-0008-0000-0200-000007000000}"/>
            </a:ext>
          </a:extLst>
        </xdr:cNvPr>
        <xdr:cNvSpPr txBox="1">
          <a:spLocks noChangeArrowheads="1"/>
        </xdr:cNvSpPr>
      </xdr:nvSpPr>
      <xdr:spPr bwMode="auto">
        <a:xfrm>
          <a:off x="180975" y="2667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H</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H2003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baseline emissions intensity for heat production and I</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intensity metric for heat production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4</xdr:row>
      <xdr:rowOff>0</xdr:rowOff>
    </xdr:from>
    <xdr:to>
      <xdr:col>1</xdr:col>
      <xdr:colOff>0</xdr:colOff>
      <xdr:row>4</xdr:row>
      <xdr:rowOff>0</xdr:rowOff>
    </xdr:to>
    <xdr:sp macro="" textlink="">
      <xdr:nvSpPr>
        <xdr:cNvPr id="8" name="Text Box 15">
          <a:extLst>
            <a:ext uri="{FF2B5EF4-FFF2-40B4-BE49-F238E27FC236}">
              <a16:creationId xmlns:a16="http://schemas.microsoft.com/office/drawing/2014/main" id="{00000000-0008-0000-0200-000008000000}"/>
            </a:ext>
          </a:extLst>
        </xdr:cNvPr>
        <xdr:cNvSpPr txBox="1">
          <a:spLocks noChangeArrowheads="1"/>
        </xdr:cNvSpPr>
      </xdr:nvSpPr>
      <xdr:spPr bwMode="auto">
        <a:xfrm>
          <a:off x="180975" y="2667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E</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E2003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baseline emissions intensity for electricity generation and I</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intensity metric for electricity generation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4</xdr:row>
      <xdr:rowOff>0</xdr:rowOff>
    </xdr:from>
    <xdr:to>
      <xdr:col>1</xdr:col>
      <xdr:colOff>0</xdr:colOff>
      <xdr:row>4</xdr:row>
      <xdr:rowOff>0</xdr:rowOff>
    </xdr:to>
    <xdr:sp macro="" textlink="">
      <xdr:nvSpPr>
        <xdr:cNvPr id="9" name="Text Box 16">
          <a:extLst>
            <a:ext uri="{FF2B5EF4-FFF2-40B4-BE49-F238E27FC236}">
              <a16:creationId xmlns:a16="http://schemas.microsoft.com/office/drawing/2014/main" id="{00000000-0008-0000-0200-000009000000}"/>
            </a:ext>
          </a:extLst>
        </xdr:cNvPr>
        <xdr:cNvSpPr txBox="1">
          <a:spLocks noChangeArrowheads="1"/>
        </xdr:cNvSpPr>
      </xdr:nvSpPr>
      <xdr:spPr bwMode="auto">
        <a:xfrm>
          <a:off x="180975" y="26670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H</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H2003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baseline emissions intensity for heat production and I</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intensity metric for heat production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8</xdr:row>
      <xdr:rowOff>0</xdr:rowOff>
    </xdr:from>
    <xdr:to>
      <xdr:col>1</xdr:col>
      <xdr:colOff>0</xdr:colOff>
      <xdr:row>8</xdr:row>
      <xdr:rowOff>0</xdr:rowOff>
    </xdr:to>
    <xdr:sp macro="" textlink="">
      <xdr:nvSpPr>
        <xdr:cNvPr id="2" name="Text Box 33">
          <a:extLst>
            <a:ext uri="{FF2B5EF4-FFF2-40B4-BE49-F238E27FC236}">
              <a16:creationId xmlns:a16="http://schemas.microsoft.com/office/drawing/2014/main" id="{00000000-0008-0000-0300-000002000000}"/>
            </a:ext>
          </a:extLst>
        </xdr:cNvPr>
        <xdr:cNvSpPr txBox="1">
          <a:spLocks noChangeArrowheads="1"/>
        </xdr:cNvSpPr>
      </xdr:nvSpPr>
      <xdr:spPr bwMode="auto">
        <a:xfrm>
          <a:off x="1133475" y="81915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E</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E2003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baseline emissions intensity for electricity generation and I</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intensity metric for electricity generation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8</xdr:row>
      <xdr:rowOff>0</xdr:rowOff>
    </xdr:from>
    <xdr:to>
      <xdr:col>1</xdr:col>
      <xdr:colOff>0</xdr:colOff>
      <xdr:row>8</xdr:row>
      <xdr:rowOff>0</xdr:rowOff>
    </xdr:to>
    <xdr:sp macro="" textlink="">
      <xdr:nvSpPr>
        <xdr:cNvPr id="3" name="Text Box 34">
          <a:extLst>
            <a:ext uri="{FF2B5EF4-FFF2-40B4-BE49-F238E27FC236}">
              <a16:creationId xmlns:a16="http://schemas.microsoft.com/office/drawing/2014/main" id="{00000000-0008-0000-0300-000003000000}"/>
            </a:ext>
          </a:extLst>
        </xdr:cNvPr>
        <xdr:cNvSpPr txBox="1">
          <a:spLocks noChangeArrowheads="1"/>
        </xdr:cNvSpPr>
      </xdr:nvSpPr>
      <xdr:spPr bwMode="auto">
        <a:xfrm>
          <a:off x="1133475" y="81915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H</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H2003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baseline emissions intensity for heat production and I</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intensity metric for heat production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0</xdr:rowOff>
    </xdr:from>
    <xdr:to>
      <xdr:col>1</xdr:col>
      <xdr:colOff>0</xdr:colOff>
      <xdr:row>3</xdr:row>
      <xdr:rowOff>0</xdr:rowOff>
    </xdr:to>
    <xdr:sp macro="" textlink="">
      <xdr:nvSpPr>
        <xdr:cNvPr id="2" name="Text Box 33">
          <a:extLst>
            <a:ext uri="{FF2B5EF4-FFF2-40B4-BE49-F238E27FC236}">
              <a16:creationId xmlns:a16="http://schemas.microsoft.com/office/drawing/2014/main" id="{00000000-0008-0000-0500-000002000000}"/>
            </a:ext>
          </a:extLst>
        </xdr:cNvPr>
        <xdr:cNvSpPr txBox="1">
          <a:spLocks noChangeArrowheads="1"/>
        </xdr:cNvSpPr>
      </xdr:nvSpPr>
      <xdr:spPr bwMode="auto">
        <a:xfrm>
          <a:off x="190500" y="97155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E</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E2003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E2005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baseline emissions intensity for electricity generation and I</a:t>
          </a:r>
          <a:r>
            <a:rPr lang="en-CA" sz="600" b="0" i="0" u="none" strike="noStrike" baseline="0">
              <a:solidFill>
                <a:srgbClr val="000000"/>
              </a:solidFill>
              <a:latin typeface="Arial"/>
              <a:cs typeface="Arial"/>
            </a:rPr>
            <a:t>E</a:t>
          </a:r>
          <a:r>
            <a:rPr lang="en-CA" sz="1000" b="0" i="0" u="none" strike="noStrike" baseline="0">
              <a:solidFill>
                <a:srgbClr val="000000"/>
              </a:solidFill>
              <a:latin typeface="Arial"/>
              <a:cs typeface="Arial"/>
            </a:rPr>
            <a:t> is the intensity metric for electricity generation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twoCellAnchor>
    <xdr:from>
      <xdr:col>1</xdr:col>
      <xdr:colOff>0</xdr:colOff>
      <xdr:row>3</xdr:row>
      <xdr:rowOff>0</xdr:rowOff>
    </xdr:from>
    <xdr:to>
      <xdr:col>1</xdr:col>
      <xdr:colOff>0</xdr:colOff>
      <xdr:row>3</xdr:row>
      <xdr:rowOff>0</xdr:rowOff>
    </xdr:to>
    <xdr:sp macro="" textlink="">
      <xdr:nvSpPr>
        <xdr:cNvPr id="3" name="Text Box 34">
          <a:extLst>
            <a:ext uri="{FF2B5EF4-FFF2-40B4-BE49-F238E27FC236}">
              <a16:creationId xmlns:a16="http://schemas.microsoft.com/office/drawing/2014/main" id="{00000000-0008-0000-0500-000003000000}"/>
            </a:ext>
          </a:extLst>
        </xdr:cNvPr>
        <xdr:cNvSpPr txBox="1">
          <a:spLocks noChangeArrowheads="1"/>
        </xdr:cNvSpPr>
      </xdr:nvSpPr>
      <xdr:spPr bwMode="auto">
        <a:xfrm>
          <a:off x="190500" y="97155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Formula: </a:t>
          </a:r>
          <a:endParaRPr lang="en-CA" sz="1000" b="0" i="0" u="none" strike="noStrike" baseline="0">
            <a:solidFill>
              <a:srgbClr val="000000"/>
            </a:solidFill>
            <a:latin typeface="Arial"/>
            <a:cs typeface="Arial"/>
          </a:endParaRP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B</a:t>
          </a:r>
          <a:r>
            <a:rPr lang="en-CA" sz="1000" b="0" i="0" u="none" strike="noStrike" baseline="-25000">
              <a:solidFill>
                <a:srgbClr val="000000"/>
              </a:solidFill>
              <a:latin typeface="Arial"/>
              <a:cs typeface="Arial"/>
            </a:rPr>
            <a:t>H</a:t>
          </a:r>
          <a:r>
            <a:rPr lang="en-CA" sz="1000" b="0" i="0" u="none" strike="noStrike" baseline="0">
              <a:solidFill>
                <a:srgbClr val="000000"/>
              </a:solidFill>
              <a:latin typeface="Arial"/>
              <a:cs typeface="Arial"/>
            </a:rPr>
            <a:t> = [</a:t>
          </a:r>
          <a:r>
            <a:rPr lang="en-CA" sz="1000" b="0" i="0" u="sng" strike="noStrike" baseline="0">
              <a:solidFill>
                <a:srgbClr val="000000"/>
              </a:solidFill>
              <a:latin typeface="Arial"/>
              <a:cs typeface="Arial"/>
            </a:rPr>
            <a:t>I</a:t>
          </a:r>
          <a:r>
            <a:rPr lang="en-CA" sz="600" b="0" i="0" u="sng" strike="noStrike" baseline="0">
              <a:solidFill>
                <a:srgbClr val="000000"/>
              </a:solidFill>
              <a:latin typeface="Arial"/>
              <a:cs typeface="Arial"/>
            </a:rPr>
            <a:t>H2003</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H2004</a:t>
          </a:r>
          <a:r>
            <a:rPr lang="en-CA" sz="1000" b="0" i="0" u="sng" strike="noStrike" baseline="0">
              <a:solidFill>
                <a:srgbClr val="000000"/>
              </a:solidFill>
              <a:latin typeface="Arial"/>
              <a:cs typeface="Arial"/>
            </a:rPr>
            <a:t>  +  I</a:t>
          </a:r>
          <a:r>
            <a:rPr lang="en-CA" sz="600" b="0" i="0" u="sng" strike="noStrike" baseline="0">
              <a:solidFill>
                <a:srgbClr val="000000"/>
              </a:solidFill>
              <a:latin typeface="Arial"/>
              <a:cs typeface="Arial"/>
            </a:rPr>
            <a:t>H2005</a:t>
          </a:r>
          <a:r>
            <a:rPr lang="en-CA" sz="1000" b="0" i="0" u="none" strike="noStrike" baseline="0">
              <a:solidFill>
                <a:srgbClr val="000000"/>
              </a:solidFill>
              <a:latin typeface="Arial"/>
              <a:cs typeface="Arial"/>
            </a:rPr>
            <a:t>] </a:t>
          </a:r>
        </a:p>
        <a:p>
          <a:pPr algn="l" rtl="0">
            <a:defRPr sz="1000"/>
          </a:pPr>
          <a:r>
            <a:rPr lang="en-CA" sz="1000" b="0" i="0" u="none" strike="noStrike" baseline="0">
              <a:solidFill>
                <a:srgbClr val="000000"/>
              </a:solidFill>
              <a:latin typeface="Arial"/>
              <a:cs typeface="Arial"/>
            </a:rPr>
            <a:t>                       3</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where B</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baseline emissions intensity for heat production and I</a:t>
          </a:r>
          <a:r>
            <a:rPr lang="en-CA" sz="600" b="0" i="0" u="none" strike="noStrike" baseline="0">
              <a:solidFill>
                <a:srgbClr val="000000"/>
              </a:solidFill>
              <a:latin typeface="Arial"/>
              <a:cs typeface="Arial"/>
            </a:rPr>
            <a:t>H</a:t>
          </a:r>
          <a:r>
            <a:rPr lang="en-CA" sz="1000" b="0" i="0" u="none" strike="noStrike" baseline="0">
              <a:solidFill>
                <a:srgbClr val="000000"/>
              </a:solidFill>
              <a:latin typeface="Arial"/>
              <a:cs typeface="Arial"/>
            </a:rPr>
            <a:t> is the intensity metric for heat production in each baseline year. </a:t>
          </a:r>
        </a:p>
        <a:p>
          <a:pPr algn="l" rtl="0">
            <a:defRPr sz="1000"/>
          </a:pPr>
          <a:endParaRPr lang="en-CA"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alberta.ca/technology-innovation-and-emissions-reduction-regulation.aspx"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anada.ca/en/revenue-agency/services/forms-publications/publications/fcrates/fuel-charge-rates.htm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Q142"/>
  <sheetViews>
    <sheetView tabSelected="1" topLeftCell="A46" workbookViewId="0">
      <selection activeCell="M12" sqref="M12"/>
    </sheetView>
  </sheetViews>
  <sheetFormatPr defaultRowHeight="15" x14ac:dyDescent="0.25"/>
  <cols>
    <col min="1" max="1" width="2.7109375" style="38" customWidth="1"/>
    <col min="2" max="2" width="27" style="38" customWidth="1"/>
    <col min="3" max="3" width="70.28515625" style="38" customWidth="1"/>
    <col min="4" max="4" width="3.28515625" style="38" customWidth="1"/>
    <col min="5" max="43" width="9.28515625" style="82"/>
    <col min="44" max="257" width="9.28515625" style="38"/>
    <col min="258" max="258" width="2.7109375" style="38" customWidth="1"/>
    <col min="259" max="259" width="91.28515625" style="38" customWidth="1"/>
    <col min="260" max="260" width="2.7109375" style="38" customWidth="1"/>
    <col min="261" max="513" width="9.28515625" style="38"/>
    <col min="514" max="514" width="2.7109375" style="38" customWidth="1"/>
    <col min="515" max="515" width="91.28515625" style="38" customWidth="1"/>
    <col min="516" max="516" width="2.7109375" style="38" customWidth="1"/>
    <col min="517" max="769" width="9.28515625" style="38"/>
    <col min="770" max="770" width="2.7109375" style="38" customWidth="1"/>
    <col min="771" max="771" width="91.28515625" style="38" customWidth="1"/>
    <col min="772" max="772" width="2.7109375" style="38" customWidth="1"/>
    <col min="773" max="1025" width="9.28515625" style="38"/>
    <col min="1026" max="1026" width="2.7109375" style="38" customWidth="1"/>
    <col min="1027" max="1027" width="91.28515625" style="38" customWidth="1"/>
    <col min="1028" max="1028" width="2.7109375" style="38" customWidth="1"/>
    <col min="1029" max="1281" width="9.28515625" style="38"/>
    <col min="1282" max="1282" width="2.7109375" style="38" customWidth="1"/>
    <col min="1283" max="1283" width="91.28515625" style="38" customWidth="1"/>
    <col min="1284" max="1284" width="2.7109375" style="38" customWidth="1"/>
    <col min="1285" max="1537" width="9.28515625" style="38"/>
    <col min="1538" max="1538" width="2.7109375" style="38" customWidth="1"/>
    <col min="1539" max="1539" width="91.28515625" style="38" customWidth="1"/>
    <col min="1540" max="1540" width="2.7109375" style="38" customWidth="1"/>
    <col min="1541" max="1793" width="9.28515625" style="38"/>
    <col min="1794" max="1794" width="2.7109375" style="38" customWidth="1"/>
    <col min="1795" max="1795" width="91.28515625" style="38" customWidth="1"/>
    <col min="1796" max="1796" width="2.7109375" style="38" customWidth="1"/>
    <col min="1797" max="2049" width="9.28515625" style="38"/>
    <col min="2050" max="2050" width="2.7109375" style="38" customWidth="1"/>
    <col min="2051" max="2051" width="91.28515625" style="38" customWidth="1"/>
    <col min="2052" max="2052" width="2.7109375" style="38" customWidth="1"/>
    <col min="2053" max="2305" width="9.28515625" style="38"/>
    <col min="2306" max="2306" width="2.7109375" style="38" customWidth="1"/>
    <col min="2307" max="2307" width="91.28515625" style="38" customWidth="1"/>
    <col min="2308" max="2308" width="2.7109375" style="38" customWidth="1"/>
    <col min="2309" max="2561" width="9.28515625" style="38"/>
    <col min="2562" max="2562" width="2.7109375" style="38" customWidth="1"/>
    <col min="2563" max="2563" width="91.28515625" style="38" customWidth="1"/>
    <col min="2564" max="2564" width="2.7109375" style="38" customWidth="1"/>
    <col min="2565" max="2817" width="9.28515625" style="38"/>
    <col min="2818" max="2818" width="2.7109375" style="38" customWidth="1"/>
    <col min="2819" max="2819" width="91.28515625" style="38" customWidth="1"/>
    <col min="2820" max="2820" width="2.7109375" style="38" customWidth="1"/>
    <col min="2821" max="3073" width="9.28515625" style="38"/>
    <col min="3074" max="3074" width="2.7109375" style="38" customWidth="1"/>
    <col min="3075" max="3075" width="91.28515625" style="38" customWidth="1"/>
    <col min="3076" max="3076" width="2.7109375" style="38" customWidth="1"/>
    <col min="3077" max="3329" width="9.28515625" style="38"/>
    <col min="3330" max="3330" width="2.7109375" style="38" customWidth="1"/>
    <col min="3331" max="3331" width="91.28515625" style="38" customWidth="1"/>
    <col min="3332" max="3332" width="2.7109375" style="38" customWidth="1"/>
    <col min="3333" max="3585" width="9.28515625" style="38"/>
    <col min="3586" max="3586" width="2.7109375" style="38" customWidth="1"/>
    <col min="3587" max="3587" width="91.28515625" style="38" customWidth="1"/>
    <col min="3588" max="3588" width="2.7109375" style="38" customWidth="1"/>
    <col min="3589" max="3841" width="9.28515625" style="38"/>
    <col min="3842" max="3842" width="2.7109375" style="38" customWidth="1"/>
    <col min="3843" max="3843" width="91.28515625" style="38" customWidth="1"/>
    <col min="3844" max="3844" width="2.7109375" style="38" customWidth="1"/>
    <col min="3845" max="4097" width="9.28515625" style="38"/>
    <col min="4098" max="4098" width="2.7109375" style="38" customWidth="1"/>
    <col min="4099" max="4099" width="91.28515625" style="38" customWidth="1"/>
    <col min="4100" max="4100" width="2.7109375" style="38" customWidth="1"/>
    <col min="4101" max="4353" width="9.28515625" style="38"/>
    <col min="4354" max="4354" width="2.7109375" style="38" customWidth="1"/>
    <col min="4355" max="4355" width="91.28515625" style="38" customWidth="1"/>
    <col min="4356" max="4356" width="2.7109375" style="38" customWidth="1"/>
    <col min="4357" max="4609" width="9.28515625" style="38"/>
    <col min="4610" max="4610" width="2.7109375" style="38" customWidth="1"/>
    <col min="4611" max="4611" width="91.28515625" style="38" customWidth="1"/>
    <col min="4612" max="4612" width="2.7109375" style="38" customWidth="1"/>
    <col min="4613" max="4865" width="9.28515625" style="38"/>
    <col min="4866" max="4866" width="2.7109375" style="38" customWidth="1"/>
    <col min="4867" max="4867" width="91.28515625" style="38" customWidth="1"/>
    <col min="4868" max="4868" width="2.7109375" style="38" customWidth="1"/>
    <col min="4869" max="5121" width="9.28515625" style="38"/>
    <col min="5122" max="5122" width="2.7109375" style="38" customWidth="1"/>
    <col min="5123" max="5123" width="91.28515625" style="38" customWidth="1"/>
    <col min="5124" max="5124" width="2.7109375" style="38" customWidth="1"/>
    <col min="5125" max="5377" width="9.28515625" style="38"/>
    <col min="5378" max="5378" width="2.7109375" style="38" customWidth="1"/>
    <col min="5379" max="5379" width="91.28515625" style="38" customWidth="1"/>
    <col min="5380" max="5380" width="2.7109375" style="38" customWidth="1"/>
    <col min="5381" max="5633" width="9.28515625" style="38"/>
    <col min="5634" max="5634" width="2.7109375" style="38" customWidth="1"/>
    <col min="5635" max="5635" width="91.28515625" style="38" customWidth="1"/>
    <col min="5636" max="5636" width="2.7109375" style="38" customWidth="1"/>
    <col min="5637" max="5889" width="9.28515625" style="38"/>
    <col min="5890" max="5890" width="2.7109375" style="38" customWidth="1"/>
    <col min="5891" max="5891" width="91.28515625" style="38" customWidth="1"/>
    <col min="5892" max="5892" width="2.7109375" style="38" customWidth="1"/>
    <col min="5893" max="6145" width="9.28515625" style="38"/>
    <col min="6146" max="6146" width="2.7109375" style="38" customWidth="1"/>
    <col min="6147" max="6147" width="91.28515625" style="38" customWidth="1"/>
    <col min="6148" max="6148" width="2.7109375" style="38" customWidth="1"/>
    <col min="6149" max="6401" width="9.28515625" style="38"/>
    <col min="6402" max="6402" width="2.7109375" style="38" customWidth="1"/>
    <col min="6403" max="6403" width="91.28515625" style="38" customWidth="1"/>
    <col min="6404" max="6404" width="2.7109375" style="38" customWidth="1"/>
    <col min="6405" max="6657" width="9.28515625" style="38"/>
    <col min="6658" max="6658" width="2.7109375" style="38" customWidth="1"/>
    <col min="6659" max="6659" width="91.28515625" style="38" customWidth="1"/>
    <col min="6660" max="6660" width="2.7109375" style="38" customWidth="1"/>
    <col min="6661" max="6913" width="9.28515625" style="38"/>
    <col min="6914" max="6914" width="2.7109375" style="38" customWidth="1"/>
    <col min="6915" max="6915" width="91.28515625" style="38" customWidth="1"/>
    <col min="6916" max="6916" width="2.7109375" style="38" customWidth="1"/>
    <col min="6917" max="7169" width="9.28515625" style="38"/>
    <col min="7170" max="7170" width="2.7109375" style="38" customWidth="1"/>
    <col min="7171" max="7171" width="91.28515625" style="38" customWidth="1"/>
    <col min="7172" max="7172" width="2.7109375" style="38" customWidth="1"/>
    <col min="7173" max="7425" width="9.28515625" style="38"/>
    <col min="7426" max="7426" width="2.7109375" style="38" customWidth="1"/>
    <col min="7427" max="7427" width="91.28515625" style="38" customWidth="1"/>
    <col min="7428" max="7428" width="2.7109375" style="38" customWidth="1"/>
    <col min="7429" max="7681" width="9.28515625" style="38"/>
    <col min="7682" max="7682" width="2.7109375" style="38" customWidth="1"/>
    <col min="7683" max="7683" width="91.28515625" style="38" customWidth="1"/>
    <col min="7684" max="7684" width="2.7109375" style="38" customWidth="1"/>
    <col min="7685" max="7937" width="9.28515625" style="38"/>
    <col min="7938" max="7938" width="2.7109375" style="38" customWidth="1"/>
    <col min="7939" max="7939" width="91.28515625" style="38" customWidth="1"/>
    <col min="7940" max="7940" width="2.7109375" style="38" customWidth="1"/>
    <col min="7941" max="8193" width="9.28515625" style="38"/>
    <col min="8194" max="8194" width="2.7109375" style="38" customWidth="1"/>
    <col min="8195" max="8195" width="91.28515625" style="38" customWidth="1"/>
    <col min="8196" max="8196" width="2.7109375" style="38" customWidth="1"/>
    <col min="8197" max="8449" width="9.28515625" style="38"/>
    <col min="8450" max="8450" width="2.7109375" style="38" customWidth="1"/>
    <col min="8451" max="8451" width="91.28515625" style="38" customWidth="1"/>
    <col min="8452" max="8452" width="2.7109375" style="38" customWidth="1"/>
    <col min="8453" max="8705" width="9.28515625" style="38"/>
    <col min="8706" max="8706" width="2.7109375" style="38" customWidth="1"/>
    <col min="8707" max="8707" width="91.28515625" style="38" customWidth="1"/>
    <col min="8708" max="8708" width="2.7109375" style="38" customWidth="1"/>
    <col min="8709" max="8961" width="9.28515625" style="38"/>
    <col min="8962" max="8962" width="2.7109375" style="38" customWidth="1"/>
    <col min="8963" max="8963" width="91.28515625" style="38" customWidth="1"/>
    <col min="8964" max="8964" width="2.7109375" style="38" customWidth="1"/>
    <col min="8965" max="9217" width="9.28515625" style="38"/>
    <col min="9218" max="9218" width="2.7109375" style="38" customWidth="1"/>
    <col min="9219" max="9219" width="91.28515625" style="38" customWidth="1"/>
    <col min="9220" max="9220" width="2.7109375" style="38" customWidth="1"/>
    <col min="9221" max="9473" width="9.28515625" style="38"/>
    <col min="9474" max="9474" width="2.7109375" style="38" customWidth="1"/>
    <col min="9475" max="9475" width="91.28515625" style="38" customWidth="1"/>
    <col min="9476" max="9476" width="2.7109375" style="38" customWidth="1"/>
    <col min="9477" max="9729" width="9.28515625" style="38"/>
    <col min="9730" max="9730" width="2.7109375" style="38" customWidth="1"/>
    <col min="9731" max="9731" width="91.28515625" style="38" customWidth="1"/>
    <col min="9732" max="9732" width="2.7109375" style="38" customWidth="1"/>
    <col min="9733" max="9985" width="9.28515625" style="38"/>
    <col min="9986" max="9986" width="2.7109375" style="38" customWidth="1"/>
    <col min="9987" max="9987" width="91.28515625" style="38" customWidth="1"/>
    <col min="9988" max="9988" width="2.7109375" style="38" customWidth="1"/>
    <col min="9989" max="10241" width="9.28515625" style="38"/>
    <col min="10242" max="10242" width="2.7109375" style="38" customWidth="1"/>
    <col min="10243" max="10243" width="91.28515625" style="38" customWidth="1"/>
    <col min="10244" max="10244" width="2.7109375" style="38" customWidth="1"/>
    <col min="10245" max="10497" width="9.28515625" style="38"/>
    <col min="10498" max="10498" width="2.7109375" style="38" customWidth="1"/>
    <col min="10499" max="10499" width="91.28515625" style="38" customWidth="1"/>
    <col min="10500" max="10500" width="2.7109375" style="38" customWidth="1"/>
    <col min="10501" max="10753" width="9.28515625" style="38"/>
    <col min="10754" max="10754" width="2.7109375" style="38" customWidth="1"/>
    <col min="10755" max="10755" width="91.28515625" style="38" customWidth="1"/>
    <col min="10756" max="10756" width="2.7109375" style="38" customWidth="1"/>
    <col min="10757" max="11009" width="9.28515625" style="38"/>
    <col min="11010" max="11010" width="2.7109375" style="38" customWidth="1"/>
    <col min="11011" max="11011" width="91.28515625" style="38" customWidth="1"/>
    <col min="11012" max="11012" width="2.7109375" style="38" customWidth="1"/>
    <col min="11013" max="11265" width="9.28515625" style="38"/>
    <col min="11266" max="11266" width="2.7109375" style="38" customWidth="1"/>
    <col min="11267" max="11267" width="91.28515625" style="38" customWidth="1"/>
    <col min="11268" max="11268" width="2.7109375" style="38" customWidth="1"/>
    <col min="11269" max="11521" width="9.28515625" style="38"/>
    <col min="11522" max="11522" width="2.7109375" style="38" customWidth="1"/>
    <col min="11523" max="11523" width="91.28515625" style="38" customWidth="1"/>
    <col min="11524" max="11524" width="2.7109375" style="38" customWidth="1"/>
    <col min="11525" max="11777" width="9.28515625" style="38"/>
    <col min="11778" max="11778" width="2.7109375" style="38" customWidth="1"/>
    <col min="11779" max="11779" width="91.28515625" style="38" customWidth="1"/>
    <col min="11780" max="11780" width="2.7109375" style="38" customWidth="1"/>
    <col min="11781" max="12033" width="9.28515625" style="38"/>
    <col min="12034" max="12034" width="2.7109375" style="38" customWidth="1"/>
    <col min="12035" max="12035" width="91.28515625" style="38" customWidth="1"/>
    <col min="12036" max="12036" width="2.7109375" style="38" customWidth="1"/>
    <col min="12037" max="12289" width="9.28515625" style="38"/>
    <col min="12290" max="12290" width="2.7109375" style="38" customWidth="1"/>
    <col min="12291" max="12291" width="91.28515625" style="38" customWidth="1"/>
    <col min="12292" max="12292" width="2.7109375" style="38" customWidth="1"/>
    <col min="12293" max="12545" width="9.28515625" style="38"/>
    <col min="12546" max="12546" width="2.7109375" style="38" customWidth="1"/>
    <col min="12547" max="12547" width="91.28515625" style="38" customWidth="1"/>
    <col min="12548" max="12548" width="2.7109375" style="38" customWidth="1"/>
    <col min="12549" max="12801" width="9.28515625" style="38"/>
    <col min="12802" max="12802" width="2.7109375" style="38" customWidth="1"/>
    <col min="12803" max="12803" width="91.28515625" style="38" customWidth="1"/>
    <col min="12804" max="12804" width="2.7109375" style="38" customWidth="1"/>
    <col min="12805" max="13057" width="9.28515625" style="38"/>
    <col min="13058" max="13058" width="2.7109375" style="38" customWidth="1"/>
    <col min="13059" max="13059" width="91.28515625" style="38" customWidth="1"/>
    <col min="13060" max="13060" width="2.7109375" style="38" customWidth="1"/>
    <col min="13061" max="13313" width="9.28515625" style="38"/>
    <col min="13314" max="13314" width="2.7109375" style="38" customWidth="1"/>
    <col min="13315" max="13315" width="91.28515625" style="38" customWidth="1"/>
    <col min="13316" max="13316" width="2.7109375" style="38" customWidth="1"/>
    <col min="13317" max="13569" width="9.28515625" style="38"/>
    <col min="13570" max="13570" width="2.7109375" style="38" customWidth="1"/>
    <col min="13571" max="13571" width="91.28515625" style="38" customWidth="1"/>
    <col min="13572" max="13572" width="2.7109375" style="38" customWidth="1"/>
    <col min="13573" max="13825" width="9.28515625" style="38"/>
    <col min="13826" max="13826" width="2.7109375" style="38" customWidth="1"/>
    <col min="13827" max="13827" width="91.28515625" style="38" customWidth="1"/>
    <col min="13828" max="13828" width="2.7109375" style="38" customWidth="1"/>
    <col min="13829" max="14081" width="9.28515625" style="38"/>
    <col min="14082" max="14082" width="2.7109375" style="38" customWidth="1"/>
    <col min="14083" max="14083" width="91.28515625" style="38" customWidth="1"/>
    <col min="14084" max="14084" width="2.7109375" style="38" customWidth="1"/>
    <col min="14085" max="14337" width="9.28515625" style="38"/>
    <col min="14338" max="14338" width="2.7109375" style="38" customWidth="1"/>
    <col min="14339" max="14339" width="91.28515625" style="38" customWidth="1"/>
    <col min="14340" max="14340" width="2.7109375" style="38" customWidth="1"/>
    <col min="14341" max="14593" width="9.28515625" style="38"/>
    <col min="14594" max="14594" width="2.7109375" style="38" customWidth="1"/>
    <col min="14595" max="14595" width="91.28515625" style="38" customWidth="1"/>
    <col min="14596" max="14596" width="2.7109375" style="38" customWidth="1"/>
    <col min="14597" max="14849" width="9.28515625" style="38"/>
    <col min="14850" max="14850" width="2.7109375" style="38" customWidth="1"/>
    <col min="14851" max="14851" width="91.28515625" style="38" customWidth="1"/>
    <col min="14852" max="14852" width="2.7109375" style="38" customWidth="1"/>
    <col min="14853" max="15105" width="9.28515625" style="38"/>
    <col min="15106" max="15106" width="2.7109375" style="38" customWidth="1"/>
    <col min="15107" max="15107" width="91.28515625" style="38" customWidth="1"/>
    <col min="15108" max="15108" width="2.7109375" style="38" customWidth="1"/>
    <col min="15109" max="15361" width="9.28515625" style="38"/>
    <col min="15362" max="15362" width="2.7109375" style="38" customWidth="1"/>
    <col min="15363" max="15363" width="91.28515625" style="38" customWidth="1"/>
    <col min="15364" max="15364" width="2.7109375" style="38" customWidth="1"/>
    <col min="15365" max="15617" width="9.28515625" style="38"/>
    <col min="15618" max="15618" width="2.7109375" style="38" customWidth="1"/>
    <col min="15619" max="15619" width="91.28515625" style="38" customWidth="1"/>
    <col min="15620" max="15620" width="2.7109375" style="38" customWidth="1"/>
    <col min="15621" max="15873" width="9.28515625" style="38"/>
    <col min="15874" max="15874" width="2.7109375" style="38" customWidth="1"/>
    <col min="15875" max="15875" width="91.28515625" style="38" customWidth="1"/>
    <col min="15876" max="15876" width="2.7109375" style="38" customWidth="1"/>
    <col min="15877" max="16129" width="9.28515625" style="38"/>
    <col min="16130" max="16130" width="2.7109375" style="38" customWidth="1"/>
    <col min="16131" max="16131" width="91.28515625" style="38" customWidth="1"/>
    <col min="16132" max="16132" width="2.7109375" style="38" customWidth="1"/>
    <col min="16133" max="16384" width="9.28515625" style="38"/>
  </cols>
  <sheetData>
    <row r="1" spans="1:43" s="37" customFormat="1" ht="57" customHeight="1" x14ac:dyDescent="0.3">
      <c r="A1" s="179" t="s">
        <v>201</v>
      </c>
      <c r="B1" s="180"/>
      <c r="C1" s="180"/>
      <c r="D1" s="181"/>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row>
    <row r="2" spans="1:43" x14ac:dyDescent="0.25">
      <c r="A2" s="130" t="s">
        <v>18</v>
      </c>
      <c r="B2" s="130"/>
      <c r="C2" s="130"/>
      <c r="D2" s="131"/>
    </row>
    <row r="3" spans="1:43" ht="5.25" customHeight="1" x14ac:dyDescent="0.25">
      <c r="A3" s="101"/>
      <c r="B3" s="102"/>
      <c r="C3" s="102"/>
      <c r="D3" s="103"/>
    </row>
    <row r="4" spans="1:43" ht="95.25" customHeight="1" x14ac:dyDescent="0.25">
      <c r="A4" s="39"/>
      <c r="B4" s="177" t="s">
        <v>203</v>
      </c>
      <c r="C4" s="177"/>
      <c r="D4" s="40"/>
    </row>
    <row r="5" spans="1:43" ht="5.25" customHeight="1" x14ac:dyDescent="0.25">
      <c r="A5" s="41"/>
      <c r="B5" s="42"/>
      <c r="C5" s="42"/>
      <c r="D5" s="43"/>
    </row>
    <row r="6" spans="1:43" ht="13.9" customHeight="1" x14ac:dyDescent="0.25">
      <c r="A6" s="130" t="s">
        <v>19</v>
      </c>
      <c r="B6" s="130"/>
      <c r="C6" s="130"/>
      <c r="D6" s="131"/>
    </row>
    <row r="7" spans="1:43" ht="6.75" customHeight="1" x14ac:dyDescent="0.25">
      <c r="A7" s="101"/>
      <c r="B7" s="102"/>
      <c r="C7" s="102"/>
      <c r="D7" s="103"/>
    </row>
    <row r="8" spans="1:43" ht="27.75" customHeight="1" x14ac:dyDescent="0.25">
      <c r="A8" s="39"/>
      <c r="B8" s="177" t="s">
        <v>208</v>
      </c>
      <c r="C8" s="177"/>
      <c r="D8" s="40"/>
    </row>
    <row r="9" spans="1:43" ht="6" customHeight="1" x14ac:dyDescent="0.25">
      <c r="A9" s="101"/>
      <c r="B9" s="102"/>
      <c r="C9" s="102"/>
      <c r="D9" s="103"/>
    </row>
    <row r="10" spans="1:43" ht="13.5" customHeight="1" x14ac:dyDescent="0.25">
      <c r="A10" s="130" t="s">
        <v>20</v>
      </c>
      <c r="B10" s="130"/>
      <c r="C10" s="130"/>
      <c r="D10" s="131"/>
    </row>
    <row r="11" spans="1:43" ht="9.75" customHeight="1" x14ac:dyDescent="0.25">
      <c r="A11" s="104"/>
      <c r="B11" s="102"/>
      <c r="C11" s="102"/>
      <c r="D11" s="103"/>
    </row>
    <row r="12" spans="1:43" ht="31.5" customHeight="1" x14ac:dyDescent="0.25">
      <c r="A12" s="172" t="s">
        <v>21</v>
      </c>
      <c r="B12" s="178" t="s">
        <v>23</v>
      </c>
      <c r="C12" s="178"/>
      <c r="D12" s="45"/>
    </row>
    <row r="13" spans="1:43" ht="21.75" customHeight="1" x14ac:dyDescent="0.25">
      <c r="A13" s="172" t="s">
        <v>22</v>
      </c>
      <c r="B13" s="173" t="s">
        <v>200</v>
      </c>
      <c r="C13" s="174"/>
      <c r="D13" s="45"/>
    </row>
    <row r="14" spans="1:43" ht="18" customHeight="1" x14ac:dyDescent="0.25">
      <c r="A14" s="172" t="s">
        <v>24</v>
      </c>
      <c r="B14" s="175" t="s">
        <v>25</v>
      </c>
      <c r="C14" s="176" t="s">
        <v>26</v>
      </c>
      <c r="D14" s="45"/>
    </row>
    <row r="15" spans="1:43" ht="48" x14ac:dyDescent="0.25">
      <c r="A15" s="44"/>
      <c r="B15" s="51"/>
      <c r="C15" s="175" t="s">
        <v>204</v>
      </c>
      <c r="D15" s="45"/>
    </row>
    <row r="16" spans="1:43" ht="27.6" customHeight="1" x14ac:dyDescent="0.25">
      <c r="A16" s="172" t="s">
        <v>76</v>
      </c>
      <c r="B16" s="178" t="s">
        <v>205</v>
      </c>
      <c r="C16" s="178"/>
      <c r="D16" s="45"/>
    </row>
    <row r="17" spans="1:4" ht="39.75" customHeight="1" x14ac:dyDescent="0.25">
      <c r="A17" s="172" t="s">
        <v>83</v>
      </c>
      <c r="B17" s="178" t="s">
        <v>207</v>
      </c>
      <c r="C17" s="178"/>
      <c r="D17" s="45"/>
    </row>
    <row r="18" spans="1:4" ht="18" customHeight="1" x14ac:dyDescent="0.25">
      <c r="A18" s="172" t="s">
        <v>84</v>
      </c>
      <c r="B18" s="178" t="s">
        <v>96</v>
      </c>
      <c r="C18" s="178"/>
      <c r="D18" s="45"/>
    </row>
    <row r="19" spans="1:4" ht="16.5" customHeight="1" x14ac:dyDescent="0.25">
      <c r="A19" s="172" t="s">
        <v>97</v>
      </c>
      <c r="B19" s="178" t="s">
        <v>206</v>
      </c>
      <c r="C19" s="178"/>
      <c r="D19" s="45"/>
    </row>
    <row r="20" spans="1:4" ht="21" customHeight="1" x14ac:dyDescent="0.25">
      <c r="A20" s="172" t="s">
        <v>95</v>
      </c>
      <c r="B20" s="178" t="s">
        <v>202</v>
      </c>
      <c r="C20" s="178"/>
      <c r="D20" s="45"/>
    </row>
    <row r="21" spans="1:4" hidden="1" x14ac:dyDescent="0.25">
      <c r="A21" s="100"/>
      <c r="B21" s="177"/>
      <c r="C21" s="177"/>
      <c r="D21" s="45"/>
    </row>
    <row r="22" spans="1:4" ht="6" customHeight="1" thickBot="1" x14ac:dyDescent="0.3">
      <c r="A22" s="48"/>
      <c r="B22" s="49"/>
      <c r="C22" s="49"/>
      <c r="D22" s="50"/>
    </row>
    <row r="23" spans="1:4" s="82" customFormat="1" x14ac:dyDescent="0.25"/>
    <row r="24" spans="1:4" s="82" customFormat="1" x14ac:dyDescent="0.25"/>
    <row r="25" spans="1:4" s="82" customFormat="1" x14ac:dyDescent="0.25"/>
    <row r="26" spans="1:4" s="82" customFormat="1" x14ac:dyDescent="0.25"/>
    <row r="27" spans="1:4" s="82" customFormat="1" x14ac:dyDescent="0.25"/>
    <row r="28" spans="1:4" s="82" customFormat="1" x14ac:dyDescent="0.25"/>
    <row r="29" spans="1:4" s="82" customFormat="1" x14ac:dyDescent="0.25"/>
    <row r="30" spans="1:4" s="82" customFormat="1" x14ac:dyDescent="0.25"/>
    <row r="31" spans="1:4" s="82" customFormat="1" x14ac:dyDescent="0.25"/>
    <row r="32" spans="1:4" s="82" customFormat="1" x14ac:dyDescent="0.25"/>
    <row r="33" s="82" customFormat="1" x14ac:dyDescent="0.25"/>
    <row r="34" s="82" customFormat="1" x14ac:dyDescent="0.25"/>
    <row r="35" s="82" customFormat="1" x14ac:dyDescent="0.25"/>
    <row r="36" s="82" customFormat="1" x14ac:dyDescent="0.25"/>
    <row r="37" s="82" customFormat="1" x14ac:dyDescent="0.25"/>
    <row r="38" s="82" customFormat="1" x14ac:dyDescent="0.25"/>
    <row r="39" s="82" customFormat="1" x14ac:dyDescent="0.25"/>
    <row r="40" s="82" customFormat="1" x14ac:dyDescent="0.25"/>
    <row r="41" s="82" customFormat="1" x14ac:dyDescent="0.25"/>
    <row r="42" s="82" customFormat="1" x14ac:dyDescent="0.25"/>
    <row r="43" s="82" customFormat="1" x14ac:dyDescent="0.25"/>
    <row r="44" s="82" customFormat="1" x14ac:dyDescent="0.25"/>
    <row r="45" s="82" customFormat="1" x14ac:dyDescent="0.25"/>
    <row r="46" s="82" customFormat="1" x14ac:dyDescent="0.25"/>
    <row r="47" s="82" customFormat="1" x14ac:dyDescent="0.25"/>
    <row r="48" s="82" customFormat="1" x14ac:dyDescent="0.25"/>
    <row r="49" s="82" customFormat="1" x14ac:dyDescent="0.25"/>
    <row r="50" s="82" customFormat="1" x14ac:dyDescent="0.25"/>
    <row r="51" s="82" customFormat="1" x14ac:dyDescent="0.25"/>
    <row r="52" s="82" customFormat="1" x14ac:dyDescent="0.25"/>
    <row r="53" s="82" customFormat="1" x14ac:dyDescent="0.25"/>
    <row r="54" s="82" customFormat="1" x14ac:dyDescent="0.25"/>
    <row r="55" s="82" customFormat="1" x14ac:dyDescent="0.25"/>
    <row r="56" s="82" customFormat="1" x14ac:dyDescent="0.25"/>
    <row r="57" s="82" customFormat="1" x14ac:dyDescent="0.25"/>
    <row r="58" s="82" customFormat="1" x14ac:dyDescent="0.25"/>
    <row r="59" s="82" customFormat="1" x14ac:dyDescent="0.25"/>
    <row r="60" s="82" customFormat="1" x14ac:dyDescent="0.25"/>
    <row r="61" s="82" customFormat="1" x14ac:dyDescent="0.25"/>
    <row r="62" s="82" customFormat="1" x14ac:dyDescent="0.25"/>
    <row r="63" s="82" customFormat="1" x14ac:dyDescent="0.25"/>
    <row r="64" s="82" customFormat="1" x14ac:dyDescent="0.25"/>
    <row r="65" s="82" customFormat="1" x14ac:dyDescent="0.25"/>
    <row r="66" s="82" customFormat="1" x14ac:dyDescent="0.25"/>
    <row r="67" s="82" customFormat="1" x14ac:dyDescent="0.25"/>
    <row r="68" s="82" customFormat="1" x14ac:dyDescent="0.25"/>
    <row r="69" s="82" customFormat="1" x14ac:dyDescent="0.25"/>
    <row r="70" s="82" customFormat="1" x14ac:dyDescent="0.25"/>
    <row r="71" s="82" customFormat="1" x14ac:dyDescent="0.25"/>
    <row r="72" s="82" customFormat="1" x14ac:dyDescent="0.25"/>
    <row r="73" s="82" customFormat="1" x14ac:dyDescent="0.25"/>
    <row r="74" s="82" customFormat="1" x14ac:dyDescent="0.25"/>
    <row r="75" s="82" customFormat="1" x14ac:dyDescent="0.25"/>
    <row r="76" s="82" customFormat="1" x14ac:dyDescent="0.25"/>
    <row r="77" s="82" customFormat="1" x14ac:dyDescent="0.25"/>
    <row r="78" s="82" customFormat="1" x14ac:dyDescent="0.25"/>
    <row r="79" s="82" customFormat="1" x14ac:dyDescent="0.25"/>
    <row r="80" s="82" customFormat="1" x14ac:dyDescent="0.25"/>
    <row r="81" s="82" customFormat="1" x14ac:dyDescent="0.25"/>
    <row r="82" s="82" customFormat="1" x14ac:dyDescent="0.25"/>
    <row r="83" s="82" customFormat="1" x14ac:dyDescent="0.25"/>
    <row r="84" s="82" customFormat="1" x14ac:dyDescent="0.25"/>
    <row r="85" s="82" customFormat="1" x14ac:dyDescent="0.25"/>
    <row r="86" s="82" customFormat="1" x14ac:dyDescent="0.25"/>
    <row r="87" s="82" customFormat="1" x14ac:dyDescent="0.25"/>
    <row r="88" s="82" customFormat="1" x14ac:dyDescent="0.25"/>
    <row r="89" s="82" customFormat="1" x14ac:dyDescent="0.25"/>
    <row r="90" s="82" customFormat="1" x14ac:dyDescent="0.25"/>
    <row r="91" s="82" customFormat="1" x14ac:dyDescent="0.25"/>
    <row r="92" s="82" customFormat="1" x14ac:dyDescent="0.25"/>
    <row r="93" s="82" customFormat="1" x14ac:dyDescent="0.25"/>
    <row r="94" s="82" customFormat="1" x14ac:dyDescent="0.25"/>
    <row r="95" s="82" customFormat="1" x14ac:dyDescent="0.25"/>
    <row r="96" s="82" customFormat="1" x14ac:dyDescent="0.25"/>
    <row r="97" s="82" customFormat="1" x14ac:dyDescent="0.25"/>
    <row r="98" s="82" customFormat="1" x14ac:dyDescent="0.25"/>
    <row r="99" s="82" customFormat="1" x14ac:dyDescent="0.25"/>
    <row r="100" s="82" customFormat="1" x14ac:dyDescent="0.25"/>
    <row r="101" s="82" customFormat="1" x14ac:dyDescent="0.25"/>
    <row r="102" s="82" customFormat="1" x14ac:dyDescent="0.25"/>
    <row r="103" s="82" customFormat="1" x14ac:dyDescent="0.25"/>
    <row r="104" s="82" customFormat="1" x14ac:dyDescent="0.25"/>
    <row r="105" s="82" customFormat="1" x14ac:dyDescent="0.25"/>
    <row r="106" s="82" customFormat="1" x14ac:dyDescent="0.25"/>
    <row r="107" s="82" customFormat="1" x14ac:dyDescent="0.25"/>
    <row r="108" s="82" customFormat="1" x14ac:dyDescent="0.25"/>
    <row r="109" s="82" customFormat="1" x14ac:dyDescent="0.25"/>
    <row r="110" s="82" customFormat="1" x14ac:dyDescent="0.25"/>
    <row r="111" s="82" customFormat="1" x14ac:dyDescent="0.25"/>
    <row r="112" s="82" customFormat="1" x14ac:dyDescent="0.25"/>
    <row r="113" s="82" customFormat="1" x14ac:dyDescent="0.25"/>
    <row r="114" s="82" customFormat="1" x14ac:dyDescent="0.25"/>
    <row r="115" s="82" customFormat="1" x14ac:dyDescent="0.25"/>
    <row r="116" s="82" customFormat="1" x14ac:dyDescent="0.25"/>
    <row r="117" s="82" customFormat="1" x14ac:dyDescent="0.25"/>
    <row r="118" s="82" customFormat="1" x14ac:dyDescent="0.25"/>
    <row r="119" s="82" customFormat="1" x14ac:dyDescent="0.25"/>
    <row r="120" s="82" customFormat="1" x14ac:dyDescent="0.25"/>
    <row r="121" s="82" customFormat="1" x14ac:dyDescent="0.25"/>
    <row r="122" s="82" customFormat="1" x14ac:dyDescent="0.25"/>
    <row r="123" s="82" customFormat="1" x14ac:dyDescent="0.25"/>
    <row r="124" s="82" customFormat="1" x14ac:dyDescent="0.25"/>
    <row r="125" s="82" customFormat="1" x14ac:dyDescent="0.25"/>
    <row r="126" s="82" customFormat="1" x14ac:dyDescent="0.25"/>
    <row r="127" s="82" customFormat="1" x14ac:dyDescent="0.25"/>
    <row r="128" s="82" customFormat="1" x14ac:dyDescent="0.25"/>
    <row r="129" s="82" customFormat="1" x14ac:dyDescent="0.25"/>
    <row r="130" s="82" customFormat="1" x14ac:dyDescent="0.25"/>
    <row r="131" s="82" customFormat="1" x14ac:dyDescent="0.25"/>
    <row r="132" s="82" customFormat="1" x14ac:dyDescent="0.25"/>
    <row r="133" s="82" customFormat="1" x14ac:dyDescent="0.25"/>
    <row r="134" s="82" customFormat="1" x14ac:dyDescent="0.25"/>
    <row r="135" s="82" customFormat="1" x14ac:dyDescent="0.25"/>
    <row r="136" s="82" customFormat="1" x14ac:dyDescent="0.25"/>
    <row r="137" s="82" customFormat="1" x14ac:dyDescent="0.25"/>
    <row r="138" s="82" customFormat="1" x14ac:dyDescent="0.25"/>
    <row r="139" s="82" customFormat="1" x14ac:dyDescent="0.25"/>
    <row r="140" s="82" customFormat="1" x14ac:dyDescent="0.25"/>
    <row r="141" s="82" customFormat="1" x14ac:dyDescent="0.25"/>
    <row r="142" s="82" customFormat="1" x14ac:dyDescent="0.25"/>
  </sheetData>
  <mergeCells count="10">
    <mergeCell ref="B21:C21"/>
    <mergeCell ref="B16:C16"/>
    <mergeCell ref="B17:C17"/>
    <mergeCell ref="A1:D1"/>
    <mergeCell ref="B4:C4"/>
    <mergeCell ref="B8:C8"/>
    <mergeCell ref="B12:C12"/>
    <mergeCell ref="B18:C18"/>
    <mergeCell ref="B19:C19"/>
    <mergeCell ref="B20:C20"/>
  </mergeCells>
  <hyperlinks>
    <hyperlink ref="C14" r:id="rId1" xr:uid="{00000000-0004-0000-0000-000000000000}"/>
  </hyperlinks>
  <pageMargins left="0.7" right="0.7" top="0.75" bottom="0.75" header="0.3" footer="0.3"/>
  <pageSetup orientation="portrait" r:id="rId2"/>
  <headerFooter>
    <oddFooter>&amp;L_x000D_&amp;1#&amp;"Calibri"&amp;11&amp;K000000 Classification: Public</oddFoot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135"/>
  <sheetViews>
    <sheetView topLeftCell="A43" zoomScale="90" zoomScaleNormal="90" workbookViewId="0">
      <selection activeCell="B60" sqref="B60"/>
    </sheetView>
  </sheetViews>
  <sheetFormatPr defaultColWidth="8.85546875" defaultRowHeight="15" outlineLevelRow="1" x14ac:dyDescent="0.25"/>
  <cols>
    <col min="1" max="1" width="2.7109375" style="59" customWidth="1"/>
    <col min="2" max="2" width="49.28515625" style="59" customWidth="1"/>
    <col min="3" max="3" width="2.7109375" style="59" customWidth="1"/>
    <col min="4" max="4" width="16.7109375" style="59" customWidth="1"/>
    <col min="5" max="5" width="2.28515625" style="59" customWidth="1"/>
    <col min="6" max="6" width="16.7109375" style="59" customWidth="1"/>
    <col min="7" max="7" width="2.28515625" style="59" customWidth="1"/>
    <col min="8" max="8" width="16.7109375" style="59" customWidth="1"/>
    <col min="9" max="9" width="2.28515625" style="59" customWidth="1"/>
    <col min="10" max="10" width="16.7109375" style="59" customWidth="1"/>
    <col min="11" max="11" width="1.28515625" style="59" customWidth="1"/>
    <col min="12" max="12" width="16" style="59" customWidth="1"/>
    <col min="13" max="13" width="2.7109375" style="59" customWidth="1"/>
    <col min="14" max="14" width="15.7109375" style="82" customWidth="1"/>
    <col min="15" max="15" width="23.42578125" style="82" customWidth="1"/>
    <col min="16" max="16" width="12.5703125" style="82" customWidth="1"/>
    <col min="17" max="17" width="9.28515625" style="82" customWidth="1"/>
    <col min="18" max="18" width="7.5703125" style="82" customWidth="1"/>
    <col min="19" max="19" width="10.5703125" style="82" customWidth="1"/>
    <col min="20" max="26" width="9.28515625" style="82" customWidth="1"/>
    <col min="27" max="16384" width="8.85546875" style="79"/>
  </cols>
  <sheetData>
    <row r="1" spans="1:26" ht="15" customHeight="1" x14ac:dyDescent="0.25">
      <c r="B1" s="130" t="str">
        <f>"Large Emitter and Opt-in estimations applicable for "&amp;D3&amp;" period"</f>
        <v>Large Emitter and Opt-in estimations applicable for 2023 period</v>
      </c>
      <c r="C1" s="130"/>
      <c r="D1" s="130"/>
      <c r="E1" s="130"/>
      <c r="F1" s="130"/>
      <c r="G1" s="130"/>
      <c r="H1" s="130"/>
      <c r="I1" s="130"/>
      <c r="J1" s="130"/>
      <c r="K1" s="130"/>
      <c r="L1" s="130"/>
      <c r="M1" s="131"/>
    </row>
    <row r="2" spans="1:26" s="46" customFormat="1" ht="6.75" customHeight="1" x14ac:dyDescent="0.2">
      <c r="A2" s="47"/>
      <c r="B2" s="53"/>
      <c r="C2" s="53"/>
      <c r="D2" s="53"/>
      <c r="E2" s="53"/>
      <c r="F2" s="53"/>
      <c r="G2" s="53"/>
      <c r="H2" s="53"/>
      <c r="I2" s="53"/>
      <c r="J2" s="53"/>
      <c r="K2" s="53"/>
      <c r="L2" s="53"/>
      <c r="M2" s="54"/>
      <c r="N2" s="76"/>
      <c r="O2" s="76"/>
      <c r="P2" s="76"/>
      <c r="Q2" s="76"/>
      <c r="R2" s="76"/>
      <c r="S2" s="76"/>
      <c r="T2" s="76"/>
      <c r="U2" s="76"/>
      <c r="V2" s="76"/>
      <c r="W2" s="76"/>
      <c r="X2" s="76"/>
      <c r="Y2" s="76"/>
      <c r="Z2" s="76"/>
    </row>
    <row r="3" spans="1:26" s="46" customFormat="1" ht="12.75" x14ac:dyDescent="0.2">
      <c r="A3" s="47"/>
      <c r="B3" s="134" t="s">
        <v>101</v>
      </c>
      <c r="C3" s="53"/>
      <c r="D3" s="144">
        <v>2023</v>
      </c>
      <c r="E3" s="53"/>
      <c r="F3" s="53"/>
      <c r="G3" s="53"/>
      <c r="H3" s="159" t="s">
        <v>173</v>
      </c>
      <c r="I3" s="159"/>
      <c r="J3" s="159" t="s">
        <v>174</v>
      </c>
      <c r="K3" s="160" t="s">
        <v>4</v>
      </c>
      <c r="L3" s="160"/>
      <c r="M3" s="54"/>
      <c r="N3" s="76"/>
      <c r="O3" s="76"/>
      <c r="P3" s="76"/>
      <c r="Q3" s="76"/>
      <c r="R3" s="76"/>
      <c r="S3" s="76"/>
      <c r="T3" s="76"/>
      <c r="U3" s="76"/>
      <c r="V3" s="76"/>
      <c r="W3" s="76"/>
      <c r="X3" s="76"/>
      <c r="Y3" s="76"/>
      <c r="Z3" s="76"/>
    </row>
    <row r="4" spans="1:26" s="46" customFormat="1" ht="11.25" customHeight="1" x14ac:dyDescent="0.2">
      <c r="A4" s="47"/>
      <c r="B4" s="53"/>
      <c r="C4" s="53"/>
      <c r="D4" s="53"/>
      <c r="E4" s="53"/>
      <c r="F4" s="53"/>
      <c r="G4" s="161" t="s">
        <v>129</v>
      </c>
      <c r="H4" s="169">
        <f>Be</f>
        <v>0.36259999999999998</v>
      </c>
      <c r="I4" s="57"/>
      <c r="J4" s="169">
        <f>FSBe</f>
        <v>0.36259999999999998</v>
      </c>
      <c r="K4" s="53" t="s">
        <v>134</v>
      </c>
      <c r="L4" s="53"/>
      <c r="M4" s="54"/>
      <c r="N4" s="76"/>
      <c r="O4" s="76"/>
      <c r="P4" s="76"/>
      <c r="Q4" s="76"/>
      <c r="R4" s="76"/>
      <c r="S4" s="76"/>
      <c r="T4" s="76"/>
      <c r="U4" s="76"/>
      <c r="V4" s="76"/>
      <c r="W4" s="76"/>
      <c r="X4" s="76"/>
      <c r="Y4" s="76"/>
      <c r="Z4" s="76"/>
    </row>
    <row r="5" spans="1:26" s="59" customFormat="1" ht="11.25" x14ac:dyDescent="0.2">
      <c r="A5" s="55"/>
      <c r="B5" s="56"/>
      <c r="C5" s="56"/>
      <c r="D5" s="56"/>
      <c r="E5" s="56"/>
      <c r="F5" s="56"/>
      <c r="G5" s="161" t="s">
        <v>131</v>
      </c>
      <c r="H5" s="170">
        <f>Bhy</f>
        <v>8.9930000000000003</v>
      </c>
      <c r="I5" s="57"/>
      <c r="J5" s="170">
        <f>FSBh2</f>
        <v>9.0679999999999996</v>
      </c>
      <c r="K5" s="53" t="s">
        <v>172</v>
      </c>
      <c r="L5" s="56"/>
      <c r="M5" s="58"/>
      <c r="N5" s="75"/>
      <c r="O5" s="75"/>
      <c r="P5" s="75"/>
      <c r="Q5" s="75"/>
      <c r="R5" s="75"/>
      <c r="S5" s="75"/>
      <c r="T5" s="75"/>
      <c r="U5" s="75"/>
      <c r="V5" s="75"/>
      <c r="W5" s="75"/>
      <c r="X5" s="75"/>
      <c r="Y5" s="75"/>
      <c r="Z5" s="75"/>
    </row>
    <row r="6" spans="1:26" s="59" customFormat="1" ht="11.25" x14ac:dyDescent="0.2">
      <c r="A6" s="55"/>
      <c r="B6" s="56"/>
      <c r="C6" s="56"/>
      <c r="D6" s="56"/>
      <c r="E6" s="56"/>
      <c r="F6" s="56"/>
      <c r="G6" s="161" t="s">
        <v>130</v>
      </c>
      <c r="H6" s="171">
        <f>Bh</f>
        <v>6.173E-2</v>
      </c>
      <c r="I6" s="152"/>
      <c r="J6" s="171">
        <f>FSBh</f>
        <v>6.2990000000000004E-2</v>
      </c>
      <c r="K6" s="53" t="s">
        <v>135</v>
      </c>
      <c r="L6" s="56"/>
      <c r="M6" s="58"/>
      <c r="N6" s="75"/>
      <c r="O6" s="75"/>
      <c r="P6" s="75"/>
      <c r="Q6" s="75"/>
      <c r="R6" s="75"/>
      <c r="S6" s="75"/>
      <c r="T6" s="75"/>
      <c r="U6" s="75"/>
      <c r="V6" s="75"/>
      <c r="W6" s="75"/>
      <c r="X6" s="75"/>
      <c r="Y6" s="75"/>
      <c r="Z6" s="75"/>
    </row>
    <row r="7" spans="1:26" s="59" customFormat="1" ht="5.25" customHeight="1" x14ac:dyDescent="0.2">
      <c r="A7" s="55"/>
      <c r="B7" s="56"/>
      <c r="C7" s="56"/>
      <c r="D7" s="56"/>
      <c r="E7" s="56"/>
      <c r="F7" s="56"/>
      <c r="G7" s="161"/>
      <c r="H7" s="57"/>
      <c r="I7" s="152"/>
      <c r="J7" s="57"/>
      <c r="K7" s="53"/>
      <c r="L7" s="56"/>
      <c r="M7" s="58"/>
      <c r="N7" s="75"/>
      <c r="O7" s="75"/>
      <c r="P7" s="75"/>
      <c r="Q7" s="75"/>
      <c r="R7" s="75"/>
      <c r="S7" s="75"/>
      <c r="T7" s="75"/>
      <c r="U7" s="75"/>
      <c r="V7" s="75"/>
      <c r="W7" s="75"/>
      <c r="X7" s="75"/>
      <c r="Y7" s="75"/>
      <c r="Z7" s="75"/>
    </row>
    <row r="8" spans="1:26" x14ac:dyDescent="0.25">
      <c r="A8" s="130"/>
      <c r="B8" s="132" t="s">
        <v>182</v>
      </c>
      <c r="C8" s="130"/>
      <c r="D8" s="130"/>
      <c r="E8" s="130"/>
      <c r="F8" s="130"/>
      <c r="G8" s="130"/>
      <c r="H8" s="130"/>
      <c r="I8" s="130"/>
      <c r="J8" s="130"/>
      <c r="K8" s="130"/>
      <c r="L8" s="130"/>
      <c r="M8" s="131"/>
      <c r="R8" s="83"/>
    </row>
    <row r="9" spans="1:26" s="59" customFormat="1" ht="8.1" customHeight="1" x14ac:dyDescent="0.2">
      <c r="A9" s="47"/>
      <c r="B9" s="53"/>
      <c r="C9" s="53"/>
      <c r="D9" s="63"/>
      <c r="E9" s="53"/>
      <c r="F9" s="63"/>
      <c r="G9" s="53"/>
      <c r="H9" s="63"/>
      <c r="I9" s="53"/>
      <c r="J9" s="63"/>
      <c r="K9" s="53"/>
      <c r="L9" s="53"/>
      <c r="M9" s="54"/>
      <c r="N9" s="75"/>
      <c r="O9" s="75"/>
      <c r="P9" s="75"/>
      <c r="Q9" s="75"/>
      <c r="R9" s="75"/>
      <c r="S9" s="75"/>
      <c r="T9" s="75"/>
      <c r="U9" s="75"/>
      <c r="V9" s="75"/>
      <c r="W9" s="75"/>
      <c r="X9" s="75"/>
      <c r="Y9" s="75"/>
      <c r="Z9" s="75"/>
    </row>
    <row r="10" spans="1:26" s="59" customFormat="1" ht="11.25" x14ac:dyDescent="0.2">
      <c r="A10" s="55"/>
      <c r="B10" s="56"/>
      <c r="C10" s="56"/>
      <c r="D10" s="56"/>
      <c r="E10" s="56"/>
      <c r="F10" s="56"/>
      <c r="G10" s="56"/>
      <c r="H10" s="56"/>
      <c r="I10" s="56"/>
      <c r="J10" s="56"/>
      <c r="K10" s="57"/>
      <c r="L10" s="56"/>
      <c r="M10" s="58"/>
      <c r="N10" s="75"/>
      <c r="O10" s="75"/>
      <c r="P10" s="75"/>
      <c r="Q10" s="75"/>
      <c r="R10" s="75"/>
      <c r="S10" s="75"/>
      <c r="T10" s="75"/>
      <c r="U10" s="75"/>
      <c r="V10" s="75"/>
      <c r="W10" s="75"/>
      <c r="X10" s="75"/>
      <c r="Y10" s="75"/>
      <c r="Z10" s="75"/>
    </row>
    <row r="11" spans="1:26" s="59" customFormat="1" ht="8.1" customHeight="1" x14ac:dyDescent="0.2">
      <c r="A11" s="47"/>
      <c r="B11" s="53"/>
      <c r="C11" s="53"/>
      <c r="D11" s="63"/>
      <c r="E11" s="53"/>
      <c r="F11" s="63"/>
      <c r="G11" s="53"/>
      <c r="H11" s="63"/>
      <c r="I11" s="53"/>
      <c r="J11" s="63"/>
      <c r="K11" s="53"/>
      <c r="L11" s="53"/>
      <c r="M11" s="54"/>
      <c r="N11" s="75"/>
      <c r="O11" s="75"/>
      <c r="P11" s="75"/>
      <c r="Q11" s="75"/>
      <c r="R11" s="75"/>
      <c r="S11" s="75"/>
      <c r="T11" s="75"/>
      <c r="U11" s="75"/>
      <c r="V11" s="75"/>
      <c r="W11" s="75"/>
      <c r="X11" s="75"/>
      <c r="Y11" s="75"/>
      <c r="Z11" s="75"/>
    </row>
    <row r="12" spans="1:26" x14ac:dyDescent="0.25">
      <c r="A12" s="130"/>
      <c r="B12" s="132" t="s">
        <v>94</v>
      </c>
      <c r="C12" s="130"/>
      <c r="D12" s="130"/>
      <c r="E12" s="130"/>
      <c r="F12" s="130"/>
      <c r="G12" s="130"/>
      <c r="H12" s="130"/>
      <c r="I12" s="130"/>
      <c r="J12" s="130"/>
      <c r="K12" s="130"/>
      <c r="L12" s="130"/>
      <c r="M12" s="131"/>
      <c r="R12" s="83"/>
    </row>
    <row r="13" spans="1:26" s="59" customFormat="1" ht="11.25" x14ac:dyDescent="0.2">
      <c r="A13" s="55"/>
      <c r="B13" s="56"/>
      <c r="C13" s="56"/>
      <c r="D13" s="56"/>
      <c r="E13" s="56"/>
      <c r="F13" s="56"/>
      <c r="G13" s="56"/>
      <c r="H13" s="56"/>
      <c r="I13" s="56"/>
      <c r="J13" s="56"/>
      <c r="K13" s="57"/>
      <c r="L13" s="56"/>
      <c r="M13" s="58"/>
      <c r="N13" s="75"/>
      <c r="O13" s="75"/>
      <c r="P13" s="75"/>
      <c r="Q13" s="75"/>
      <c r="R13" s="75"/>
      <c r="S13" s="75"/>
      <c r="T13" s="75"/>
      <c r="U13" s="75"/>
      <c r="V13" s="75"/>
      <c r="W13" s="75"/>
      <c r="X13" s="75"/>
      <c r="Y13" s="75"/>
      <c r="Z13" s="75"/>
    </row>
    <row r="14" spans="1:26" s="59" customFormat="1" ht="16.5" customHeight="1" outlineLevel="1" x14ac:dyDescent="0.2">
      <c r="A14" s="55"/>
      <c r="B14" s="56"/>
      <c r="C14" s="56"/>
      <c r="D14" s="106" t="s">
        <v>60</v>
      </c>
      <c r="E14" s="105"/>
      <c r="F14" s="106" t="s">
        <v>61</v>
      </c>
      <c r="G14" s="105"/>
      <c r="H14" s="106" t="s">
        <v>62</v>
      </c>
      <c r="I14" s="105"/>
      <c r="J14" s="106" t="s">
        <v>63</v>
      </c>
      <c r="K14" s="57"/>
      <c r="L14" s="56"/>
      <c r="M14" s="58"/>
      <c r="N14" s="75"/>
      <c r="O14" s="75"/>
      <c r="P14" s="75"/>
      <c r="Q14" s="75"/>
      <c r="R14" s="75"/>
      <c r="S14" s="75"/>
      <c r="T14" s="75"/>
      <c r="U14" s="75"/>
      <c r="V14" s="75"/>
      <c r="W14" s="75"/>
      <c r="X14" s="75"/>
      <c r="Y14" s="75"/>
      <c r="Z14" s="75"/>
    </row>
    <row r="15" spans="1:26" s="59" customFormat="1" ht="5.0999999999999996" customHeight="1" outlineLevel="1" x14ac:dyDescent="0.2">
      <c r="A15" s="47"/>
      <c r="B15" s="53"/>
      <c r="C15" s="53"/>
      <c r="D15" s="63"/>
      <c r="E15" s="53"/>
      <c r="F15" s="63"/>
      <c r="G15" s="53"/>
      <c r="H15" s="63"/>
      <c r="I15" s="53"/>
      <c r="J15" s="63"/>
      <c r="K15" s="53"/>
      <c r="L15" s="53"/>
      <c r="M15" s="54"/>
      <c r="N15" s="75"/>
      <c r="O15" s="75"/>
      <c r="P15" s="75"/>
      <c r="Q15" s="84"/>
      <c r="R15" s="75"/>
      <c r="S15" s="75"/>
      <c r="T15" s="75"/>
      <c r="U15" s="75"/>
      <c r="V15" s="75"/>
      <c r="W15" s="75"/>
      <c r="X15" s="75"/>
      <c r="Y15" s="75"/>
      <c r="Z15" s="75"/>
    </row>
    <row r="16" spans="1:26" s="46" customFormat="1" ht="12" customHeight="1" outlineLevel="1" x14ac:dyDescent="0.25">
      <c r="A16" s="55"/>
      <c r="B16" s="73" t="s">
        <v>56</v>
      </c>
      <c r="C16" s="60"/>
      <c r="D16" s="71"/>
      <c r="E16" s="60"/>
      <c r="F16" s="71"/>
      <c r="G16" s="60"/>
      <c r="H16" s="71"/>
      <c r="I16" s="60"/>
      <c r="J16" s="71"/>
      <c r="K16" s="57"/>
      <c r="L16" s="62" t="s">
        <v>37</v>
      </c>
      <c r="M16" s="58"/>
      <c r="N16" s="76"/>
      <c r="O16" s="76"/>
      <c r="P16" s="76"/>
      <c r="Q16" s="76"/>
      <c r="R16" s="76"/>
      <c r="S16" s="76"/>
      <c r="T16" s="76"/>
      <c r="U16" s="76"/>
      <c r="V16" s="76"/>
      <c r="W16" s="76"/>
      <c r="X16" s="76"/>
      <c r="Y16" s="76"/>
      <c r="Z16" s="76"/>
    </row>
    <row r="17" spans="1:26" s="59" customFormat="1" ht="5.0999999999999996" customHeight="1" outlineLevel="1" x14ac:dyDescent="0.2">
      <c r="A17" s="47"/>
      <c r="B17" s="53"/>
      <c r="C17" s="53"/>
      <c r="D17" s="63"/>
      <c r="E17" s="53"/>
      <c r="F17" s="63"/>
      <c r="G17" s="53"/>
      <c r="H17" s="63"/>
      <c r="I17" s="53"/>
      <c r="J17" s="63"/>
      <c r="K17" s="53"/>
      <c r="L17" s="53"/>
      <c r="M17" s="54"/>
      <c r="N17" s="75"/>
      <c r="O17" s="75"/>
      <c r="P17" s="75"/>
      <c r="Q17" s="84"/>
      <c r="R17" s="75"/>
      <c r="S17" s="75"/>
      <c r="T17" s="75"/>
      <c r="U17" s="75"/>
      <c r="V17" s="75"/>
      <c r="W17" s="75"/>
      <c r="X17" s="75"/>
      <c r="Y17" s="75"/>
      <c r="Z17" s="75"/>
    </row>
    <row r="18" spans="1:26" s="46" customFormat="1" ht="12" customHeight="1" outlineLevel="1" x14ac:dyDescent="0.25">
      <c r="A18" s="55"/>
      <c r="B18" s="74" t="s">
        <v>126</v>
      </c>
      <c r="C18" s="60"/>
      <c r="D18" s="71"/>
      <c r="E18" s="60"/>
      <c r="F18" s="71"/>
      <c r="G18" s="60"/>
      <c r="H18" s="71"/>
      <c r="I18" s="60"/>
      <c r="J18" s="71"/>
      <c r="K18" s="57"/>
      <c r="L18" s="62" t="s">
        <v>37</v>
      </c>
      <c r="M18" s="58"/>
      <c r="N18" s="76"/>
      <c r="O18" s="76"/>
      <c r="P18" s="76"/>
      <c r="Q18" s="76"/>
      <c r="R18" s="76"/>
      <c r="S18" s="76"/>
      <c r="T18" s="76"/>
      <c r="U18" s="76"/>
      <c r="V18" s="76"/>
      <c r="W18" s="76"/>
      <c r="X18" s="76"/>
      <c r="Y18" s="76"/>
      <c r="Z18" s="76"/>
    </row>
    <row r="19" spans="1:26" s="59" customFormat="1" ht="5.0999999999999996" customHeight="1" outlineLevel="1" x14ac:dyDescent="0.2">
      <c r="A19" s="47"/>
      <c r="B19" s="53"/>
      <c r="C19" s="53"/>
      <c r="D19" s="63"/>
      <c r="E19" s="53"/>
      <c r="F19" s="63"/>
      <c r="G19" s="53"/>
      <c r="H19" s="63"/>
      <c r="I19" s="53"/>
      <c r="J19" s="63"/>
      <c r="K19" s="53"/>
      <c r="L19" s="53"/>
      <c r="M19" s="54"/>
      <c r="N19" s="75"/>
      <c r="O19" s="75"/>
      <c r="P19" s="75"/>
      <c r="Q19" s="84"/>
      <c r="R19" s="75"/>
      <c r="S19" s="75"/>
      <c r="T19" s="75"/>
      <c r="U19" s="75"/>
      <c r="V19" s="75"/>
      <c r="W19" s="75"/>
      <c r="X19" s="75"/>
      <c r="Y19" s="75"/>
      <c r="Z19" s="75"/>
    </row>
    <row r="20" spans="1:26" s="59" customFormat="1" ht="12" customHeight="1" outlineLevel="1" x14ac:dyDescent="0.25">
      <c r="A20" s="47"/>
      <c r="B20" s="73" t="s">
        <v>53</v>
      </c>
      <c r="C20" s="53"/>
      <c r="D20" s="71"/>
      <c r="E20" s="53"/>
      <c r="F20" s="71"/>
      <c r="G20" s="53"/>
      <c r="H20" s="71"/>
      <c r="I20" s="53"/>
      <c r="J20" s="71"/>
      <c r="K20" s="53"/>
      <c r="L20" s="62" t="s">
        <v>37</v>
      </c>
      <c r="M20" s="54"/>
      <c r="N20" s="75"/>
      <c r="O20" s="75"/>
      <c r="P20" s="75"/>
      <c r="Q20" s="75"/>
      <c r="R20" s="75"/>
      <c r="S20" s="75"/>
      <c r="T20" s="75"/>
      <c r="U20" s="75"/>
      <c r="V20" s="75"/>
      <c r="W20" s="75"/>
      <c r="X20" s="75"/>
      <c r="Y20" s="75"/>
      <c r="Z20" s="75"/>
    </row>
    <row r="21" spans="1:26" s="59" customFormat="1" ht="5.0999999999999996" customHeight="1" outlineLevel="1" x14ac:dyDescent="0.2">
      <c r="A21" s="47"/>
      <c r="B21" s="53"/>
      <c r="C21" s="53"/>
      <c r="D21" s="63"/>
      <c r="E21" s="53"/>
      <c r="F21" s="63"/>
      <c r="G21" s="53"/>
      <c r="H21" s="63"/>
      <c r="I21" s="53"/>
      <c r="J21" s="63"/>
      <c r="K21" s="53"/>
      <c r="L21" s="53"/>
      <c r="M21" s="54"/>
      <c r="N21" s="75"/>
      <c r="O21" s="75"/>
      <c r="P21" s="75"/>
      <c r="Q21" s="84"/>
      <c r="R21" s="75"/>
      <c r="S21" s="75"/>
      <c r="T21" s="75"/>
      <c r="U21" s="75"/>
      <c r="V21" s="75"/>
      <c r="W21" s="75"/>
      <c r="X21" s="75"/>
      <c r="Y21" s="75"/>
      <c r="Z21" s="75"/>
    </row>
    <row r="22" spans="1:26" s="59" customFormat="1" ht="12" customHeight="1" outlineLevel="1" x14ac:dyDescent="0.25">
      <c r="A22" s="47"/>
      <c r="B22" s="73" t="s">
        <v>125</v>
      </c>
      <c r="C22" s="53"/>
      <c r="D22" s="71"/>
      <c r="E22" s="53"/>
      <c r="F22" s="71"/>
      <c r="G22" s="53"/>
      <c r="H22" s="71"/>
      <c r="I22" s="53"/>
      <c r="J22" s="71"/>
      <c r="K22" s="53"/>
      <c r="L22" s="62" t="s">
        <v>37</v>
      </c>
      <c r="M22" s="54"/>
      <c r="N22" s="75"/>
      <c r="O22" s="75"/>
      <c r="P22" s="75"/>
      <c r="Q22" s="84"/>
      <c r="R22" s="75"/>
      <c r="S22" s="75"/>
      <c r="T22" s="75"/>
      <c r="U22" s="75"/>
      <c r="V22" s="75"/>
      <c r="W22" s="75"/>
      <c r="X22" s="75"/>
      <c r="Y22" s="75"/>
      <c r="Z22" s="75"/>
    </row>
    <row r="23" spans="1:26" s="59" customFormat="1" ht="5.0999999999999996" customHeight="1" outlineLevel="1" x14ac:dyDescent="0.2">
      <c r="A23" s="47"/>
      <c r="B23" s="53"/>
      <c r="C23" s="53"/>
      <c r="D23" s="63"/>
      <c r="E23" s="53"/>
      <c r="F23" s="63"/>
      <c r="G23" s="53"/>
      <c r="H23" s="63"/>
      <c r="I23" s="53"/>
      <c r="J23" s="63"/>
      <c r="K23" s="53"/>
      <c r="L23" s="53"/>
      <c r="M23" s="54"/>
      <c r="N23" s="75"/>
      <c r="O23" s="75"/>
      <c r="P23" s="75"/>
      <c r="Q23" s="84"/>
      <c r="R23" s="75"/>
      <c r="S23" s="75"/>
      <c r="T23" s="75"/>
      <c r="U23" s="75"/>
      <c r="V23" s="75"/>
      <c r="W23" s="75"/>
      <c r="X23" s="75"/>
      <c r="Y23" s="75"/>
      <c r="Z23" s="75"/>
    </row>
    <row r="24" spans="1:26" s="59" customFormat="1" ht="12" customHeight="1" outlineLevel="1" x14ac:dyDescent="0.25">
      <c r="A24" s="47"/>
      <c r="B24" s="65" t="s">
        <v>86</v>
      </c>
      <c r="C24" s="53"/>
      <c r="D24" s="71"/>
      <c r="E24" s="53"/>
      <c r="F24" s="71"/>
      <c r="G24" s="53"/>
      <c r="H24" s="71"/>
      <c r="I24" s="53"/>
      <c r="J24" s="71"/>
      <c r="K24" s="53"/>
      <c r="L24" s="62" t="s">
        <v>37</v>
      </c>
      <c r="M24" s="54"/>
      <c r="N24" s="75"/>
      <c r="O24" s="75"/>
      <c r="P24" s="75"/>
      <c r="Q24" s="75"/>
      <c r="R24" s="75"/>
      <c r="S24" s="75"/>
      <c r="T24" s="75"/>
      <c r="U24" s="75"/>
      <c r="V24" s="75"/>
      <c r="W24" s="75"/>
      <c r="X24" s="75"/>
      <c r="Y24" s="75"/>
      <c r="Z24" s="75"/>
    </row>
    <row r="25" spans="1:26" s="59" customFormat="1" ht="5.0999999999999996" customHeight="1" outlineLevel="1" x14ac:dyDescent="0.2">
      <c r="A25" s="47"/>
      <c r="B25" s="53"/>
      <c r="C25" s="53"/>
      <c r="D25" s="63"/>
      <c r="E25" s="53"/>
      <c r="F25" s="63"/>
      <c r="G25" s="53"/>
      <c r="H25" s="63"/>
      <c r="I25" s="53"/>
      <c r="J25" s="63"/>
      <c r="K25" s="53"/>
      <c r="L25" s="53"/>
      <c r="M25" s="54"/>
      <c r="N25" s="75"/>
      <c r="O25" s="75"/>
      <c r="P25" s="75"/>
      <c r="Q25" s="84"/>
      <c r="R25" s="75"/>
      <c r="S25" s="75"/>
      <c r="T25" s="75"/>
      <c r="U25" s="75"/>
      <c r="V25" s="75"/>
      <c r="W25" s="75"/>
      <c r="X25" s="75"/>
      <c r="Y25" s="75"/>
      <c r="Z25" s="75"/>
    </row>
    <row r="26" spans="1:26" s="59" customFormat="1" ht="14.25" customHeight="1" outlineLevel="1" x14ac:dyDescent="0.25">
      <c r="A26" s="55"/>
      <c r="B26" s="73" t="s">
        <v>87</v>
      </c>
      <c r="C26" s="53"/>
      <c r="D26" s="71"/>
      <c r="E26" s="53"/>
      <c r="F26" s="71"/>
      <c r="G26" s="53"/>
      <c r="H26" s="71"/>
      <c r="I26" s="53"/>
      <c r="J26" s="71"/>
      <c r="K26" s="53"/>
      <c r="L26" s="62" t="s">
        <v>37</v>
      </c>
      <c r="M26" s="58"/>
      <c r="N26" s="75"/>
      <c r="O26" s="75"/>
      <c r="P26" s="75"/>
      <c r="Q26" s="75"/>
      <c r="R26" s="83"/>
      <c r="S26" s="75"/>
      <c r="T26" s="75"/>
      <c r="U26" s="75"/>
      <c r="V26" s="75"/>
      <c r="W26" s="75"/>
      <c r="X26" s="75"/>
      <c r="Y26" s="75"/>
      <c r="Z26" s="75"/>
    </row>
    <row r="27" spans="1:26" s="59" customFormat="1" ht="6.75" customHeight="1" outlineLevel="1" x14ac:dyDescent="0.2">
      <c r="A27" s="47"/>
      <c r="B27" s="53"/>
      <c r="C27" s="53"/>
      <c r="D27" s="63"/>
      <c r="E27" s="53"/>
      <c r="F27" s="63"/>
      <c r="G27" s="53"/>
      <c r="H27" s="63"/>
      <c r="I27" s="53"/>
      <c r="J27" s="63"/>
      <c r="K27" s="53"/>
      <c r="L27" s="53"/>
      <c r="M27" s="54"/>
      <c r="N27" s="75"/>
      <c r="O27" s="75"/>
      <c r="P27" s="75"/>
      <c r="Q27" s="84"/>
      <c r="R27" s="75"/>
      <c r="S27" s="75"/>
      <c r="T27" s="75"/>
      <c r="U27" s="75"/>
      <c r="V27" s="75"/>
      <c r="W27" s="75"/>
      <c r="X27" s="75"/>
      <c r="Y27" s="75"/>
      <c r="Z27" s="75"/>
    </row>
    <row r="28" spans="1:26" s="59" customFormat="1" ht="14.25" customHeight="1" outlineLevel="1" x14ac:dyDescent="0.25">
      <c r="A28" s="55"/>
      <c r="B28" s="73" t="s">
        <v>88</v>
      </c>
      <c r="C28" s="73"/>
      <c r="D28" s="61">
        <f>(D30+D32)*FSBe</f>
        <v>0</v>
      </c>
      <c r="E28" s="60"/>
      <c r="F28" s="61">
        <f>(F30+F32)*Be</f>
        <v>0</v>
      </c>
      <c r="G28" s="60"/>
      <c r="H28" s="61">
        <f>(H30+H32)*Be</f>
        <v>0</v>
      </c>
      <c r="I28" s="60"/>
      <c r="J28" s="61">
        <f>(J30+J32)*Be</f>
        <v>0</v>
      </c>
      <c r="K28" s="73"/>
      <c r="L28" s="62" t="s">
        <v>37</v>
      </c>
      <c r="M28" s="58"/>
      <c r="N28" s="75"/>
      <c r="O28" s="75"/>
      <c r="P28" s="75"/>
      <c r="Q28" s="75"/>
      <c r="R28" s="83"/>
      <c r="S28" s="75"/>
      <c r="T28" s="75"/>
      <c r="U28" s="75"/>
      <c r="V28" s="75"/>
      <c r="W28" s="75"/>
      <c r="X28" s="75"/>
      <c r="Y28" s="75"/>
      <c r="Z28" s="75"/>
    </row>
    <row r="29" spans="1:26" s="59" customFormat="1" ht="5.0999999999999996" customHeight="1" outlineLevel="1" x14ac:dyDescent="0.2">
      <c r="A29" s="47"/>
      <c r="B29" s="53"/>
      <c r="C29" s="53"/>
      <c r="D29" s="63"/>
      <c r="E29" s="53"/>
      <c r="F29" s="63"/>
      <c r="G29" s="53"/>
      <c r="H29" s="63"/>
      <c r="I29" s="53"/>
      <c r="J29" s="63"/>
      <c r="K29" s="53"/>
      <c r="L29" s="53"/>
      <c r="M29" s="54"/>
      <c r="N29" s="75"/>
      <c r="O29" s="75"/>
      <c r="P29" s="75"/>
      <c r="Q29" s="84"/>
      <c r="R29" s="75"/>
      <c r="S29" s="75"/>
      <c r="T29" s="75"/>
      <c r="U29" s="75"/>
      <c r="V29" s="75"/>
      <c r="W29" s="75"/>
      <c r="X29" s="75"/>
      <c r="Y29" s="75"/>
      <c r="Z29" s="75"/>
    </row>
    <row r="30" spans="1:26" s="59" customFormat="1" ht="14.25" customHeight="1" outlineLevel="1" x14ac:dyDescent="0.2">
      <c r="A30" s="55"/>
      <c r="B30" s="77" t="s">
        <v>89</v>
      </c>
      <c r="C30" s="53"/>
      <c r="D30" s="71"/>
      <c r="E30" s="53"/>
      <c r="F30" s="71"/>
      <c r="G30" s="53"/>
      <c r="H30" s="71"/>
      <c r="I30" s="53"/>
      <c r="J30" s="71"/>
      <c r="K30" s="53"/>
      <c r="L30" s="62" t="s">
        <v>42</v>
      </c>
      <c r="M30" s="58"/>
      <c r="N30" s="75"/>
      <c r="O30" s="75"/>
      <c r="P30" s="75"/>
      <c r="Q30" s="75"/>
      <c r="R30" s="83"/>
      <c r="S30" s="75"/>
      <c r="T30" s="75"/>
      <c r="U30" s="75"/>
      <c r="V30" s="75"/>
      <c r="W30" s="75"/>
      <c r="X30" s="75"/>
      <c r="Y30" s="75"/>
      <c r="Z30" s="75"/>
    </row>
    <row r="31" spans="1:26" s="59" customFormat="1" ht="5.0999999999999996" customHeight="1" outlineLevel="1" x14ac:dyDescent="0.2">
      <c r="A31" s="47"/>
      <c r="B31" s="53"/>
      <c r="C31" s="53"/>
      <c r="D31" s="63"/>
      <c r="E31" s="53"/>
      <c r="F31" s="63"/>
      <c r="G31" s="53"/>
      <c r="H31" s="63"/>
      <c r="I31" s="53"/>
      <c r="J31" s="63"/>
      <c r="K31" s="53"/>
      <c r="L31" s="53"/>
      <c r="M31" s="54"/>
      <c r="N31" s="75"/>
      <c r="O31" s="75"/>
      <c r="P31" s="75"/>
      <c r="Q31" s="84"/>
      <c r="R31" s="75"/>
      <c r="S31" s="75"/>
      <c r="T31" s="75"/>
      <c r="U31" s="75"/>
      <c r="V31" s="75"/>
      <c r="W31" s="75"/>
      <c r="X31" s="75"/>
      <c r="Y31" s="75"/>
      <c r="Z31" s="75"/>
    </row>
    <row r="32" spans="1:26" s="59" customFormat="1" ht="14.25" customHeight="1" outlineLevel="1" x14ac:dyDescent="0.2">
      <c r="A32" s="55"/>
      <c r="B32" s="77" t="s">
        <v>90</v>
      </c>
      <c r="C32" s="53"/>
      <c r="D32" s="71"/>
      <c r="E32" s="53"/>
      <c r="F32" s="71"/>
      <c r="G32" s="53"/>
      <c r="H32" s="71"/>
      <c r="I32" s="53"/>
      <c r="J32" s="71"/>
      <c r="K32" s="53"/>
      <c r="L32" s="62" t="s">
        <v>42</v>
      </c>
      <c r="M32" s="58"/>
      <c r="N32" s="75"/>
      <c r="O32" s="75"/>
      <c r="P32" s="75"/>
      <c r="Q32" s="75"/>
      <c r="R32" s="83"/>
      <c r="S32" s="75"/>
      <c r="T32" s="75"/>
      <c r="U32" s="75"/>
      <c r="V32" s="75"/>
      <c r="W32" s="75"/>
      <c r="X32" s="75"/>
      <c r="Y32" s="75"/>
      <c r="Z32" s="75"/>
    </row>
    <row r="33" spans="1:26" s="59" customFormat="1" ht="6.75" customHeight="1" outlineLevel="1" x14ac:dyDescent="0.2">
      <c r="A33" s="47"/>
      <c r="B33" s="53"/>
      <c r="C33" s="53"/>
      <c r="D33" s="63"/>
      <c r="E33" s="53"/>
      <c r="F33" s="63"/>
      <c r="G33" s="53"/>
      <c r="H33" s="63"/>
      <c r="I33" s="53"/>
      <c r="J33" s="63"/>
      <c r="K33" s="53"/>
      <c r="L33" s="53"/>
      <c r="M33" s="54"/>
      <c r="N33" s="75"/>
      <c r="O33" s="75"/>
      <c r="P33" s="75"/>
      <c r="Q33" s="84"/>
      <c r="R33" s="75"/>
      <c r="S33" s="75"/>
      <c r="T33" s="75"/>
      <c r="U33" s="75"/>
      <c r="V33" s="75"/>
      <c r="W33" s="75"/>
      <c r="X33" s="75"/>
      <c r="Y33" s="75"/>
      <c r="Z33" s="75"/>
    </row>
    <row r="34" spans="1:26" s="59" customFormat="1" ht="14.25" customHeight="1" outlineLevel="1" x14ac:dyDescent="0.25">
      <c r="A34" s="55"/>
      <c r="B34" s="73" t="s">
        <v>74</v>
      </c>
      <c r="C34" s="53"/>
      <c r="D34" s="61">
        <f>(D36+D38)*FSBh</f>
        <v>0</v>
      </c>
      <c r="E34" s="60"/>
      <c r="F34" s="61">
        <f>(F36+F38)*Bh</f>
        <v>0</v>
      </c>
      <c r="G34" s="60"/>
      <c r="H34" s="61">
        <f>(H36+H38)*Bh</f>
        <v>0</v>
      </c>
      <c r="I34" s="60"/>
      <c r="J34" s="61">
        <f>(J36+J38)*Bh</f>
        <v>0</v>
      </c>
      <c r="K34" s="53"/>
      <c r="L34" s="62" t="s">
        <v>37</v>
      </c>
      <c r="M34" s="58"/>
      <c r="N34" s="75"/>
      <c r="O34" s="75"/>
      <c r="P34" s="75"/>
      <c r="Q34" s="75"/>
      <c r="R34" s="83"/>
      <c r="S34" s="75"/>
      <c r="T34" s="75"/>
      <c r="U34" s="75"/>
      <c r="V34" s="75"/>
      <c r="W34" s="75"/>
      <c r="X34" s="75"/>
      <c r="Y34" s="75"/>
      <c r="Z34" s="75"/>
    </row>
    <row r="35" spans="1:26" s="59" customFormat="1" ht="5.0999999999999996" customHeight="1" outlineLevel="1" x14ac:dyDescent="0.2">
      <c r="A35" s="47"/>
      <c r="B35" s="53"/>
      <c r="C35" s="53"/>
      <c r="D35" s="63"/>
      <c r="E35" s="53"/>
      <c r="F35" s="63"/>
      <c r="G35" s="53"/>
      <c r="H35" s="63"/>
      <c r="I35" s="53"/>
      <c r="J35" s="63"/>
      <c r="K35" s="53"/>
      <c r="L35" s="53"/>
      <c r="M35" s="54"/>
      <c r="N35" s="75"/>
      <c r="O35" s="75"/>
      <c r="P35" s="75"/>
      <c r="Q35" s="84"/>
      <c r="R35" s="75"/>
      <c r="S35" s="75"/>
      <c r="T35" s="75"/>
      <c r="U35" s="75"/>
      <c r="V35" s="75"/>
      <c r="W35" s="75"/>
      <c r="X35" s="75"/>
      <c r="Y35" s="75"/>
      <c r="Z35" s="75"/>
    </row>
    <row r="36" spans="1:26" s="59" customFormat="1" ht="14.25" customHeight="1" outlineLevel="1" x14ac:dyDescent="0.2">
      <c r="A36" s="55"/>
      <c r="B36" s="77" t="s">
        <v>70</v>
      </c>
      <c r="C36" s="53"/>
      <c r="D36" s="71"/>
      <c r="E36" s="53"/>
      <c r="F36" s="71"/>
      <c r="G36" s="53"/>
      <c r="H36" s="71"/>
      <c r="I36" s="53"/>
      <c r="J36" s="71"/>
      <c r="K36" s="53"/>
      <c r="L36" s="62" t="s">
        <v>16</v>
      </c>
      <c r="M36" s="58"/>
      <c r="N36" s="75"/>
      <c r="O36" s="75"/>
      <c r="P36" s="75"/>
      <c r="Q36" s="75"/>
      <c r="R36" s="83"/>
      <c r="S36" s="75"/>
      <c r="T36" s="75"/>
      <c r="U36" s="75"/>
      <c r="V36" s="75"/>
      <c r="W36" s="75"/>
      <c r="X36" s="75"/>
      <c r="Y36" s="75"/>
      <c r="Z36" s="75"/>
    </row>
    <row r="37" spans="1:26" s="59" customFormat="1" ht="5.0999999999999996" customHeight="1" outlineLevel="1" x14ac:dyDescent="0.2">
      <c r="A37" s="47"/>
      <c r="B37" s="53"/>
      <c r="C37" s="53"/>
      <c r="D37" s="63"/>
      <c r="E37" s="53"/>
      <c r="F37" s="63"/>
      <c r="G37" s="53"/>
      <c r="H37" s="63"/>
      <c r="I37" s="53"/>
      <c r="J37" s="63"/>
      <c r="K37" s="53"/>
      <c r="L37" s="53"/>
      <c r="M37" s="54"/>
      <c r="N37" s="75"/>
      <c r="O37" s="75"/>
      <c r="P37" s="75"/>
      <c r="Q37" s="84"/>
      <c r="R37" s="75"/>
      <c r="S37" s="75"/>
      <c r="T37" s="75"/>
      <c r="U37" s="75"/>
      <c r="V37" s="75"/>
      <c r="W37" s="75"/>
      <c r="X37" s="75"/>
      <c r="Y37" s="75"/>
      <c r="Z37" s="75"/>
    </row>
    <row r="38" spans="1:26" s="59" customFormat="1" ht="14.25" customHeight="1" outlineLevel="1" x14ac:dyDescent="0.2">
      <c r="A38" s="55"/>
      <c r="B38" s="77" t="s">
        <v>91</v>
      </c>
      <c r="C38" s="53"/>
      <c r="D38" s="71"/>
      <c r="E38" s="53"/>
      <c r="F38" s="71"/>
      <c r="G38" s="53"/>
      <c r="H38" s="71"/>
      <c r="I38" s="53"/>
      <c r="J38" s="71"/>
      <c r="K38" s="53"/>
      <c r="L38" s="62" t="s">
        <v>16</v>
      </c>
      <c r="M38" s="58"/>
      <c r="N38" s="75"/>
      <c r="O38" s="75"/>
      <c r="P38" s="75"/>
      <c r="Q38" s="75"/>
      <c r="R38" s="83"/>
      <c r="S38" s="75"/>
      <c r="T38" s="75"/>
      <c r="U38" s="75"/>
      <c r="V38" s="75"/>
      <c r="W38" s="75"/>
      <c r="X38" s="75"/>
      <c r="Y38" s="75"/>
      <c r="Z38" s="75"/>
    </row>
    <row r="39" spans="1:26" s="59" customFormat="1" ht="6.75" customHeight="1" outlineLevel="1" x14ac:dyDescent="0.2">
      <c r="A39" s="47"/>
      <c r="B39" s="53"/>
      <c r="C39" s="53"/>
      <c r="D39" s="63"/>
      <c r="E39" s="53"/>
      <c r="F39" s="63"/>
      <c r="G39" s="53"/>
      <c r="H39" s="63"/>
      <c r="I39" s="53"/>
      <c r="J39" s="63"/>
      <c r="K39" s="53"/>
      <c r="L39" s="53"/>
      <c r="M39" s="54"/>
      <c r="N39" s="75"/>
      <c r="O39" s="75"/>
      <c r="P39" s="75"/>
      <c r="Q39" s="84"/>
      <c r="R39" s="75"/>
      <c r="S39" s="75"/>
      <c r="T39" s="75"/>
      <c r="U39" s="75"/>
      <c r="V39" s="75"/>
      <c r="W39" s="75"/>
      <c r="X39" s="75"/>
      <c r="Y39" s="75"/>
      <c r="Z39" s="75"/>
    </row>
    <row r="40" spans="1:26" s="59" customFormat="1" ht="14.25" customHeight="1" outlineLevel="1" x14ac:dyDescent="0.25">
      <c r="A40" s="55"/>
      <c r="B40" s="73" t="s">
        <v>75</v>
      </c>
      <c r="C40" s="53"/>
      <c r="D40" s="61">
        <f>IF(RandU,-D43+D44*Ammended,D42)*FSBh2</f>
        <v>0</v>
      </c>
      <c r="E40" s="60"/>
      <c r="F40" s="61">
        <f>IF(RandU,-F43+F44*Ammended,F42)*Bhy</f>
        <v>0</v>
      </c>
      <c r="G40" s="60"/>
      <c r="H40" s="61">
        <f>IF(RandU,-H43+H44*Ammended,H42)*Bhy</f>
        <v>0</v>
      </c>
      <c r="I40" s="60"/>
      <c r="J40" s="61">
        <f>IF(RandU,-J43+J44*Ammended,J42)*Bhy</f>
        <v>0</v>
      </c>
      <c r="K40" s="53"/>
      <c r="L40" s="62" t="s">
        <v>37</v>
      </c>
      <c r="M40" s="58"/>
      <c r="N40" s="75"/>
      <c r="O40" s="75"/>
      <c r="P40" s="75"/>
      <c r="Q40" s="75"/>
      <c r="R40" s="83"/>
      <c r="S40" s="75"/>
      <c r="T40" s="75"/>
      <c r="U40" s="75"/>
      <c r="V40" s="75"/>
      <c r="W40" s="75"/>
      <c r="X40" s="75"/>
      <c r="Y40" s="75"/>
      <c r="Z40" s="75"/>
    </row>
    <row r="41" spans="1:26" s="59" customFormat="1" ht="5.0999999999999996" customHeight="1" outlineLevel="1" x14ac:dyDescent="0.2">
      <c r="A41" s="47"/>
      <c r="B41" s="53"/>
      <c r="C41" s="53"/>
      <c r="D41" s="63"/>
      <c r="E41" s="53"/>
      <c r="F41" s="63"/>
      <c r="G41" s="53"/>
      <c r="H41" s="63"/>
      <c r="I41" s="53"/>
      <c r="J41" s="63"/>
      <c r="K41" s="53"/>
      <c r="L41" s="53"/>
      <c r="M41" s="54"/>
      <c r="N41" s="75"/>
      <c r="O41" s="75"/>
      <c r="P41" s="75"/>
      <c r="Q41" s="84"/>
      <c r="R41" s="75"/>
      <c r="S41" s="75"/>
      <c r="T41" s="75"/>
      <c r="U41" s="75"/>
      <c r="V41" s="75"/>
      <c r="W41" s="75"/>
      <c r="X41" s="75"/>
      <c r="Y41" s="75"/>
      <c r="Z41" s="75"/>
    </row>
    <row r="42" spans="1:26" s="59" customFormat="1" ht="14.25" customHeight="1" outlineLevel="1" x14ac:dyDescent="0.2">
      <c r="A42" s="55"/>
      <c r="B42" s="77" t="s">
        <v>93</v>
      </c>
      <c r="C42" s="53"/>
      <c r="D42" s="71"/>
      <c r="E42" s="53"/>
      <c r="F42" s="71"/>
      <c r="G42" s="53"/>
      <c r="H42" s="71"/>
      <c r="I42" s="53"/>
      <c r="J42" s="71"/>
      <c r="K42" s="53"/>
      <c r="L42" s="62" t="s">
        <v>43</v>
      </c>
      <c r="M42" s="58"/>
      <c r="N42" s="75"/>
      <c r="O42" s="75"/>
      <c r="P42" s="75"/>
      <c r="Q42" s="75"/>
      <c r="R42" s="83"/>
      <c r="S42" s="75"/>
      <c r="T42" s="75"/>
      <c r="U42" s="75"/>
      <c r="V42" s="75"/>
      <c r="W42" s="75"/>
      <c r="X42" s="75"/>
      <c r="Y42" s="75"/>
      <c r="Z42" s="75"/>
    </row>
    <row r="43" spans="1:26" s="59" customFormat="1" ht="14.25" customHeight="1" outlineLevel="1" x14ac:dyDescent="0.2">
      <c r="A43" s="55"/>
      <c r="B43" s="77" t="s">
        <v>100</v>
      </c>
      <c r="C43" s="53"/>
      <c r="D43" s="71"/>
      <c r="E43" s="53"/>
      <c r="F43" s="71"/>
      <c r="G43" s="53"/>
      <c r="H43" s="71"/>
      <c r="I43" s="53"/>
      <c r="J43" s="71"/>
      <c r="K43" s="53"/>
      <c r="L43" s="62" t="s">
        <v>43</v>
      </c>
      <c r="M43" s="58"/>
      <c r="N43" s="75"/>
      <c r="O43" s="75"/>
      <c r="P43" s="75"/>
      <c r="Q43" s="75"/>
      <c r="R43" s="83"/>
      <c r="S43" s="75"/>
      <c r="T43" s="75"/>
      <c r="U43" s="75"/>
      <c r="V43" s="75"/>
      <c r="W43" s="75"/>
      <c r="X43" s="75"/>
      <c r="Y43" s="75"/>
      <c r="Z43" s="75"/>
    </row>
    <row r="44" spans="1:26" s="59" customFormat="1" ht="14.25" customHeight="1" outlineLevel="1" x14ac:dyDescent="0.2">
      <c r="A44" s="55"/>
      <c r="B44" s="77" t="s">
        <v>107</v>
      </c>
      <c r="C44" s="53"/>
      <c r="D44" s="71"/>
      <c r="E44" s="53"/>
      <c r="F44" s="71"/>
      <c r="G44" s="53"/>
      <c r="H44" s="71"/>
      <c r="I44" s="53"/>
      <c r="J44" s="71"/>
      <c r="K44" s="53"/>
      <c r="L44" s="62" t="s">
        <v>43</v>
      </c>
      <c r="M44" s="58"/>
      <c r="N44" s="75"/>
      <c r="O44" s="75"/>
      <c r="P44" s="75"/>
      <c r="Q44" s="75"/>
      <c r="R44" s="83"/>
      <c r="S44" s="75"/>
      <c r="T44" s="75"/>
      <c r="U44" s="75"/>
      <c r="V44" s="75"/>
      <c r="W44" s="75"/>
      <c r="X44" s="75"/>
      <c r="Y44" s="75"/>
      <c r="Z44" s="75"/>
    </row>
    <row r="45" spans="1:26" s="59" customFormat="1" ht="5.0999999999999996" customHeight="1" outlineLevel="1" x14ac:dyDescent="0.2">
      <c r="A45" s="47"/>
      <c r="B45" s="53"/>
      <c r="C45" s="53"/>
      <c r="D45" s="63"/>
      <c r="E45" s="53"/>
      <c r="F45" s="63"/>
      <c r="G45" s="53"/>
      <c r="H45" s="63"/>
      <c r="I45" s="53"/>
      <c r="J45" s="63"/>
      <c r="K45" s="53"/>
      <c r="L45" s="53"/>
      <c r="M45" s="54"/>
      <c r="N45" s="75"/>
      <c r="O45" s="75"/>
      <c r="P45" s="75"/>
      <c r="Q45" s="84"/>
      <c r="R45" s="75"/>
      <c r="S45" s="75"/>
      <c r="T45" s="75"/>
      <c r="U45" s="75"/>
      <c r="V45" s="75"/>
      <c r="W45" s="75"/>
      <c r="X45" s="75"/>
      <c r="Y45" s="75"/>
      <c r="Z45" s="75"/>
    </row>
    <row r="46" spans="1:26" s="59" customFormat="1" ht="14.25" customHeight="1" outlineLevel="1" x14ac:dyDescent="0.25">
      <c r="A46" s="55"/>
      <c r="B46" s="73" t="s">
        <v>133</v>
      </c>
      <c r="C46" s="53"/>
      <c r="D46" s="71"/>
      <c r="E46" s="53"/>
      <c r="F46" s="71"/>
      <c r="G46" s="53"/>
      <c r="H46" s="71"/>
      <c r="I46" s="53"/>
      <c r="J46" s="71"/>
      <c r="K46" s="53"/>
      <c r="L46" s="62" t="s">
        <v>37</v>
      </c>
      <c r="M46" s="58"/>
      <c r="N46" s="75"/>
      <c r="O46" s="75"/>
      <c r="P46" s="75"/>
      <c r="Q46" s="75"/>
      <c r="R46" s="83"/>
      <c r="S46" s="75"/>
      <c r="T46" s="75"/>
      <c r="U46" s="75"/>
      <c r="V46" s="75"/>
      <c r="W46" s="75"/>
      <c r="X46" s="75"/>
      <c r="Y46" s="75"/>
      <c r="Z46" s="75"/>
    </row>
    <row r="47" spans="1:26" s="59" customFormat="1" ht="7.5" customHeight="1" outlineLevel="1" x14ac:dyDescent="0.2">
      <c r="A47" s="47"/>
      <c r="B47" s="53"/>
      <c r="C47" s="53"/>
      <c r="D47" s="70"/>
      <c r="E47" s="53"/>
      <c r="F47" s="70"/>
      <c r="G47" s="53"/>
      <c r="H47" s="70"/>
      <c r="I47" s="53"/>
      <c r="J47" s="70"/>
      <c r="K47" s="53"/>
      <c r="L47" s="53"/>
      <c r="M47" s="54"/>
      <c r="N47" s="75"/>
      <c r="O47" s="75"/>
      <c r="P47" s="75"/>
      <c r="Q47" s="84"/>
      <c r="R47" s="75"/>
      <c r="S47" s="75"/>
      <c r="T47" s="75"/>
      <c r="U47" s="75"/>
      <c r="V47" s="75"/>
      <c r="W47" s="75"/>
      <c r="X47" s="75"/>
      <c r="Y47" s="75"/>
      <c r="Z47" s="75"/>
    </row>
    <row r="48" spans="1:26" s="59" customFormat="1" ht="14.25" customHeight="1" outlineLevel="1" x14ac:dyDescent="0.2">
      <c r="A48" s="55"/>
      <c r="B48" s="73" t="s">
        <v>40</v>
      </c>
      <c r="C48" s="53"/>
      <c r="D48" s="71"/>
      <c r="E48" s="53"/>
      <c r="F48" s="71"/>
      <c r="G48" s="53"/>
      <c r="H48" s="71"/>
      <c r="I48" s="53"/>
      <c r="J48" s="71"/>
      <c r="K48" s="53"/>
      <c r="L48" s="62" t="s">
        <v>71</v>
      </c>
      <c r="M48" s="58"/>
      <c r="N48" s="75"/>
      <c r="O48" s="75"/>
      <c r="P48" s="75"/>
      <c r="Q48" s="75"/>
      <c r="R48" s="83"/>
      <c r="S48" s="75"/>
      <c r="T48" s="75"/>
      <c r="U48" s="75"/>
      <c r="V48" s="75"/>
      <c r="W48" s="75"/>
      <c r="X48" s="75"/>
      <c r="Y48" s="75"/>
      <c r="Z48" s="75"/>
    </row>
    <row r="49" spans="1:26" s="59" customFormat="1" ht="5.0999999999999996" customHeight="1" outlineLevel="1" x14ac:dyDescent="0.2">
      <c r="A49" s="47"/>
      <c r="B49" s="53"/>
      <c r="C49" s="53"/>
      <c r="D49" s="63"/>
      <c r="E49" s="53"/>
      <c r="F49" s="63"/>
      <c r="G49" s="53"/>
      <c r="H49" s="63"/>
      <c r="I49" s="53"/>
      <c r="J49" s="63"/>
      <c r="K49" s="53"/>
      <c r="L49" s="53"/>
      <c r="M49" s="54"/>
      <c r="N49" s="75"/>
      <c r="O49" s="75"/>
      <c r="P49" s="75"/>
      <c r="Q49" s="84"/>
      <c r="R49" s="75"/>
      <c r="S49" s="75"/>
      <c r="T49" s="75"/>
      <c r="U49" s="75"/>
      <c r="V49" s="75"/>
      <c r="W49" s="75"/>
      <c r="X49" s="75"/>
      <c r="Y49" s="75"/>
      <c r="Z49" s="75"/>
    </row>
    <row r="50" spans="1:26" s="46" customFormat="1" ht="12" customHeight="1" outlineLevel="1" x14ac:dyDescent="0.2">
      <c r="A50" s="55"/>
      <c r="B50" s="73" t="s">
        <v>47</v>
      </c>
      <c r="C50" s="60"/>
      <c r="D50" s="72">
        <v>0</v>
      </c>
      <c r="E50" s="60"/>
      <c r="F50" s="72">
        <v>0</v>
      </c>
      <c r="G50" s="60"/>
      <c r="H50" s="72">
        <v>0</v>
      </c>
      <c r="I50" s="60"/>
      <c r="J50" s="72">
        <v>0</v>
      </c>
      <c r="K50" s="57"/>
      <c r="L50" s="62" t="s">
        <v>39</v>
      </c>
      <c r="M50" s="58"/>
      <c r="N50" s="76"/>
      <c r="O50" s="76"/>
      <c r="P50" s="76"/>
      <c r="Q50" s="76"/>
      <c r="R50" s="76"/>
      <c r="S50" s="76"/>
      <c r="T50" s="76"/>
      <c r="U50" s="76"/>
      <c r="V50" s="76"/>
      <c r="W50" s="76"/>
      <c r="X50" s="76"/>
      <c r="Y50" s="76"/>
      <c r="Z50" s="76"/>
    </row>
    <row r="51" spans="1:26" s="59" customFormat="1" ht="5.0999999999999996" customHeight="1" outlineLevel="1" x14ac:dyDescent="0.2">
      <c r="A51" s="47"/>
      <c r="B51" s="53"/>
      <c r="C51" s="53"/>
      <c r="D51" s="63"/>
      <c r="E51" s="53"/>
      <c r="F51" s="63"/>
      <c r="G51" s="53"/>
      <c r="H51" s="63"/>
      <c r="I51" s="53"/>
      <c r="J51" s="63"/>
      <c r="K51" s="53"/>
      <c r="L51" s="53"/>
      <c r="M51" s="54"/>
      <c r="N51" s="75"/>
      <c r="O51" s="75"/>
      <c r="P51" s="75"/>
      <c r="Q51" s="84"/>
      <c r="R51" s="75"/>
      <c r="S51" s="75"/>
      <c r="T51" s="75"/>
      <c r="U51" s="75"/>
      <c r="V51" s="75"/>
      <c r="W51" s="75"/>
      <c r="X51" s="75"/>
      <c r="Y51" s="75"/>
      <c r="Z51" s="75"/>
    </row>
    <row r="52" spans="1:26" s="46" customFormat="1" ht="12" customHeight="1" outlineLevel="1" x14ac:dyDescent="0.25">
      <c r="A52" s="55"/>
      <c r="B52" s="73" t="s">
        <v>58</v>
      </c>
      <c r="C52" s="60"/>
      <c r="D52" s="61">
        <f>D16-D20+D22+D24-D46*Ammended</f>
        <v>0</v>
      </c>
      <c r="E52" s="60"/>
      <c r="F52" s="61">
        <f>F16-F20+F22+F24-F46*Ammended</f>
        <v>0</v>
      </c>
      <c r="G52" s="60"/>
      <c r="H52" s="61">
        <f>H16-H20+H22+H24-H46*Ammended</f>
        <v>0</v>
      </c>
      <c r="I52" s="60"/>
      <c r="J52" s="61">
        <f>J16-J20+J22+J24-J46*Ammended</f>
        <v>0</v>
      </c>
      <c r="K52" s="57"/>
      <c r="L52" s="62" t="s">
        <v>37</v>
      </c>
      <c r="M52" s="58"/>
      <c r="N52" s="76"/>
      <c r="O52" s="135"/>
      <c r="P52" s="76"/>
      <c r="Q52" s="135"/>
      <c r="R52" s="76"/>
      <c r="S52" s="76"/>
      <c r="T52" s="76"/>
      <c r="U52" s="76"/>
      <c r="V52" s="76"/>
      <c r="W52" s="76"/>
      <c r="X52" s="76"/>
      <c r="Y52" s="76"/>
      <c r="Z52" s="76"/>
    </row>
    <row r="53" spans="1:26" s="59" customFormat="1" ht="5.0999999999999996" customHeight="1" outlineLevel="1" x14ac:dyDescent="0.2">
      <c r="A53" s="47"/>
      <c r="B53" s="53"/>
      <c r="C53" s="53"/>
      <c r="D53" s="63"/>
      <c r="E53" s="53"/>
      <c r="F53" s="63"/>
      <c r="G53" s="53"/>
      <c r="H53" s="63"/>
      <c r="I53" s="53"/>
      <c r="J53" s="63"/>
      <c r="K53" s="53"/>
      <c r="L53" s="53"/>
      <c r="M53" s="54"/>
      <c r="N53" s="75"/>
      <c r="O53" s="75"/>
      <c r="P53" s="75"/>
      <c r="Q53" s="84"/>
      <c r="R53" s="75"/>
      <c r="S53" s="75"/>
      <c r="T53" s="75"/>
      <c r="U53" s="75"/>
      <c r="V53" s="75"/>
      <c r="W53" s="75"/>
      <c r="X53" s="75"/>
      <c r="Y53" s="75"/>
      <c r="Z53" s="75"/>
    </row>
    <row r="54" spans="1:26" s="46" customFormat="1" ht="12" customHeight="1" outlineLevel="1" x14ac:dyDescent="0.25">
      <c r="A54" s="55"/>
      <c r="B54" s="73" t="s">
        <v>98</v>
      </c>
      <c r="C54" s="60"/>
      <c r="D54" s="133" t="str">
        <f>IFERROR(((D52-(D18+D22)*NOT(RandU)-D26+D34+D40))/D48,"")</f>
        <v/>
      </c>
      <c r="E54" s="60"/>
      <c r="F54" s="133" t="str">
        <f>IFERROR(((F52-(F18+F22)*NOT(RandU)-F26+F34+F40))/F48,"")</f>
        <v/>
      </c>
      <c r="G54" s="60"/>
      <c r="H54" s="133" t="str">
        <f>IFERROR(((H52-(H18+H22)*NOT(RandU)-H26+H34+H40))/H48,"")</f>
        <v/>
      </c>
      <c r="I54" s="60"/>
      <c r="J54" s="133" t="str">
        <f>IFERROR(((J52-(J18+J22)*NOT(RandU)-J26+J34+J40))/J48,"")</f>
        <v/>
      </c>
      <c r="K54" s="57"/>
      <c r="L54" s="62" t="s">
        <v>46</v>
      </c>
      <c r="M54" s="58"/>
      <c r="N54" s="76"/>
      <c r="O54" s="76"/>
      <c r="P54" s="76"/>
      <c r="Q54" s="76"/>
      <c r="R54" s="76"/>
      <c r="S54" s="76"/>
      <c r="T54" s="76"/>
      <c r="U54" s="76"/>
      <c r="V54" s="76"/>
      <c r="W54" s="76"/>
      <c r="X54" s="76"/>
      <c r="Y54" s="76"/>
      <c r="Z54" s="76"/>
    </row>
    <row r="55" spans="1:26" s="59" customFormat="1" ht="5.0999999999999996" customHeight="1" outlineLevel="1" x14ac:dyDescent="0.2">
      <c r="A55" s="47"/>
      <c r="B55" s="53"/>
      <c r="C55" s="53"/>
      <c r="D55" s="63"/>
      <c r="E55" s="53"/>
      <c r="F55" s="63"/>
      <c r="G55" s="53"/>
      <c r="H55" s="63"/>
      <c r="I55" s="53"/>
      <c r="J55" s="63"/>
      <c r="K55" s="53"/>
      <c r="L55" s="53"/>
      <c r="M55" s="54"/>
      <c r="N55" s="75"/>
      <c r="O55" s="75"/>
      <c r="P55" s="75"/>
      <c r="Q55" s="84"/>
      <c r="R55" s="75"/>
      <c r="S55" s="75"/>
      <c r="T55" s="75"/>
      <c r="U55" s="75"/>
      <c r="V55" s="75"/>
      <c r="W55" s="75"/>
      <c r="X55" s="75"/>
      <c r="Y55" s="75"/>
      <c r="Z55" s="75"/>
    </row>
    <row r="56" spans="1:26" s="46" customFormat="1" ht="12" customHeight="1" outlineLevel="1" x14ac:dyDescent="0.25">
      <c r="A56" s="55"/>
      <c r="B56" s="73" t="s">
        <v>99</v>
      </c>
      <c r="C56" s="60"/>
      <c r="D56" s="133" t="str">
        <f>IFERROR(((D18+D22)*NOT(RandU)+D28)/D48,"")</f>
        <v/>
      </c>
      <c r="E56" s="60"/>
      <c r="F56" s="133" t="str">
        <f>IFERROR(((F18+F22)*NOT(RandU)+F28)/F48,"")</f>
        <v/>
      </c>
      <c r="G56" s="60"/>
      <c r="H56" s="133" t="str">
        <f>IFERROR(((H18+H22)*NOT(RandU)+H28)/H48,"")</f>
        <v/>
      </c>
      <c r="I56" s="60"/>
      <c r="J56" s="133" t="str">
        <f>IFERROR(((J18+J22)*NOT(RandU)+J28)/J48,"")</f>
        <v/>
      </c>
      <c r="K56" s="57"/>
      <c r="L56" s="62" t="s">
        <v>46</v>
      </c>
      <c r="M56" s="58"/>
      <c r="N56" s="76"/>
      <c r="O56" s="76"/>
      <c r="P56" s="76"/>
      <c r="Q56" s="76"/>
      <c r="R56" s="76"/>
      <c r="S56" s="76"/>
      <c r="T56" s="76"/>
      <c r="U56" s="76"/>
      <c r="V56" s="76"/>
      <c r="W56" s="76"/>
      <c r="X56" s="76"/>
      <c r="Y56" s="76"/>
      <c r="Z56" s="76"/>
    </row>
    <row r="57" spans="1:26" s="59" customFormat="1" ht="5.0999999999999996" customHeight="1" outlineLevel="1" x14ac:dyDescent="0.2">
      <c r="A57" s="47"/>
      <c r="B57" s="53"/>
      <c r="C57" s="53"/>
      <c r="D57" s="63"/>
      <c r="E57" s="53"/>
      <c r="F57" s="63"/>
      <c r="G57" s="53"/>
      <c r="H57" s="63"/>
      <c r="I57" s="53"/>
      <c r="J57" s="63"/>
      <c r="K57" s="53"/>
      <c r="L57" s="53"/>
      <c r="M57" s="54"/>
      <c r="N57" s="75"/>
      <c r="O57" s="75"/>
      <c r="P57" s="75"/>
      <c r="Q57" s="75"/>
      <c r="R57" s="75"/>
      <c r="S57" s="75"/>
      <c r="T57" s="75"/>
      <c r="U57" s="75"/>
      <c r="V57" s="75"/>
      <c r="W57" s="75"/>
      <c r="X57" s="75"/>
      <c r="Y57" s="75"/>
      <c r="Z57" s="75"/>
    </row>
    <row r="58" spans="1:26" s="46" customFormat="1" ht="12" customHeight="1" outlineLevel="1" x14ac:dyDescent="0.25">
      <c r="A58" s="55"/>
      <c r="B58" s="73" t="s">
        <v>57</v>
      </c>
      <c r="C58" s="60"/>
      <c r="D58" s="61" t="str">
        <f>IFERROR(D54*(1-D50)+D56,"")</f>
        <v/>
      </c>
      <c r="E58" s="60"/>
      <c r="F58" s="61" t="str">
        <f>IFERROR(F54*(1-F50)+F56,"")</f>
        <v/>
      </c>
      <c r="G58" s="60"/>
      <c r="H58" s="61" t="str">
        <f>IFERROR(H54*(1-H50)+H56,"")</f>
        <v/>
      </c>
      <c r="I58" s="60"/>
      <c r="J58" s="61" t="str">
        <f>IFERROR(J54*(1-J50)+J56,"")</f>
        <v/>
      </c>
      <c r="K58" s="57"/>
      <c r="L58" s="62" t="s">
        <v>46</v>
      </c>
      <c r="M58" s="58"/>
      <c r="N58" s="76"/>
      <c r="O58" s="76"/>
      <c r="P58" s="76"/>
      <c r="Q58" s="76"/>
      <c r="R58" s="76"/>
      <c r="S58" s="76"/>
      <c r="T58" s="76"/>
      <c r="U58" s="76"/>
      <c r="V58" s="76"/>
      <c r="W58" s="76"/>
      <c r="X58" s="76"/>
      <c r="Y58" s="76"/>
      <c r="Z58" s="76"/>
    </row>
    <row r="59" spans="1:26" ht="14.25" customHeight="1" x14ac:dyDescent="0.25">
      <c r="A59" s="47"/>
      <c r="B59" s="53"/>
      <c r="C59" s="53"/>
      <c r="D59" s="63"/>
      <c r="E59" s="53"/>
      <c r="F59" s="63"/>
      <c r="G59" s="53"/>
      <c r="H59" s="63"/>
      <c r="I59" s="53"/>
      <c r="J59" s="63"/>
      <c r="K59" s="53"/>
      <c r="L59" s="53"/>
      <c r="M59" s="54"/>
      <c r="W59" s="85"/>
    </row>
    <row r="60" spans="1:26" s="59" customFormat="1" ht="15" customHeight="1" x14ac:dyDescent="0.25">
      <c r="A60" s="130"/>
      <c r="B60" s="130" t="str">
        <f>"True-up estimation for " &amp; D3&amp; " compliance year"</f>
        <v>True-up estimation for 2023 compliance year</v>
      </c>
      <c r="C60" s="130"/>
      <c r="D60" s="130"/>
      <c r="E60" s="130"/>
      <c r="F60" s="130"/>
      <c r="G60" s="130"/>
      <c r="H60" s="130"/>
      <c r="I60" s="130"/>
      <c r="J60" s="130"/>
      <c r="K60" s="130"/>
      <c r="L60" s="130"/>
      <c r="M60" s="131"/>
      <c r="N60" s="75"/>
      <c r="O60" s="75"/>
      <c r="P60" s="75"/>
      <c r="Q60" s="75"/>
      <c r="R60" s="75"/>
      <c r="S60" s="75"/>
      <c r="T60" s="75"/>
      <c r="U60" s="75"/>
      <c r="V60" s="75"/>
      <c r="W60" s="75"/>
      <c r="X60" s="75"/>
      <c r="Y60" s="75"/>
      <c r="Z60" s="75"/>
    </row>
    <row r="61" spans="1:26" s="59" customFormat="1" ht="8.1" customHeight="1" x14ac:dyDescent="0.2">
      <c r="A61" s="47"/>
      <c r="B61" s="53"/>
      <c r="C61" s="53"/>
      <c r="D61" s="63"/>
      <c r="E61" s="53"/>
      <c r="F61" s="63"/>
      <c r="G61" s="53"/>
      <c r="H61" s="63"/>
      <c r="I61" s="53"/>
      <c r="J61" s="63"/>
      <c r="K61" s="53"/>
      <c r="L61" s="53"/>
      <c r="M61" s="54"/>
      <c r="N61" s="75"/>
      <c r="O61" s="75"/>
      <c r="P61" s="75"/>
      <c r="Q61" s="75"/>
      <c r="R61" s="75"/>
      <c r="S61" s="75"/>
      <c r="T61" s="75"/>
      <c r="U61" s="75"/>
      <c r="V61" s="75"/>
      <c r="W61" s="75"/>
      <c r="X61" s="75"/>
      <c r="Y61" s="75"/>
      <c r="Z61" s="75"/>
    </row>
    <row r="62" spans="1:26" s="59" customFormat="1" ht="12" customHeight="1" x14ac:dyDescent="0.25">
      <c r="A62" s="47"/>
      <c r="B62" s="73" t="s">
        <v>56</v>
      </c>
      <c r="C62" s="53"/>
      <c r="D62" s="71"/>
      <c r="E62" s="53"/>
      <c r="F62" s="62" t="s">
        <v>37</v>
      </c>
      <c r="G62" s="53"/>
      <c r="H62" s="63"/>
      <c r="I62" s="53"/>
      <c r="J62" s="63"/>
      <c r="K62" s="53"/>
      <c r="L62" s="53"/>
      <c r="M62" s="54"/>
      <c r="N62" s="75"/>
      <c r="O62" s="75"/>
      <c r="P62" s="75"/>
      <c r="Q62" s="75"/>
      <c r="R62" s="75"/>
      <c r="S62" s="75"/>
      <c r="T62" s="75"/>
      <c r="U62" s="75"/>
      <c r="V62" s="75"/>
      <c r="W62" s="75"/>
      <c r="X62" s="75"/>
      <c r="Y62" s="75"/>
      <c r="Z62" s="75"/>
    </row>
    <row r="63" spans="1:26" s="59" customFormat="1" ht="5.0999999999999996" customHeight="1" x14ac:dyDescent="0.2">
      <c r="A63" s="47"/>
      <c r="B63" s="53"/>
      <c r="C63" s="53"/>
      <c r="D63" s="63"/>
      <c r="E63" s="53"/>
      <c r="F63" s="63"/>
      <c r="G63" s="53"/>
      <c r="H63" s="63"/>
      <c r="I63" s="53"/>
      <c r="J63" s="63"/>
      <c r="K63" s="53"/>
      <c r="L63" s="53"/>
      <c r="M63" s="54"/>
      <c r="N63" s="75"/>
      <c r="O63" s="75"/>
      <c r="P63" s="75"/>
      <c r="Q63" s="84"/>
      <c r="R63" s="75"/>
      <c r="S63" s="75"/>
      <c r="T63" s="75"/>
      <c r="U63" s="75"/>
      <c r="V63" s="75"/>
      <c r="W63" s="75"/>
      <c r="X63" s="75"/>
      <c r="Y63" s="75"/>
      <c r="Z63" s="75"/>
    </row>
    <row r="64" spans="1:26" s="59" customFormat="1" ht="12" customHeight="1" x14ac:dyDescent="0.25">
      <c r="A64" s="47"/>
      <c r="B64" s="73" t="s">
        <v>53</v>
      </c>
      <c r="C64" s="53"/>
      <c r="D64" s="71"/>
      <c r="E64" s="53"/>
      <c r="F64" s="62" t="s">
        <v>37</v>
      </c>
      <c r="G64" s="53"/>
      <c r="H64" s="63"/>
      <c r="I64" s="53"/>
      <c r="J64" s="63"/>
      <c r="K64" s="53"/>
      <c r="L64" s="53"/>
      <c r="M64" s="54"/>
      <c r="N64" s="75"/>
      <c r="O64" s="75"/>
      <c r="P64" s="75"/>
      <c r="Q64" s="75"/>
      <c r="R64" s="75"/>
      <c r="S64" s="75"/>
      <c r="T64" s="75"/>
      <c r="U64" s="75"/>
      <c r="V64" s="75"/>
      <c r="W64" s="75"/>
      <c r="X64" s="75"/>
      <c r="Y64" s="75"/>
      <c r="Z64" s="75"/>
    </row>
    <row r="65" spans="1:26" s="59" customFormat="1" ht="5.0999999999999996" customHeight="1" x14ac:dyDescent="0.2">
      <c r="A65" s="47"/>
      <c r="B65" s="53"/>
      <c r="C65" s="53"/>
      <c r="D65" s="63"/>
      <c r="E65" s="53"/>
      <c r="F65" s="63"/>
      <c r="G65" s="53"/>
      <c r="H65" s="63"/>
      <c r="I65" s="53"/>
      <c r="J65" s="63"/>
      <c r="K65" s="53"/>
      <c r="L65" s="53"/>
      <c r="M65" s="54"/>
      <c r="N65" s="75"/>
      <c r="O65" s="75"/>
      <c r="P65" s="75"/>
      <c r="Q65" s="84"/>
      <c r="R65" s="75"/>
      <c r="S65" s="75"/>
      <c r="T65" s="75"/>
      <c r="U65" s="75"/>
      <c r="V65" s="75"/>
      <c r="W65" s="75"/>
      <c r="X65" s="75"/>
      <c r="Y65" s="75"/>
      <c r="Z65" s="75"/>
    </row>
    <row r="66" spans="1:26" s="59" customFormat="1" ht="12" customHeight="1" x14ac:dyDescent="0.25">
      <c r="A66" s="47"/>
      <c r="B66" s="73" t="s">
        <v>54</v>
      </c>
      <c r="C66" s="53"/>
      <c r="D66" s="71"/>
      <c r="E66" s="53"/>
      <c r="F66" s="62" t="s">
        <v>37</v>
      </c>
      <c r="G66" s="53"/>
      <c r="H66" s="63"/>
      <c r="I66" s="53"/>
      <c r="J66" s="63"/>
      <c r="K66" s="53"/>
      <c r="L66" s="53"/>
      <c r="M66" s="54"/>
      <c r="N66" s="75"/>
      <c r="O66" s="75"/>
      <c r="P66" s="75"/>
      <c r="Q66" s="84"/>
      <c r="R66" s="75"/>
      <c r="S66" s="75"/>
      <c r="T66" s="75"/>
      <c r="U66" s="75"/>
      <c r="V66" s="75"/>
      <c r="W66" s="75"/>
      <c r="X66" s="75"/>
      <c r="Y66" s="75"/>
      <c r="Z66" s="75"/>
    </row>
    <row r="67" spans="1:26" s="59" customFormat="1" ht="5.0999999999999996" customHeight="1" x14ac:dyDescent="0.2">
      <c r="A67" s="47"/>
      <c r="B67" s="53"/>
      <c r="C67" s="53"/>
      <c r="D67" s="63"/>
      <c r="E67" s="53"/>
      <c r="F67" s="63"/>
      <c r="G67" s="53"/>
      <c r="H67" s="63"/>
      <c r="I67" s="53"/>
      <c r="J67" s="63"/>
      <c r="K67" s="53"/>
      <c r="L67" s="53"/>
      <c r="M67" s="54"/>
      <c r="N67" s="75"/>
      <c r="O67" s="75"/>
      <c r="P67" s="75"/>
      <c r="Q67" s="84"/>
      <c r="R67" s="75"/>
      <c r="S67" s="75"/>
      <c r="T67" s="75"/>
      <c r="U67" s="75"/>
      <c r="V67" s="75"/>
      <c r="W67" s="75"/>
      <c r="X67" s="75"/>
      <c r="Y67" s="75"/>
      <c r="Z67" s="75"/>
    </row>
    <row r="68" spans="1:26" s="59" customFormat="1" ht="12" customHeight="1" x14ac:dyDescent="0.25">
      <c r="A68" s="47"/>
      <c r="B68" s="65" t="s">
        <v>55</v>
      </c>
      <c r="C68" s="53"/>
      <c r="D68" s="71"/>
      <c r="E68" s="53"/>
      <c r="F68" s="62" t="s">
        <v>37</v>
      </c>
      <c r="G68" s="53"/>
      <c r="H68" s="63"/>
      <c r="I68" s="53"/>
      <c r="J68" s="63"/>
      <c r="K68" s="53"/>
      <c r="L68" s="53"/>
      <c r="M68" s="54"/>
      <c r="N68" s="75"/>
      <c r="O68" s="75"/>
      <c r="P68" s="75"/>
      <c r="Q68" s="75"/>
      <c r="R68" s="75"/>
      <c r="S68" s="75"/>
      <c r="T68" s="75"/>
      <c r="U68" s="75"/>
      <c r="V68" s="75"/>
      <c r="W68" s="75"/>
      <c r="X68" s="75"/>
      <c r="Y68" s="75"/>
      <c r="Z68" s="75"/>
    </row>
    <row r="69" spans="1:26" s="59" customFormat="1" ht="5.0999999999999996" customHeight="1" x14ac:dyDescent="0.2">
      <c r="A69" s="47"/>
      <c r="B69" s="53"/>
      <c r="C69" s="53"/>
      <c r="D69" s="63"/>
      <c r="E69" s="53"/>
      <c r="F69" s="63"/>
      <c r="G69" s="53"/>
      <c r="H69" s="63"/>
      <c r="I69" s="53"/>
      <c r="J69" s="63"/>
      <c r="K69" s="53"/>
      <c r="L69" s="53"/>
      <c r="M69" s="54"/>
      <c r="N69" s="75"/>
      <c r="O69" s="75"/>
      <c r="P69" s="75"/>
      <c r="Q69" s="84"/>
      <c r="R69" s="75"/>
      <c r="S69" s="75"/>
      <c r="T69" s="75"/>
      <c r="U69" s="75"/>
      <c r="V69" s="75"/>
      <c r="W69" s="75"/>
      <c r="X69" s="75"/>
      <c r="Y69" s="75"/>
      <c r="Z69" s="75"/>
    </row>
    <row r="70" spans="1:26" s="59" customFormat="1" ht="12" customHeight="1" x14ac:dyDescent="0.25">
      <c r="A70" s="47"/>
      <c r="B70" s="65" t="s">
        <v>185</v>
      </c>
      <c r="C70" s="53"/>
      <c r="D70" s="71"/>
      <c r="E70" s="53"/>
      <c r="F70" s="62" t="s">
        <v>37</v>
      </c>
      <c r="G70" s="53"/>
      <c r="H70" s="63"/>
      <c r="I70" s="53"/>
      <c r="J70" s="63"/>
      <c r="K70" s="53"/>
      <c r="L70" s="53"/>
      <c r="M70" s="54"/>
      <c r="N70" s="75"/>
      <c r="O70" s="75"/>
      <c r="P70" s="75"/>
      <c r="Q70" s="75"/>
      <c r="R70" s="75"/>
      <c r="S70" s="75"/>
      <c r="T70" s="75"/>
      <c r="U70" s="75"/>
      <c r="V70" s="75"/>
      <c r="W70" s="75"/>
      <c r="X70" s="75"/>
      <c r="Y70" s="75"/>
      <c r="Z70" s="75"/>
    </row>
    <row r="71" spans="1:26" s="59" customFormat="1" ht="5.0999999999999996" customHeight="1" x14ac:dyDescent="0.2">
      <c r="A71" s="47"/>
      <c r="B71" s="53"/>
      <c r="C71" s="53"/>
      <c r="D71" s="63"/>
      <c r="E71" s="53"/>
      <c r="F71" s="63"/>
      <c r="G71" s="53"/>
      <c r="H71" s="63"/>
      <c r="I71" s="53"/>
      <c r="J71" s="63"/>
      <c r="K71" s="53"/>
      <c r="L71" s="53"/>
      <c r="M71" s="54"/>
      <c r="N71" s="75"/>
      <c r="O71" s="75"/>
      <c r="P71" s="75"/>
      <c r="Q71" s="75"/>
      <c r="R71" s="75"/>
      <c r="S71" s="75"/>
      <c r="T71" s="75"/>
      <c r="U71" s="75"/>
      <c r="V71" s="75"/>
      <c r="W71" s="75"/>
      <c r="X71" s="75"/>
      <c r="Y71" s="75"/>
      <c r="Z71" s="75"/>
    </row>
    <row r="72" spans="1:26" s="59" customFormat="1" ht="12" customHeight="1" x14ac:dyDescent="0.2">
      <c r="A72" s="47"/>
      <c r="B72" s="73" t="s">
        <v>52</v>
      </c>
      <c r="C72" s="53"/>
      <c r="D72" s="71"/>
      <c r="E72" s="53"/>
      <c r="F72" s="62" t="s">
        <v>42</v>
      </c>
      <c r="G72" s="53"/>
      <c r="H72" s="63"/>
      <c r="I72" s="53"/>
      <c r="J72" s="63"/>
      <c r="K72" s="53"/>
      <c r="L72" s="53"/>
      <c r="M72" s="54"/>
      <c r="N72" s="75"/>
      <c r="O72" s="75"/>
      <c r="P72" s="75"/>
      <c r="Q72" s="75"/>
      <c r="R72" s="75"/>
      <c r="S72" s="75"/>
      <c r="T72" s="75"/>
      <c r="U72" s="75"/>
      <c r="V72" s="75"/>
      <c r="W72" s="75"/>
      <c r="X72" s="75"/>
      <c r="Y72" s="75"/>
      <c r="Z72" s="75"/>
    </row>
    <row r="73" spans="1:26" s="59" customFormat="1" ht="5.0999999999999996" customHeight="1" x14ac:dyDescent="0.2">
      <c r="A73" s="47"/>
      <c r="B73" s="53"/>
      <c r="C73" s="53"/>
      <c r="D73" s="63"/>
      <c r="E73" s="53"/>
      <c r="F73" s="63"/>
      <c r="G73" s="53"/>
      <c r="H73" s="63"/>
      <c r="I73" s="53"/>
      <c r="J73" s="63"/>
      <c r="K73" s="53"/>
      <c r="L73" s="53"/>
      <c r="M73" s="54"/>
      <c r="N73" s="75"/>
      <c r="O73" s="75"/>
      <c r="P73" s="75"/>
      <c r="Q73" s="84"/>
      <c r="R73" s="75"/>
      <c r="S73" s="75"/>
      <c r="T73" s="75"/>
      <c r="U73" s="75"/>
      <c r="V73" s="75"/>
      <c r="W73" s="75"/>
      <c r="X73" s="75"/>
      <c r="Y73" s="75"/>
      <c r="Z73" s="75"/>
    </row>
    <row r="74" spans="1:26" s="59" customFormat="1" ht="12" customHeight="1" x14ac:dyDescent="0.2">
      <c r="A74" s="47"/>
      <c r="B74" s="73" t="s">
        <v>92</v>
      </c>
      <c r="C74" s="53"/>
      <c r="D74" s="71"/>
      <c r="E74" s="53"/>
      <c r="F74" s="62" t="s">
        <v>16</v>
      </c>
      <c r="G74" s="53"/>
      <c r="H74" s="63"/>
      <c r="I74" s="53"/>
      <c r="J74" s="63"/>
      <c r="K74" s="53"/>
      <c r="L74" s="53"/>
      <c r="M74" s="54"/>
      <c r="N74" s="75"/>
      <c r="O74" s="75"/>
      <c r="P74" s="75"/>
      <c r="Q74" s="75"/>
      <c r="R74" s="75"/>
      <c r="S74" s="75"/>
      <c r="T74" s="75"/>
      <c r="U74" s="75"/>
      <c r="V74" s="75"/>
      <c r="W74" s="75"/>
      <c r="X74" s="75"/>
      <c r="Y74" s="75"/>
      <c r="Z74" s="75"/>
    </row>
    <row r="75" spans="1:26" s="59" customFormat="1" ht="5.0999999999999996" customHeight="1" x14ac:dyDescent="0.2">
      <c r="A75" s="47"/>
      <c r="B75" s="53"/>
      <c r="C75" s="53"/>
      <c r="D75" s="63"/>
      <c r="E75" s="53"/>
      <c r="F75" s="63"/>
      <c r="G75" s="53"/>
      <c r="H75" s="63"/>
      <c r="I75" s="53"/>
      <c r="J75" s="63"/>
      <c r="K75" s="53"/>
      <c r="L75" s="53"/>
      <c r="M75" s="54"/>
      <c r="N75" s="75"/>
      <c r="O75" s="75"/>
      <c r="P75" s="75"/>
      <c r="Q75" s="84"/>
      <c r="R75" s="75"/>
      <c r="S75" s="75"/>
      <c r="T75" s="75"/>
      <c r="U75" s="75"/>
      <c r="V75" s="75"/>
      <c r="W75" s="75"/>
      <c r="X75" s="75"/>
      <c r="Y75" s="75"/>
      <c r="Z75" s="75"/>
    </row>
    <row r="76" spans="1:26" s="59" customFormat="1" ht="12" customHeight="1" x14ac:dyDescent="0.2">
      <c r="A76" s="47"/>
      <c r="B76" s="73" t="s">
        <v>106</v>
      </c>
      <c r="C76" s="53"/>
      <c r="D76" s="71"/>
      <c r="E76" s="53"/>
      <c r="F76" s="62" t="s">
        <v>43</v>
      </c>
      <c r="G76" s="53"/>
      <c r="H76" s="63"/>
      <c r="I76" s="53"/>
      <c r="J76" s="63"/>
      <c r="K76" s="53"/>
      <c r="L76" s="53"/>
      <c r="M76" s="54"/>
      <c r="N76" s="75"/>
      <c r="O76" s="75"/>
      <c r="P76" s="75"/>
      <c r="Q76" s="84"/>
      <c r="R76" s="75"/>
      <c r="S76" s="75"/>
      <c r="T76" s="75"/>
      <c r="U76" s="75"/>
      <c r="V76" s="75"/>
      <c r="W76" s="75"/>
      <c r="X76" s="75"/>
      <c r="Y76" s="75"/>
      <c r="Z76" s="75"/>
    </row>
    <row r="77" spans="1:26" s="59" customFormat="1" ht="5.0999999999999996" customHeight="1" x14ac:dyDescent="0.2">
      <c r="A77" s="47"/>
      <c r="B77" s="53"/>
      <c r="C77" s="53"/>
      <c r="D77" s="63"/>
      <c r="E77" s="53"/>
      <c r="F77" s="63"/>
      <c r="G77" s="53"/>
      <c r="H77" s="63"/>
      <c r="I77" s="53"/>
      <c r="J77" s="63"/>
      <c r="K77" s="53"/>
      <c r="L77" s="53"/>
      <c r="M77" s="54"/>
      <c r="N77" s="75"/>
      <c r="O77" s="75"/>
      <c r="P77" s="75"/>
      <c r="Q77" s="84"/>
      <c r="R77" s="75"/>
      <c r="S77" s="75"/>
      <c r="T77" s="75"/>
      <c r="U77" s="75"/>
      <c r="V77" s="75"/>
      <c r="W77" s="75"/>
      <c r="X77" s="75"/>
      <c r="Y77" s="75"/>
      <c r="Z77" s="75"/>
    </row>
    <row r="78" spans="1:26" s="59" customFormat="1" ht="12" customHeight="1" x14ac:dyDescent="0.2">
      <c r="A78" s="47"/>
      <c r="B78" s="73" t="s">
        <v>107</v>
      </c>
      <c r="C78" s="53"/>
      <c r="D78" s="71"/>
      <c r="E78" s="53"/>
      <c r="F78" s="62" t="s">
        <v>43</v>
      </c>
      <c r="G78" s="53"/>
      <c r="H78" s="63"/>
      <c r="I78" s="53"/>
      <c r="J78" s="63"/>
      <c r="K78" s="53"/>
      <c r="L78" s="53"/>
      <c r="M78" s="54"/>
      <c r="N78" s="75"/>
      <c r="O78" s="75"/>
      <c r="P78" s="75"/>
      <c r="Q78" s="84"/>
      <c r="R78" s="75"/>
      <c r="S78" s="75"/>
      <c r="T78" s="75"/>
      <c r="U78" s="75"/>
      <c r="V78" s="75"/>
      <c r="W78" s="75"/>
      <c r="X78" s="75"/>
      <c r="Y78" s="75"/>
      <c r="Z78" s="75"/>
    </row>
    <row r="79" spans="1:26" s="59" customFormat="1" ht="5.0999999999999996" customHeight="1" x14ac:dyDescent="0.2">
      <c r="A79" s="47"/>
      <c r="B79" s="53"/>
      <c r="C79" s="53"/>
      <c r="D79" s="63"/>
      <c r="E79" s="53"/>
      <c r="F79" s="63"/>
      <c r="G79" s="53"/>
      <c r="H79" s="63"/>
      <c r="I79" s="53"/>
      <c r="J79" s="63"/>
      <c r="K79" s="53"/>
      <c r="L79" s="53"/>
      <c r="M79" s="54"/>
      <c r="N79" s="75"/>
      <c r="O79" s="75"/>
      <c r="P79" s="75"/>
      <c r="Q79" s="84"/>
      <c r="R79" s="75"/>
      <c r="S79" s="75"/>
      <c r="T79" s="75"/>
      <c r="U79" s="75"/>
      <c r="V79" s="75"/>
      <c r="W79" s="75"/>
      <c r="X79" s="75"/>
      <c r="Y79" s="75"/>
      <c r="Z79" s="75"/>
    </row>
    <row r="80" spans="1:26" s="59" customFormat="1" ht="16.5" customHeight="1" x14ac:dyDescent="0.2">
      <c r="A80" s="47"/>
      <c r="B80" s="53"/>
      <c r="C80" s="53"/>
      <c r="D80" s="106" t="s">
        <v>60</v>
      </c>
      <c r="E80" s="105"/>
      <c r="F80" s="106" t="s">
        <v>61</v>
      </c>
      <c r="G80" s="105"/>
      <c r="H80" s="106" t="s">
        <v>62</v>
      </c>
      <c r="I80" s="105"/>
      <c r="J80" s="106" t="s">
        <v>63</v>
      </c>
      <c r="K80" s="53"/>
      <c r="L80" s="53"/>
      <c r="M80" s="54"/>
      <c r="N80" s="75"/>
      <c r="O80" s="75"/>
      <c r="P80" s="75"/>
      <c r="Q80" s="84"/>
      <c r="R80" s="75"/>
      <c r="S80" s="75"/>
      <c r="T80" s="75"/>
      <c r="U80" s="75"/>
      <c r="V80" s="75"/>
      <c r="W80" s="75"/>
      <c r="X80" s="75"/>
      <c r="Y80" s="75"/>
      <c r="Z80" s="75"/>
    </row>
    <row r="81" spans="1:26" s="59" customFormat="1" ht="5.0999999999999996" customHeight="1" x14ac:dyDescent="0.2">
      <c r="A81" s="47"/>
      <c r="B81" s="53"/>
      <c r="C81" s="53"/>
      <c r="D81" s="70"/>
      <c r="E81" s="53"/>
      <c r="F81" s="70"/>
      <c r="G81" s="53"/>
      <c r="H81" s="70"/>
      <c r="I81" s="53"/>
      <c r="J81" s="70"/>
      <c r="K81" s="53"/>
      <c r="L81" s="53"/>
      <c r="M81" s="54"/>
      <c r="N81" s="75"/>
      <c r="O81" s="75"/>
      <c r="P81" s="75"/>
      <c r="Q81" s="75"/>
      <c r="R81" s="75"/>
      <c r="S81" s="75"/>
      <c r="T81" s="75"/>
      <c r="U81" s="75"/>
      <c r="V81" s="75"/>
      <c r="W81" s="75"/>
      <c r="X81" s="75"/>
      <c r="Y81" s="75"/>
      <c r="Z81" s="75"/>
    </row>
    <row r="82" spans="1:26" s="59" customFormat="1" ht="12" customHeight="1" x14ac:dyDescent="0.2">
      <c r="A82" s="47"/>
      <c r="B82" s="73" t="s">
        <v>40</v>
      </c>
      <c r="C82" s="53"/>
      <c r="D82" s="71"/>
      <c r="E82" s="53"/>
      <c r="F82" s="71"/>
      <c r="G82" s="53"/>
      <c r="H82" s="71"/>
      <c r="I82" s="53"/>
      <c r="J82" s="71"/>
      <c r="K82" s="53"/>
      <c r="L82" s="62" t="s">
        <v>41</v>
      </c>
      <c r="M82" s="54"/>
      <c r="N82" s="75"/>
      <c r="O82" s="75"/>
      <c r="P82" s="75"/>
      <c r="Q82" s="75"/>
      <c r="R82" s="75"/>
      <c r="S82" s="75"/>
      <c r="T82" s="75"/>
      <c r="U82" s="75"/>
      <c r="V82" s="75"/>
      <c r="W82" s="75"/>
      <c r="X82" s="75"/>
      <c r="Y82" s="75"/>
      <c r="Z82" s="75"/>
    </row>
    <row r="83" spans="1:26" s="59" customFormat="1" ht="5.0999999999999996" customHeight="1" x14ac:dyDescent="0.2">
      <c r="A83" s="47"/>
      <c r="B83" s="53"/>
      <c r="C83" s="53"/>
      <c r="D83" s="70"/>
      <c r="E83" s="53"/>
      <c r="F83" s="70"/>
      <c r="G83" s="53"/>
      <c r="H83" s="70"/>
      <c r="I83" s="53"/>
      <c r="J83" s="70"/>
      <c r="K83" s="53"/>
      <c r="L83" s="53"/>
      <c r="M83" s="54"/>
      <c r="N83" s="75"/>
      <c r="O83" s="75"/>
      <c r="P83" s="75"/>
      <c r="Q83" s="75"/>
      <c r="R83" s="75"/>
      <c r="S83" s="75"/>
      <c r="T83" s="75"/>
      <c r="U83" s="75"/>
      <c r="V83" s="75"/>
      <c r="W83" s="75"/>
      <c r="X83" s="75"/>
      <c r="Y83" s="75"/>
      <c r="Z83" s="75"/>
    </row>
    <row r="84" spans="1:26" s="59" customFormat="1" ht="12" customHeight="1" x14ac:dyDescent="0.25">
      <c r="A84" s="47"/>
      <c r="B84" s="65" t="s">
        <v>193</v>
      </c>
      <c r="C84" s="53"/>
      <c r="D84" s="71"/>
      <c r="E84" s="53"/>
      <c r="F84" s="71"/>
      <c r="G84" s="53"/>
      <c r="H84" s="71"/>
      <c r="I84" s="53"/>
      <c r="J84" s="71"/>
      <c r="K84" s="53"/>
      <c r="L84" s="62" t="s">
        <v>46</v>
      </c>
      <c r="M84" s="54"/>
      <c r="N84" s="75"/>
      <c r="O84" s="75"/>
      <c r="P84" s="75"/>
      <c r="Q84" s="75"/>
      <c r="R84" s="75"/>
      <c r="S84" s="75"/>
      <c r="T84" s="75"/>
      <c r="U84" s="75"/>
      <c r="V84" s="75"/>
      <c r="W84" s="75"/>
      <c r="X84" s="75"/>
      <c r="Y84" s="75"/>
      <c r="Z84" s="75"/>
    </row>
    <row r="85" spans="1:26" s="59" customFormat="1" ht="5.0999999999999996" customHeight="1" x14ac:dyDescent="0.2">
      <c r="A85" s="47"/>
      <c r="B85" s="53"/>
      <c r="C85" s="53"/>
      <c r="D85" s="63"/>
      <c r="E85" s="53"/>
      <c r="F85" s="63"/>
      <c r="G85" s="53"/>
      <c r="H85" s="63"/>
      <c r="I85" s="53"/>
      <c r="J85" s="63"/>
      <c r="K85" s="53"/>
      <c r="L85" s="53"/>
      <c r="M85" s="54"/>
      <c r="N85" s="75"/>
      <c r="O85" s="75"/>
      <c r="P85" s="75"/>
      <c r="Q85" s="84"/>
      <c r="R85" s="75"/>
      <c r="S85" s="75"/>
      <c r="T85" s="75"/>
      <c r="U85" s="75"/>
      <c r="V85" s="75"/>
      <c r="W85" s="75"/>
      <c r="X85" s="75"/>
      <c r="Y85" s="75"/>
      <c r="Z85" s="75"/>
    </row>
    <row r="86" spans="1:26" s="59" customFormat="1" ht="12" customHeight="1" x14ac:dyDescent="0.25">
      <c r="A86" s="47"/>
      <c r="B86" s="65" t="s">
        <v>64</v>
      </c>
      <c r="C86" s="53"/>
      <c r="D86" s="66">
        <f>ROUND(D82*D84+F82*F84+H82*H84+J82*J84-D72*Be-D74*Bh-IF(RandU,D78*Ammended,D76)*Bhy,0)</f>
        <v>0</v>
      </c>
      <c r="E86" s="53"/>
      <c r="F86" s="62" t="s">
        <v>37</v>
      </c>
      <c r="G86" s="53"/>
      <c r="H86" s="63"/>
      <c r="I86" s="53"/>
      <c r="J86" s="63"/>
      <c r="K86" s="53"/>
      <c r="L86" s="53"/>
      <c r="M86" s="54"/>
      <c r="N86" s="75"/>
      <c r="O86" s="75"/>
      <c r="P86" s="75"/>
      <c r="Q86" s="84"/>
      <c r="R86" s="75"/>
      <c r="S86" s="75"/>
      <c r="T86" s="75"/>
      <c r="U86" s="75"/>
      <c r="V86" s="75"/>
      <c r="W86" s="75"/>
      <c r="X86" s="75"/>
      <c r="Y86" s="75"/>
      <c r="Z86" s="75"/>
    </row>
    <row r="87" spans="1:26" s="59" customFormat="1" ht="5.0999999999999996" customHeight="1" x14ac:dyDescent="0.2">
      <c r="A87" s="47"/>
      <c r="B87" s="53"/>
      <c r="C87" s="53"/>
      <c r="D87" s="63"/>
      <c r="E87" s="53"/>
      <c r="F87" s="63"/>
      <c r="G87" s="53"/>
      <c r="H87" s="63"/>
      <c r="I87" s="53"/>
      <c r="J87" s="63"/>
      <c r="K87" s="53"/>
      <c r="L87" s="53"/>
      <c r="M87" s="54"/>
      <c r="N87" s="75"/>
      <c r="O87" s="75"/>
      <c r="P87" s="75"/>
      <c r="Q87" s="84"/>
      <c r="R87" s="75"/>
      <c r="S87" s="75"/>
      <c r="T87" s="75"/>
      <c r="U87" s="75"/>
      <c r="V87" s="75"/>
      <c r="W87" s="75"/>
      <c r="X87" s="75"/>
      <c r="Y87" s="75"/>
      <c r="Z87" s="75"/>
    </row>
    <row r="88" spans="1:26" s="59" customFormat="1" ht="12" customHeight="1" x14ac:dyDescent="0.25">
      <c r="A88" s="47"/>
      <c r="B88" s="73" t="s">
        <v>58</v>
      </c>
      <c r="C88" s="53"/>
      <c r="D88" s="66">
        <f>ROUND(D62-D64+D66+D68-D70,0)</f>
        <v>0</v>
      </c>
      <c r="E88" s="53"/>
      <c r="F88" s="62" t="s">
        <v>37</v>
      </c>
      <c r="G88" s="53"/>
      <c r="H88" s="63"/>
      <c r="I88" s="53"/>
      <c r="J88" s="63"/>
      <c r="K88" s="53"/>
      <c r="L88" s="53"/>
      <c r="M88" s="54"/>
      <c r="N88" s="75"/>
      <c r="O88" s="75"/>
      <c r="P88" s="75"/>
      <c r="Q88" s="84"/>
      <c r="R88" s="75"/>
      <c r="S88" s="75"/>
      <c r="T88" s="75"/>
      <c r="U88" s="75"/>
      <c r="V88" s="75"/>
      <c r="W88" s="75"/>
      <c r="X88" s="75"/>
      <c r="Y88" s="75"/>
      <c r="Z88" s="75"/>
    </row>
    <row r="89" spans="1:26" s="59" customFormat="1" ht="5.0999999999999996" customHeight="1" x14ac:dyDescent="0.2">
      <c r="A89" s="47"/>
      <c r="B89" s="53"/>
      <c r="C89" s="53"/>
      <c r="D89" s="63"/>
      <c r="E89" s="53"/>
      <c r="F89" s="63"/>
      <c r="G89" s="53"/>
      <c r="H89" s="63"/>
      <c r="I89" s="53"/>
      <c r="J89" s="63"/>
      <c r="K89" s="53"/>
      <c r="L89" s="53"/>
      <c r="M89" s="54"/>
      <c r="N89" s="75"/>
      <c r="O89" s="75"/>
      <c r="P89" s="75"/>
      <c r="Q89" s="84"/>
      <c r="R89" s="75"/>
      <c r="S89" s="75"/>
      <c r="T89" s="75"/>
      <c r="U89" s="75"/>
      <c r="V89" s="75"/>
      <c r="W89" s="75"/>
      <c r="X89" s="75"/>
      <c r="Y89" s="75"/>
      <c r="Z89" s="75"/>
    </row>
    <row r="90" spans="1:26" s="59" customFormat="1" ht="12" customHeight="1" x14ac:dyDescent="0.2">
      <c r="A90" s="47"/>
      <c r="B90" s="65" t="s">
        <v>68</v>
      </c>
      <c r="C90" s="53"/>
      <c r="D90" s="66">
        <f>MAX(0,D88-D86)</f>
        <v>0</v>
      </c>
      <c r="E90" s="53"/>
      <c r="F90" s="63" t="s">
        <v>38</v>
      </c>
      <c r="G90" s="53"/>
      <c r="H90" s="63"/>
      <c r="I90" s="53"/>
      <c r="J90" s="63"/>
      <c r="K90" s="53"/>
      <c r="L90" s="53"/>
      <c r="M90" s="54"/>
      <c r="N90" s="75"/>
      <c r="O90" s="75"/>
      <c r="P90" s="75"/>
      <c r="Q90" s="75"/>
      <c r="R90" s="75"/>
      <c r="S90" s="75"/>
      <c r="T90" s="75"/>
      <c r="U90" s="75"/>
      <c r="V90" s="75"/>
      <c r="W90" s="75"/>
      <c r="X90" s="75"/>
      <c r="Y90" s="75"/>
      <c r="Z90" s="75"/>
    </row>
    <row r="91" spans="1:26" s="59" customFormat="1" ht="5.0999999999999996" customHeight="1" x14ac:dyDescent="0.2">
      <c r="A91" s="47"/>
      <c r="B91" s="53"/>
      <c r="C91" s="53"/>
      <c r="D91" s="63"/>
      <c r="E91" s="53"/>
      <c r="F91" s="63"/>
      <c r="G91" s="53"/>
      <c r="H91" s="63"/>
      <c r="I91" s="53"/>
      <c r="J91" s="63"/>
      <c r="K91" s="53"/>
      <c r="L91" s="53"/>
      <c r="M91" s="54"/>
      <c r="N91" s="75"/>
      <c r="O91" s="75"/>
      <c r="P91" s="75"/>
      <c r="Q91" s="84"/>
      <c r="R91" s="75"/>
      <c r="S91" s="75"/>
      <c r="T91" s="75"/>
      <c r="U91" s="75"/>
      <c r="V91" s="75"/>
      <c r="W91" s="75"/>
      <c r="X91" s="75"/>
      <c r="Y91" s="75"/>
      <c r="Z91" s="75"/>
    </row>
    <row r="92" spans="1:26" s="59" customFormat="1" ht="12" customHeight="1" x14ac:dyDescent="0.2">
      <c r="A92" s="47"/>
      <c r="B92" s="65" t="s">
        <v>59</v>
      </c>
      <c r="C92" s="53"/>
      <c r="D92" s="66">
        <f>MAX(0,D86-D88)</f>
        <v>0</v>
      </c>
      <c r="E92" s="53"/>
      <c r="F92" s="63" t="s">
        <v>38</v>
      </c>
      <c r="G92" s="53"/>
      <c r="H92" s="63"/>
      <c r="I92" s="53"/>
      <c r="J92" s="63"/>
      <c r="K92" s="53"/>
      <c r="L92" s="53"/>
      <c r="M92" s="54"/>
      <c r="N92" s="75"/>
      <c r="O92" s="75"/>
      <c r="P92" s="75"/>
      <c r="Q92" s="84"/>
      <c r="R92" s="75"/>
      <c r="S92" s="75"/>
      <c r="T92" s="75"/>
      <c r="U92" s="75"/>
      <c r="V92" s="75"/>
      <c r="W92" s="75"/>
      <c r="X92" s="75"/>
      <c r="Y92" s="75"/>
      <c r="Z92" s="75"/>
    </row>
    <row r="93" spans="1:26" s="59" customFormat="1" ht="5.0999999999999996" customHeight="1" x14ac:dyDescent="0.2">
      <c r="A93" s="55"/>
      <c r="B93" s="56"/>
      <c r="C93" s="56"/>
      <c r="D93" s="63"/>
      <c r="E93" s="56"/>
      <c r="F93" s="63"/>
      <c r="G93" s="56"/>
      <c r="H93" s="63"/>
      <c r="I93" s="56"/>
      <c r="J93" s="63"/>
      <c r="K93" s="56"/>
      <c r="L93" s="56"/>
      <c r="M93" s="58"/>
      <c r="N93" s="75"/>
      <c r="O93" s="75"/>
      <c r="P93" s="75"/>
      <c r="Q93" s="75"/>
      <c r="R93" s="75"/>
      <c r="S93" s="75"/>
      <c r="T93" s="75"/>
      <c r="U93" s="75"/>
      <c r="V93" s="75"/>
      <c r="W93" s="75"/>
      <c r="X93" s="75"/>
      <c r="Y93" s="75"/>
      <c r="Z93" s="75"/>
    </row>
    <row r="94" spans="1:26" s="59" customFormat="1" ht="15" customHeight="1" x14ac:dyDescent="0.25">
      <c r="A94" s="130"/>
      <c r="B94" s="130" t="str">
        <f>"EPC, Offset Credits and Fund Payment limits for 2020 compliance period"</f>
        <v>EPC, Offset Credits and Fund Payment limits for 2020 compliance period</v>
      </c>
      <c r="C94" s="130"/>
      <c r="D94" s="130"/>
      <c r="E94" s="130"/>
      <c r="F94" s="130"/>
      <c r="G94" s="130"/>
      <c r="H94" s="130"/>
      <c r="I94" s="130"/>
      <c r="J94" s="130"/>
      <c r="K94" s="130"/>
      <c r="L94" s="130"/>
      <c r="M94" s="131"/>
      <c r="N94" s="75"/>
      <c r="O94" s="75"/>
      <c r="P94" s="75"/>
      <c r="Q94" s="75"/>
      <c r="R94" s="75"/>
      <c r="S94" s="75"/>
      <c r="T94" s="75"/>
      <c r="U94" s="75"/>
      <c r="V94" s="75"/>
      <c r="W94" s="75"/>
      <c r="X94" s="75"/>
      <c r="Y94" s="75"/>
      <c r="Z94" s="75"/>
    </row>
    <row r="95" spans="1:26" s="59" customFormat="1" ht="5.0999999999999996" customHeight="1" x14ac:dyDescent="0.2">
      <c r="A95" s="55"/>
      <c r="B95" s="56"/>
      <c r="C95" s="56"/>
      <c r="D95" s="63"/>
      <c r="E95" s="56"/>
      <c r="F95" s="63"/>
      <c r="G95" s="56"/>
      <c r="H95" s="63"/>
      <c r="I95" s="56"/>
      <c r="J95" s="63"/>
      <c r="K95" s="56"/>
      <c r="L95" s="56"/>
      <c r="M95" s="58"/>
      <c r="N95" s="75"/>
      <c r="O95" s="75"/>
      <c r="P95" s="75"/>
      <c r="Q95" s="75"/>
      <c r="R95" s="75"/>
      <c r="S95" s="75"/>
      <c r="T95" s="75"/>
      <c r="U95" s="75"/>
      <c r="V95" s="75"/>
      <c r="W95" s="75"/>
      <c r="X95" s="75"/>
      <c r="Y95" s="75"/>
      <c r="Z95" s="75"/>
    </row>
    <row r="96" spans="1:26" s="59" customFormat="1" ht="12" customHeight="1" x14ac:dyDescent="0.2">
      <c r="A96" s="55"/>
      <c r="B96" s="65" t="str">
        <f>"Maximum allowable usage of EPCs and Offset Credits for true-up obligations ("&amp;LEOLimit&amp;"% of the TuO)"</f>
        <v>Maximum allowable usage of EPCs and Offset Credits for true-up obligations (60% of the TuO)</v>
      </c>
      <c r="C96" s="56"/>
      <c r="D96" s="75"/>
      <c r="E96" s="56"/>
      <c r="F96" s="75"/>
      <c r="G96" s="53"/>
      <c r="H96" s="75"/>
      <c r="I96" s="53"/>
      <c r="J96" s="81">
        <f>ROUNDDOWN(D90*LEOLimit/100,0)</f>
        <v>0</v>
      </c>
      <c r="K96" s="53"/>
      <c r="L96" s="63" t="s">
        <v>38</v>
      </c>
      <c r="M96" s="58"/>
      <c r="N96" s="75"/>
      <c r="O96" s="75"/>
      <c r="P96" s="75"/>
      <c r="Q96" s="75"/>
      <c r="R96" s="75"/>
      <c r="S96" s="75"/>
      <c r="T96" s="75"/>
      <c r="U96" s="75"/>
      <c r="V96" s="75"/>
      <c r="W96" s="75"/>
      <c r="X96" s="75"/>
      <c r="Y96" s="75"/>
      <c r="Z96" s="75"/>
    </row>
    <row r="97" spans="1:26" s="59" customFormat="1" ht="8.1" hidden="1" customHeight="1" x14ac:dyDescent="0.2">
      <c r="A97" s="55"/>
      <c r="B97" s="65"/>
      <c r="C97" s="56"/>
      <c r="D97" s="75"/>
      <c r="E97" s="56"/>
      <c r="F97" s="75"/>
      <c r="G97" s="53"/>
      <c r="H97" s="75"/>
      <c r="I97" s="53"/>
      <c r="J97" s="63"/>
      <c r="K97" s="53"/>
      <c r="L97" s="53"/>
      <c r="M97" s="58"/>
      <c r="N97" s="75"/>
      <c r="O97" s="75"/>
      <c r="P97" s="75"/>
      <c r="Q97" s="75"/>
      <c r="R97" s="75"/>
      <c r="S97" s="75"/>
      <c r="T97" s="75"/>
      <c r="U97" s="75"/>
      <c r="V97" s="75"/>
      <c r="W97" s="75"/>
      <c r="X97" s="75"/>
      <c r="Y97" s="75"/>
      <c r="Z97" s="75"/>
    </row>
    <row r="98" spans="1:26" s="46" customFormat="1" ht="12" hidden="1" customHeight="1" x14ac:dyDescent="0.2">
      <c r="A98" s="55"/>
      <c r="B98" s="65" t="s">
        <v>67</v>
      </c>
      <c r="C98" s="56"/>
      <c r="D98" s="75"/>
      <c r="E98" s="56"/>
      <c r="F98" s="76"/>
      <c r="G98" s="53"/>
      <c r="H98" s="76"/>
      <c r="I98" s="53"/>
      <c r="J98" s="81">
        <f>ROUNDDOWN(D90*0.4,0)</f>
        <v>0</v>
      </c>
      <c r="K98" s="53"/>
      <c r="L98" s="63" t="s">
        <v>38</v>
      </c>
      <c r="M98" s="58"/>
      <c r="N98" s="76"/>
      <c r="O98" s="76"/>
      <c r="P98" s="76"/>
      <c r="Q98" s="76"/>
      <c r="R98" s="76"/>
      <c r="S98" s="76"/>
      <c r="T98" s="76"/>
      <c r="U98" s="76"/>
      <c r="V98" s="76"/>
      <c r="W98" s="76"/>
      <c r="X98" s="76"/>
      <c r="Y98" s="76"/>
      <c r="Z98" s="76"/>
    </row>
    <row r="99" spans="1:26" s="59" customFormat="1" ht="8.1" customHeight="1" x14ac:dyDescent="0.2">
      <c r="A99" s="55"/>
      <c r="B99" s="65"/>
      <c r="C99" s="56"/>
      <c r="D99" s="75"/>
      <c r="E99" s="56"/>
      <c r="F99" s="75"/>
      <c r="G99" s="53"/>
      <c r="H99" s="75"/>
      <c r="I99" s="53"/>
      <c r="J99" s="63"/>
      <c r="K99" s="53"/>
      <c r="L99" s="53"/>
      <c r="M99" s="58"/>
      <c r="N99" s="75"/>
      <c r="O99" s="75"/>
      <c r="P99" s="75"/>
      <c r="Q99" s="75"/>
      <c r="R99" s="75"/>
      <c r="S99" s="75"/>
      <c r="T99" s="75"/>
      <c r="U99" s="75"/>
      <c r="V99" s="75"/>
      <c r="W99" s="75"/>
      <c r="X99" s="75"/>
      <c r="Y99" s="75"/>
      <c r="Z99" s="75"/>
    </row>
    <row r="100" spans="1:26" s="46" customFormat="1" ht="12" customHeight="1" x14ac:dyDescent="0.2">
      <c r="A100" s="55"/>
      <c r="B100" s="65" t="str">
        <f>"Minimum Fund Credit that need to be provided "&amp;100-LEOLimit&amp;"% of the TuO)"</f>
        <v>Minimum Fund Credit that need to be provided 40% of the TuO)</v>
      </c>
      <c r="C100" s="56"/>
      <c r="D100" s="75"/>
      <c r="E100" s="56"/>
      <c r="F100" s="76"/>
      <c r="G100" s="53"/>
      <c r="H100" s="76"/>
      <c r="I100" s="53"/>
      <c r="J100" s="81">
        <f>ROUNDDOWN(D90*(1-LEOLimit/100),0)</f>
        <v>0</v>
      </c>
      <c r="K100" s="53"/>
      <c r="L100" s="63" t="s">
        <v>38</v>
      </c>
      <c r="M100" s="58"/>
      <c r="N100" s="76"/>
      <c r="O100" s="76"/>
      <c r="P100" s="76"/>
      <c r="Q100" s="76"/>
      <c r="R100" s="76"/>
      <c r="S100" s="76"/>
      <c r="T100" s="76"/>
      <c r="U100" s="76"/>
      <c r="V100" s="76"/>
      <c r="W100" s="76"/>
      <c r="X100" s="76"/>
      <c r="Y100" s="76"/>
      <c r="Z100" s="76"/>
    </row>
    <row r="101" spans="1:26" s="59" customFormat="1" ht="5.0999999999999996" customHeight="1" x14ac:dyDescent="0.2">
      <c r="A101" s="55"/>
      <c r="B101" s="56"/>
      <c r="C101" s="56"/>
      <c r="D101" s="75"/>
      <c r="E101" s="56"/>
      <c r="F101" s="63"/>
      <c r="G101" s="56"/>
      <c r="H101" s="63"/>
      <c r="I101" s="56"/>
      <c r="J101" s="63"/>
      <c r="K101" s="56"/>
      <c r="L101" s="56"/>
      <c r="M101" s="58"/>
      <c r="N101" s="75"/>
      <c r="O101" s="75"/>
      <c r="P101" s="75"/>
      <c r="Q101" s="75"/>
      <c r="R101" s="75"/>
      <c r="S101" s="75"/>
      <c r="T101" s="75"/>
      <c r="U101" s="75"/>
      <c r="V101" s="75"/>
      <c r="W101" s="75"/>
      <c r="X101" s="75"/>
      <c r="Y101" s="75"/>
      <c r="Z101" s="75"/>
    </row>
    <row r="102" spans="1:26" s="46" customFormat="1" ht="12" customHeight="1" x14ac:dyDescent="0.2">
      <c r="A102" s="55"/>
      <c r="B102" s="65" t="s">
        <v>102</v>
      </c>
      <c r="C102" s="56"/>
      <c r="D102" s="75"/>
      <c r="E102" s="56"/>
      <c r="F102" s="76"/>
      <c r="G102" s="53"/>
      <c r="H102" s="76"/>
      <c r="I102" s="53"/>
      <c r="J102" s="81">
        <f>HLOOKUP(D3,fuelrates,25,FALSE)</f>
        <v>65</v>
      </c>
      <c r="K102" s="53"/>
      <c r="L102" s="63" t="s">
        <v>104</v>
      </c>
      <c r="M102" s="58"/>
      <c r="N102" s="76"/>
      <c r="O102" s="76"/>
      <c r="P102" s="76"/>
      <c r="Q102" s="76"/>
      <c r="R102" s="76"/>
      <c r="S102" s="76"/>
      <c r="T102" s="76"/>
      <c r="U102" s="76"/>
      <c r="V102" s="76"/>
      <c r="W102" s="76"/>
      <c r="X102" s="76"/>
      <c r="Y102" s="76"/>
      <c r="Z102" s="76"/>
    </row>
    <row r="103" spans="1:26" s="59" customFormat="1" ht="5.0999999999999996" customHeight="1" x14ac:dyDescent="0.2">
      <c r="A103" s="55"/>
      <c r="B103" s="56"/>
      <c r="C103" s="56"/>
      <c r="D103" s="63"/>
      <c r="E103" s="56"/>
      <c r="F103" s="63"/>
      <c r="G103" s="56"/>
      <c r="H103" s="63"/>
      <c r="I103" s="56"/>
      <c r="J103" s="63"/>
      <c r="K103" s="56"/>
      <c r="L103" s="56"/>
      <c r="M103" s="58"/>
      <c r="N103" s="75"/>
      <c r="O103" s="75"/>
      <c r="P103" s="75"/>
      <c r="Q103" s="75"/>
      <c r="R103" s="75"/>
      <c r="S103" s="75"/>
      <c r="T103" s="75"/>
      <c r="U103" s="75"/>
      <c r="V103" s="75"/>
      <c r="W103" s="75"/>
      <c r="X103" s="75"/>
      <c r="Y103" s="75"/>
      <c r="Z103" s="75"/>
    </row>
    <row r="104" spans="1:26" s="59" customFormat="1" ht="15" customHeight="1" x14ac:dyDescent="0.25">
      <c r="A104" s="130"/>
      <c r="B104" s="130" t="str">
        <f>Introductions!A6</f>
        <v>Legal Authority</v>
      </c>
      <c r="C104" s="130"/>
      <c r="D104" s="130"/>
      <c r="E104" s="130"/>
      <c r="F104" s="130"/>
      <c r="G104" s="130"/>
      <c r="H104" s="130"/>
      <c r="I104" s="130"/>
      <c r="J104" s="130"/>
      <c r="K104" s="130"/>
      <c r="L104" s="130"/>
      <c r="M104" s="131"/>
      <c r="N104" s="75"/>
      <c r="O104" s="75"/>
      <c r="P104" s="75"/>
      <c r="Q104" s="75"/>
      <c r="R104" s="75"/>
      <c r="S104" s="75"/>
      <c r="T104" s="75"/>
      <c r="U104" s="75"/>
      <c r="V104" s="75"/>
      <c r="W104" s="75"/>
      <c r="X104" s="75"/>
      <c r="Y104" s="75"/>
      <c r="Z104" s="75"/>
    </row>
    <row r="105" spans="1:26" s="59" customFormat="1" ht="27.75" customHeight="1" x14ac:dyDescent="0.2">
      <c r="A105" s="55"/>
      <c r="B105" s="177" t="str">
        <f>Introductions!B8</f>
        <v>This workbook is for estimation purposes only and has no legal authority. Facilities should refer to the TIER regulation and standards in determining their true up obligations.</v>
      </c>
      <c r="C105" s="177"/>
      <c r="D105" s="177"/>
      <c r="E105" s="177"/>
      <c r="F105" s="177"/>
      <c r="G105" s="177"/>
      <c r="H105" s="177"/>
      <c r="I105" s="177"/>
      <c r="J105" s="177"/>
      <c r="K105" s="177"/>
      <c r="L105" s="177"/>
      <c r="M105" s="58"/>
      <c r="N105" s="75"/>
      <c r="O105" s="75"/>
      <c r="P105" s="75"/>
      <c r="Q105" s="75"/>
      <c r="R105" s="75"/>
      <c r="S105" s="75"/>
      <c r="T105" s="75"/>
      <c r="U105" s="75"/>
      <c r="V105" s="75"/>
      <c r="W105" s="75"/>
      <c r="X105" s="75"/>
      <c r="Y105" s="75"/>
      <c r="Z105" s="75"/>
    </row>
    <row r="106" spans="1:26" s="59" customFormat="1" ht="8.1" customHeight="1" thickBot="1" x14ac:dyDescent="0.25">
      <c r="A106" s="67"/>
      <c r="B106" s="68"/>
      <c r="C106" s="68"/>
      <c r="D106" s="68"/>
      <c r="E106" s="68"/>
      <c r="F106" s="68"/>
      <c r="G106" s="68"/>
      <c r="H106" s="68"/>
      <c r="I106" s="68"/>
      <c r="J106" s="68"/>
      <c r="K106" s="68"/>
      <c r="L106" s="68"/>
      <c r="M106" s="69"/>
      <c r="N106" s="75"/>
      <c r="O106" s="75"/>
      <c r="P106" s="75"/>
      <c r="Q106" s="75"/>
      <c r="R106" s="83"/>
      <c r="S106" s="85"/>
      <c r="T106" s="75"/>
      <c r="U106" s="75"/>
      <c r="V106" s="75"/>
      <c r="W106" s="75"/>
      <c r="X106" s="75"/>
      <c r="Y106" s="75"/>
      <c r="Z106" s="75"/>
    </row>
    <row r="107" spans="1:26" s="75" customFormat="1" x14ac:dyDescent="0.25">
      <c r="O107" s="82"/>
      <c r="P107" s="82"/>
      <c r="Q107" s="82"/>
      <c r="R107" s="82"/>
      <c r="S107" s="82"/>
      <c r="T107" s="82"/>
      <c r="U107" s="82"/>
      <c r="V107" s="82"/>
      <c r="W107" s="85"/>
      <c r="X107" s="82"/>
      <c r="Y107" s="82"/>
      <c r="Z107" s="82"/>
    </row>
    <row r="108" spans="1:26" s="75" customFormat="1" ht="11.25" x14ac:dyDescent="0.2"/>
    <row r="109" spans="1:26" s="75" customFormat="1" ht="11.25" x14ac:dyDescent="0.2"/>
    <row r="110" spans="1:26" s="75" customFormat="1" ht="11.25" x14ac:dyDescent="0.2">
      <c r="B110" s="87"/>
      <c r="Q110" s="84"/>
    </row>
    <row r="111" spans="1:26" s="75" customFormat="1" ht="11.25" x14ac:dyDescent="0.2">
      <c r="Q111" s="84"/>
    </row>
    <row r="112" spans="1:26" s="75" customFormat="1" ht="11.25" x14ac:dyDescent="0.2">
      <c r="Q112" s="84"/>
    </row>
    <row r="113" spans="1:26" s="75" customFormat="1" ht="11.25" x14ac:dyDescent="0.2">
      <c r="Q113" s="84"/>
    </row>
    <row r="114" spans="1:26" s="75" customFormat="1" ht="11.25" x14ac:dyDescent="0.2"/>
    <row r="115" spans="1:26" s="75" customFormat="1" ht="11.25" x14ac:dyDescent="0.2"/>
    <row r="116" spans="1:26" s="75" customFormat="1" ht="11.25" x14ac:dyDescent="0.2"/>
    <row r="117" spans="1:26" s="75" customFormat="1" ht="11.25" x14ac:dyDescent="0.2"/>
    <row r="118" spans="1:26" s="82" customFormat="1" x14ac:dyDescent="0.25">
      <c r="A118" s="75"/>
      <c r="B118" s="75"/>
      <c r="C118" s="75"/>
      <c r="D118" s="75"/>
      <c r="E118" s="75"/>
      <c r="F118" s="75"/>
      <c r="G118" s="75"/>
      <c r="H118" s="75"/>
      <c r="I118" s="75"/>
      <c r="J118" s="75"/>
      <c r="K118" s="75"/>
      <c r="L118" s="75"/>
      <c r="M118" s="75"/>
      <c r="O118" s="75"/>
      <c r="P118" s="75"/>
      <c r="Q118" s="75"/>
      <c r="R118" s="75"/>
      <c r="S118" s="75"/>
      <c r="T118" s="75"/>
      <c r="U118" s="75"/>
      <c r="V118" s="75"/>
      <c r="W118" s="75"/>
      <c r="X118" s="75"/>
      <c r="Y118" s="75"/>
      <c r="Z118" s="75"/>
    </row>
    <row r="119" spans="1:26" s="82" customFormat="1" x14ac:dyDescent="0.25">
      <c r="A119" s="75"/>
      <c r="B119" s="75"/>
      <c r="C119" s="75"/>
      <c r="D119" s="75"/>
      <c r="E119" s="75"/>
      <c r="F119" s="75"/>
      <c r="G119" s="75"/>
      <c r="H119" s="75"/>
      <c r="I119" s="75"/>
      <c r="J119" s="75"/>
      <c r="K119" s="75"/>
      <c r="L119" s="75"/>
      <c r="M119" s="75"/>
      <c r="O119" s="75"/>
      <c r="P119" s="75"/>
      <c r="Q119" s="75"/>
      <c r="R119" s="75"/>
      <c r="S119" s="75"/>
      <c r="T119" s="75"/>
      <c r="U119" s="75"/>
      <c r="V119" s="75"/>
      <c r="W119" s="75"/>
      <c r="X119" s="75"/>
      <c r="Y119" s="75"/>
      <c r="Z119" s="75"/>
    </row>
    <row r="120" spans="1:26" s="82" customFormat="1" x14ac:dyDescent="0.25">
      <c r="A120" s="75"/>
      <c r="B120" s="75"/>
      <c r="C120" s="75"/>
      <c r="D120" s="75"/>
      <c r="E120" s="75"/>
      <c r="F120" s="75"/>
      <c r="G120" s="75"/>
      <c r="H120" s="75"/>
      <c r="I120" s="75"/>
      <c r="J120" s="75"/>
      <c r="K120" s="75"/>
      <c r="L120" s="75"/>
      <c r="M120" s="75"/>
      <c r="O120" s="75"/>
      <c r="P120" s="75"/>
      <c r="Q120" s="75"/>
      <c r="R120" s="75"/>
      <c r="S120" s="75"/>
      <c r="T120" s="75"/>
      <c r="U120" s="75"/>
      <c r="V120" s="75"/>
      <c r="W120" s="75"/>
      <c r="X120" s="75"/>
      <c r="Y120" s="75"/>
      <c r="Z120" s="75"/>
    </row>
    <row r="121" spans="1:26" s="82" customFormat="1" x14ac:dyDescent="0.25">
      <c r="A121" s="75"/>
      <c r="B121" s="75"/>
      <c r="C121" s="75"/>
      <c r="D121" s="75"/>
      <c r="E121" s="75"/>
      <c r="F121" s="75"/>
      <c r="G121" s="75"/>
      <c r="H121" s="75"/>
      <c r="I121" s="75"/>
      <c r="J121" s="75"/>
      <c r="K121" s="75"/>
      <c r="L121" s="75"/>
      <c r="M121" s="75"/>
      <c r="O121" s="75"/>
      <c r="P121" s="75"/>
      <c r="Q121" s="75"/>
      <c r="R121" s="75"/>
      <c r="S121" s="75"/>
      <c r="T121" s="75"/>
      <c r="U121" s="75"/>
      <c r="V121" s="75"/>
      <c r="W121" s="75"/>
      <c r="X121" s="75"/>
      <c r="Y121" s="75"/>
      <c r="Z121" s="75"/>
    </row>
    <row r="122" spans="1:26" s="82" customFormat="1" x14ac:dyDescent="0.25">
      <c r="A122" s="75"/>
      <c r="B122" s="75"/>
      <c r="C122" s="75"/>
      <c r="D122" s="75"/>
      <c r="E122" s="75"/>
      <c r="F122" s="75"/>
      <c r="G122" s="75"/>
      <c r="H122" s="75"/>
      <c r="I122" s="75"/>
      <c r="J122" s="75"/>
      <c r="K122" s="75"/>
      <c r="L122" s="75"/>
      <c r="M122" s="75"/>
      <c r="O122" s="75"/>
      <c r="P122" s="75"/>
      <c r="Q122" s="75"/>
      <c r="R122" s="75"/>
      <c r="S122" s="75"/>
      <c r="T122" s="75"/>
      <c r="U122" s="75"/>
      <c r="V122" s="75"/>
      <c r="W122" s="75"/>
      <c r="X122" s="75"/>
      <c r="Y122" s="75"/>
      <c r="Z122" s="75"/>
    </row>
    <row r="123" spans="1:26" s="82" customFormat="1" x14ac:dyDescent="0.25">
      <c r="A123" s="75"/>
      <c r="B123" s="75"/>
      <c r="C123" s="75"/>
      <c r="D123" s="75"/>
      <c r="E123" s="75"/>
      <c r="F123" s="75"/>
      <c r="G123" s="75"/>
      <c r="H123" s="75"/>
      <c r="I123" s="75"/>
      <c r="J123" s="75"/>
      <c r="K123" s="75"/>
      <c r="L123" s="75"/>
      <c r="M123" s="75"/>
      <c r="O123" s="75"/>
      <c r="P123" s="75"/>
      <c r="Q123" s="75"/>
      <c r="R123" s="75"/>
      <c r="S123" s="75"/>
      <c r="T123" s="75"/>
      <c r="U123" s="75"/>
      <c r="V123" s="75"/>
      <c r="W123" s="75"/>
      <c r="X123" s="75"/>
      <c r="Y123" s="75"/>
      <c r="Z123" s="75"/>
    </row>
    <row r="124" spans="1:26" s="82" customFormat="1" x14ac:dyDescent="0.25">
      <c r="A124" s="75"/>
      <c r="B124" s="75"/>
      <c r="C124" s="75"/>
      <c r="D124" s="75"/>
      <c r="E124" s="75"/>
      <c r="F124" s="75"/>
      <c r="G124" s="75"/>
      <c r="H124" s="75"/>
      <c r="I124" s="75"/>
      <c r="J124" s="75"/>
      <c r="K124" s="75"/>
      <c r="L124" s="75"/>
      <c r="M124" s="75"/>
      <c r="O124" s="75"/>
      <c r="P124" s="75"/>
      <c r="Q124" s="75"/>
      <c r="R124" s="75"/>
      <c r="S124" s="75"/>
      <c r="T124" s="75"/>
      <c r="U124" s="75"/>
      <c r="V124" s="75"/>
      <c r="W124" s="75"/>
      <c r="X124" s="75"/>
      <c r="Y124" s="75"/>
      <c r="Z124" s="75"/>
    </row>
    <row r="125" spans="1:26" s="82" customFormat="1" x14ac:dyDescent="0.25">
      <c r="A125" s="75"/>
      <c r="B125" s="75"/>
      <c r="C125" s="75"/>
      <c r="D125" s="75"/>
      <c r="E125" s="75"/>
      <c r="F125" s="75"/>
      <c r="G125" s="75"/>
      <c r="H125" s="75"/>
      <c r="I125" s="75"/>
      <c r="J125" s="75"/>
      <c r="K125" s="75"/>
      <c r="L125" s="75"/>
      <c r="M125" s="75"/>
      <c r="O125" s="75"/>
      <c r="P125" s="75"/>
      <c r="Q125" s="75"/>
      <c r="R125" s="75"/>
      <c r="S125" s="75"/>
      <c r="T125" s="75"/>
      <c r="U125" s="75"/>
      <c r="V125" s="75"/>
      <c r="W125" s="75"/>
      <c r="X125" s="75"/>
      <c r="Y125" s="75"/>
      <c r="Z125" s="75"/>
    </row>
    <row r="126" spans="1:26" s="82" customFormat="1" x14ac:dyDescent="0.25">
      <c r="A126" s="75"/>
      <c r="B126" s="75"/>
      <c r="C126" s="75"/>
      <c r="D126" s="75"/>
      <c r="E126" s="75"/>
      <c r="F126" s="75"/>
      <c r="G126" s="75"/>
      <c r="H126" s="75"/>
      <c r="I126" s="75"/>
      <c r="J126" s="75"/>
      <c r="K126" s="75"/>
      <c r="L126" s="75"/>
      <c r="M126" s="75"/>
      <c r="O126" s="76"/>
      <c r="P126" s="76"/>
      <c r="Q126" s="76"/>
      <c r="R126" s="76"/>
      <c r="S126" s="76"/>
      <c r="T126" s="76"/>
      <c r="U126" s="76"/>
      <c r="V126" s="76"/>
      <c r="W126" s="76"/>
      <c r="X126" s="76"/>
      <c r="Y126" s="76"/>
      <c r="Z126" s="76"/>
    </row>
    <row r="127" spans="1:26" s="82" customFormat="1" x14ac:dyDescent="0.25">
      <c r="A127" s="75"/>
      <c r="B127" s="75"/>
      <c r="C127" s="75"/>
      <c r="D127" s="75"/>
      <c r="E127" s="75"/>
      <c r="F127" s="75"/>
      <c r="G127" s="75"/>
      <c r="H127" s="75"/>
      <c r="I127" s="75"/>
      <c r="J127" s="75"/>
      <c r="K127" s="75"/>
      <c r="L127" s="75"/>
      <c r="M127" s="75"/>
    </row>
    <row r="128" spans="1:26" s="82" customFormat="1" x14ac:dyDescent="0.25">
      <c r="A128" s="75"/>
      <c r="B128" s="75"/>
      <c r="C128" s="75"/>
      <c r="D128" s="75"/>
      <c r="E128" s="75"/>
      <c r="F128" s="75"/>
      <c r="G128" s="75"/>
      <c r="H128" s="75"/>
      <c r="I128" s="75"/>
      <c r="J128" s="75"/>
      <c r="K128" s="75"/>
      <c r="L128" s="75"/>
      <c r="M128" s="75"/>
      <c r="O128" s="75"/>
      <c r="P128" s="75"/>
      <c r="Q128" s="75"/>
      <c r="R128" s="75"/>
      <c r="S128" s="75"/>
      <c r="T128" s="75"/>
      <c r="U128" s="75"/>
      <c r="V128" s="75"/>
      <c r="W128" s="75"/>
      <c r="X128" s="75"/>
      <c r="Y128" s="75"/>
      <c r="Z128" s="75"/>
    </row>
    <row r="129" spans="1:26" s="82" customFormat="1" x14ac:dyDescent="0.25">
      <c r="A129" s="75"/>
      <c r="B129" s="75"/>
      <c r="C129" s="75"/>
      <c r="D129" s="75"/>
      <c r="E129" s="75"/>
      <c r="F129" s="75"/>
      <c r="G129" s="75"/>
      <c r="H129" s="75"/>
      <c r="I129" s="75"/>
      <c r="J129" s="75"/>
      <c r="K129" s="75"/>
      <c r="L129" s="75"/>
      <c r="M129" s="75"/>
      <c r="O129" s="75"/>
      <c r="P129" s="75"/>
      <c r="Q129" s="75"/>
      <c r="R129" s="75"/>
      <c r="S129" s="75"/>
      <c r="T129" s="75"/>
      <c r="U129" s="75"/>
      <c r="V129" s="75"/>
      <c r="W129" s="75"/>
      <c r="X129" s="75"/>
      <c r="Y129" s="75"/>
      <c r="Z129" s="75"/>
    </row>
    <row r="130" spans="1:26" s="82" customFormat="1" x14ac:dyDescent="0.25">
      <c r="A130" s="75"/>
      <c r="B130" s="75"/>
      <c r="C130" s="75"/>
      <c r="D130" s="75"/>
      <c r="E130" s="75"/>
      <c r="F130" s="75"/>
      <c r="G130" s="75"/>
      <c r="H130" s="75"/>
      <c r="I130" s="75"/>
      <c r="J130" s="75"/>
      <c r="K130" s="75"/>
      <c r="L130" s="75"/>
      <c r="M130" s="75"/>
      <c r="O130" s="75"/>
      <c r="P130" s="75"/>
      <c r="Q130" s="75"/>
      <c r="R130" s="75"/>
      <c r="S130" s="75"/>
      <c r="T130" s="75"/>
      <c r="U130" s="75"/>
      <c r="V130" s="75"/>
      <c r="W130" s="75"/>
      <c r="X130" s="75"/>
      <c r="Y130" s="75"/>
      <c r="Z130" s="75"/>
    </row>
    <row r="131" spans="1:26" s="82" customFormat="1" x14ac:dyDescent="0.25">
      <c r="A131" s="75"/>
      <c r="B131" s="75"/>
      <c r="C131" s="75"/>
      <c r="D131" s="75"/>
      <c r="E131" s="75"/>
      <c r="F131" s="75"/>
      <c r="G131" s="75"/>
      <c r="H131" s="75"/>
      <c r="I131" s="75"/>
      <c r="J131" s="75"/>
      <c r="K131" s="75"/>
      <c r="L131" s="75"/>
      <c r="M131" s="75"/>
      <c r="O131" s="75"/>
      <c r="P131" s="75"/>
      <c r="Q131" s="75"/>
      <c r="R131" s="75"/>
      <c r="S131" s="75"/>
      <c r="T131" s="75"/>
      <c r="U131" s="75"/>
      <c r="V131" s="75"/>
      <c r="W131" s="75"/>
      <c r="X131" s="75"/>
      <c r="Y131" s="75"/>
      <c r="Z131" s="75"/>
    </row>
    <row r="132" spans="1:26" s="82" customFormat="1" x14ac:dyDescent="0.25">
      <c r="A132" s="75"/>
      <c r="B132" s="75"/>
      <c r="C132" s="75"/>
      <c r="D132" s="75"/>
      <c r="E132" s="75"/>
      <c r="F132" s="75"/>
      <c r="G132" s="75"/>
      <c r="H132" s="75"/>
      <c r="I132" s="75"/>
      <c r="J132" s="75"/>
      <c r="K132" s="75"/>
      <c r="L132" s="75"/>
      <c r="M132" s="75"/>
      <c r="O132" s="75"/>
      <c r="P132" s="75"/>
      <c r="Q132" s="75"/>
      <c r="R132" s="75"/>
      <c r="S132" s="75"/>
      <c r="T132" s="75"/>
      <c r="U132" s="75"/>
      <c r="V132" s="75"/>
      <c r="W132" s="75"/>
      <c r="X132" s="75"/>
      <c r="Y132" s="75"/>
      <c r="Z132" s="75"/>
    </row>
    <row r="133" spans="1:26" s="82" customFormat="1" x14ac:dyDescent="0.25">
      <c r="A133" s="75"/>
      <c r="B133" s="75"/>
      <c r="C133" s="75"/>
      <c r="D133" s="75"/>
      <c r="E133" s="75"/>
      <c r="F133" s="75"/>
      <c r="G133" s="75"/>
      <c r="H133" s="75"/>
      <c r="I133" s="75"/>
      <c r="J133" s="75"/>
      <c r="K133" s="75"/>
      <c r="L133" s="75"/>
      <c r="M133" s="75"/>
      <c r="O133" s="75"/>
      <c r="P133" s="75"/>
      <c r="Q133" s="75"/>
      <c r="R133" s="75"/>
      <c r="S133" s="75"/>
      <c r="T133" s="75"/>
      <c r="U133" s="75"/>
      <c r="V133" s="75"/>
      <c r="W133" s="75"/>
      <c r="X133" s="75"/>
      <c r="Y133" s="75"/>
      <c r="Z133" s="75"/>
    </row>
    <row r="134" spans="1:26" s="82" customFormat="1" x14ac:dyDescent="0.25">
      <c r="A134" s="75"/>
      <c r="B134" s="75"/>
      <c r="C134" s="75"/>
      <c r="D134" s="75"/>
      <c r="E134" s="75"/>
      <c r="F134" s="75"/>
      <c r="G134" s="75"/>
      <c r="H134" s="75"/>
      <c r="I134" s="75"/>
      <c r="J134" s="75"/>
      <c r="K134" s="75"/>
      <c r="L134" s="75"/>
      <c r="M134" s="75"/>
      <c r="O134" s="86"/>
      <c r="P134" s="86"/>
      <c r="Q134" s="75"/>
      <c r="R134" s="75"/>
      <c r="S134" s="75"/>
      <c r="T134" s="75"/>
      <c r="U134" s="75"/>
      <c r="V134" s="75"/>
      <c r="W134" s="75"/>
      <c r="X134" s="75"/>
      <c r="Y134" s="75"/>
      <c r="Z134" s="75"/>
    </row>
    <row r="135" spans="1:26" s="82" customFormat="1" x14ac:dyDescent="0.25">
      <c r="A135" s="75"/>
      <c r="B135" s="75"/>
      <c r="C135" s="75"/>
      <c r="D135" s="75"/>
      <c r="E135" s="75"/>
      <c r="F135" s="75"/>
      <c r="G135" s="75"/>
      <c r="H135" s="75"/>
      <c r="I135" s="75"/>
      <c r="J135" s="75"/>
      <c r="K135" s="75"/>
      <c r="L135" s="75"/>
      <c r="M135" s="75"/>
    </row>
  </sheetData>
  <mergeCells count="1">
    <mergeCell ref="B105:L105"/>
  </mergeCells>
  <dataValidations count="1">
    <dataValidation type="list" allowBlank="1" showInputMessage="1" sqref="J50 F50 H50" xr:uid="{00000000-0002-0000-0100-000000000000}">
      <formula1>$D$4:$AJ$4</formula1>
    </dataValidation>
  </dataValidations>
  <pageMargins left="0.7" right="0.7" top="0.75" bottom="0.75" header="0.3" footer="0.3"/>
  <pageSetup orientation="portrait" r:id="rId1"/>
  <headerFooter>
    <oddFooter>&amp;L_x000D_&amp;1#&amp;"Calibri"&amp;11&amp;K000000 Classification: Public</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255" r:id="rId4" name="Check Box 63">
              <controlPr locked="0" defaultSize="0" autoFill="0" autoLine="0" autoPict="0" altText="Refining or Upgrader sector using AB-CWB product">
                <anchor moveWithCells="1">
                  <from>
                    <xdr:col>1</xdr:col>
                    <xdr:colOff>66675</xdr:colOff>
                    <xdr:row>8</xdr:row>
                    <xdr:rowOff>123825</xdr:rowOff>
                  </from>
                  <to>
                    <xdr:col>1</xdr:col>
                    <xdr:colOff>2857500</xdr:colOff>
                    <xdr:row>10</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xr:uid="{00000000-0002-0000-0100-000001000000}">
          <x14:formula1>
            <xm:f>Configuration!$D$4:$AJ$4</xm:f>
          </x14:formula1>
          <xm:sqref>D50</xm:sqref>
        </x14:dataValidation>
        <x14:dataValidation type="list" allowBlank="1" showInputMessage="1" showErrorMessage="1" xr:uid="{00000000-0002-0000-0100-000002000000}">
          <x14:formula1>
            <xm:f>Configuration!$G$7:$Q$7</xm:f>
          </x14:formula1>
          <xm:sqref>D3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Z105"/>
  <sheetViews>
    <sheetView zoomScaleNormal="100" workbookViewId="0">
      <selection activeCell="B62" sqref="B62:L62"/>
    </sheetView>
  </sheetViews>
  <sheetFormatPr defaultColWidth="8.85546875" defaultRowHeight="15" x14ac:dyDescent="0.25"/>
  <cols>
    <col min="1" max="1" width="2.7109375" style="59" customWidth="1"/>
    <col min="2" max="2" width="56.28515625" style="59" customWidth="1"/>
    <col min="3" max="3" width="2.7109375" style="59" customWidth="1"/>
    <col min="4" max="4" width="19.7109375" style="59" customWidth="1"/>
    <col min="5" max="5" width="1.28515625" style="59" customWidth="1"/>
    <col min="6" max="6" width="18.7109375" style="59" customWidth="1"/>
    <col min="7" max="7" width="1.28515625" style="59" customWidth="1"/>
    <col min="8" max="8" width="18.5703125" style="59" customWidth="1"/>
    <col min="9" max="9" width="1.28515625" style="59" customWidth="1"/>
    <col min="10" max="10" width="18.7109375" style="59" customWidth="1"/>
    <col min="11" max="11" width="1.28515625" style="59" customWidth="1"/>
    <col min="12" max="12" width="16" style="59" customWidth="1"/>
    <col min="13" max="13" width="2.7109375" style="59" customWidth="1"/>
    <col min="14" max="14" width="3.42578125" style="82" customWidth="1"/>
    <col min="15" max="15" width="23.42578125" style="82" customWidth="1"/>
    <col min="16" max="16" width="12.5703125" style="82" customWidth="1"/>
    <col min="17" max="17" width="9.28515625" style="82" customWidth="1"/>
    <col min="18" max="18" width="7.5703125" style="82" customWidth="1"/>
    <col min="19" max="19" width="10.5703125" style="82" customWidth="1"/>
    <col min="20" max="26" width="9.28515625" style="82" customWidth="1"/>
    <col min="27" max="16384" width="8.85546875" style="79"/>
  </cols>
  <sheetData>
    <row r="1" spans="1:26" ht="15" customHeight="1" x14ac:dyDescent="0.25">
      <c r="A1" s="130"/>
      <c r="B1" s="130" t="str">
        <f>"Aggregates facility estimations applicable for "&amp;D3 &amp; " period"</f>
        <v>Aggregates facility estimations applicable for 2023 period</v>
      </c>
      <c r="C1" s="130"/>
      <c r="D1" s="130"/>
      <c r="E1" s="130"/>
      <c r="F1" s="130"/>
      <c r="G1" s="130"/>
      <c r="H1" s="130"/>
      <c r="I1" s="130"/>
      <c r="J1" s="130"/>
      <c r="K1" s="130"/>
      <c r="L1" s="130"/>
      <c r="M1" s="131"/>
      <c r="N1" s="75"/>
      <c r="O1" s="75"/>
      <c r="P1" s="75"/>
    </row>
    <row r="2" spans="1:26" s="46" customFormat="1" ht="6" customHeight="1" x14ac:dyDescent="0.2">
      <c r="A2" s="47"/>
      <c r="B2" s="53"/>
      <c r="C2" s="53"/>
      <c r="D2" s="53"/>
      <c r="E2" s="53"/>
      <c r="F2" s="53"/>
      <c r="G2" s="53"/>
      <c r="H2" s="53"/>
      <c r="I2" s="53"/>
      <c r="J2" s="53"/>
      <c r="K2" s="53"/>
      <c r="L2" s="53"/>
      <c r="M2" s="54"/>
      <c r="N2" s="75"/>
      <c r="O2" s="75"/>
      <c r="P2" s="75"/>
      <c r="Q2" s="76"/>
      <c r="R2" s="76"/>
      <c r="S2" s="76"/>
      <c r="T2" s="76"/>
      <c r="U2" s="76"/>
      <c r="V2" s="76"/>
      <c r="W2" s="76"/>
      <c r="X2" s="76"/>
      <c r="Y2" s="76"/>
      <c r="Z2" s="76"/>
    </row>
    <row r="3" spans="1:26" s="46" customFormat="1" ht="12.75" x14ac:dyDescent="0.2">
      <c r="A3" s="47"/>
      <c r="B3" s="134" t="s">
        <v>101</v>
      </c>
      <c r="C3" s="53"/>
      <c r="D3" s="144">
        <v>2023</v>
      </c>
      <c r="E3" s="53"/>
      <c r="F3" s="53"/>
      <c r="G3" s="161"/>
      <c r="H3" s="57"/>
      <c r="I3" s="161" t="s">
        <v>129</v>
      </c>
      <c r="J3" s="169">
        <f>BeAgg</f>
        <v>0.36259999999999998</v>
      </c>
      <c r="K3" s="53" t="s">
        <v>134</v>
      </c>
      <c r="L3" s="53"/>
      <c r="M3" s="54"/>
      <c r="N3" s="76"/>
      <c r="O3" s="76"/>
      <c r="P3" s="76"/>
      <c r="Q3" s="76"/>
      <c r="R3" s="76"/>
      <c r="S3" s="76"/>
      <c r="T3" s="76"/>
      <c r="U3" s="76"/>
      <c r="V3" s="76"/>
      <c r="W3" s="76"/>
      <c r="X3" s="76"/>
      <c r="Y3" s="76"/>
      <c r="Z3" s="76"/>
    </row>
    <row r="4" spans="1:26" s="46" customFormat="1" ht="5.25" customHeight="1" x14ac:dyDescent="0.2">
      <c r="A4" s="47"/>
      <c r="B4" s="53"/>
      <c r="C4" s="53"/>
      <c r="D4" s="53"/>
      <c r="E4" s="53"/>
      <c r="F4" s="53"/>
      <c r="G4" s="53"/>
      <c r="H4" s="53"/>
      <c r="I4" s="53"/>
      <c r="J4" s="53"/>
      <c r="K4" s="53"/>
      <c r="L4" s="53"/>
      <c r="M4" s="54"/>
      <c r="N4" s="76"/>
      <c r="O4" s="76"/>
      <c r="P4" s="76"/>
      <c r="Q4" s="76"/>
      <c r="R4" s="76"/>
      <c r="S4" s="76"/>
      <c r="T4" s="76"/>
      <c r="U4" s="76"/>
      <c r="V4" s="76"/>
      <c r="W4" s="76"/>
      <c r="X4" s="76"/>
      <c r="Y4" s="76"/>
      <c r="Z4" s="76"/>
    </row>
    <row r="5" spans="1:26" x14ac:dyDescent="0.25">
      <c r="A5" s="130"/>
      <c r="B5" s="132" t="s">
        <v>94</v>
      </c>
      <c r="C5" s="130"/>
      <c r="D5" s="130"/>
      <c r="E5" s="130"/>
      <c r="F5" s="130"/>
      <c r="G5" s="130"/>
      <c r="H5" s="130"/>
      <c r="I5" s="130"/>
      <c r="J5" s="130"/>
      <c r="K5" s="130"/>
      <c r="L5" s="130"/>
      <c r="M5" s="131"/>
      <c r="N5" s="75"/>
      <c r="O5" s="75"/>
      <c r="P5" s="75"/>
      <c r="R5" s="83"/>
    </row>
    <row r="6" spans="1:26" s="59" customFormat="1" ht="7.5" customHeight="1" x14ac:dyDescent="0.2">
      <c r="A6" s="55"/>
      <c r="B6" s="56"/>
      <c r="C6" s="56"/>
      <c r="D6" s="56"/>
      <c r="E6" s="57"/>
      <c r="F6" s="56"/>
      <c r="G6" s="57"/>
      <c r="H6" s="56"/>
      <c r="I6" s="57"/>
      <c r="J6" s="56"/>
      <c r="K6" s="57"/>
      <c r="L6" s="56"/>
      <c r="M6" s="58"/>
      <c r="N6" s="75"/>
      <c r="O6" s="75"/>
      <c r="P6" s="75"/>
      <c r="Q6" s="75"/>
      <c r="R6" s="75"/>
      <c r="S6" s="75"/>
      <c r="T6" s="75"/>
      <c r="U6" s="75"/>
      <c r="V6" s="75"/>
      <c r="W6" s="75"/>
      <c r="X6" s="75"/>
      <c r="Y6" s="75"/>
      <c r="Z6" s="75"/>
    </row>
    <row r="7" spans="1:26" s="59" customFormat="1" ht="17.25" customHeight="1" x14ac:dyDescent="0.2">
      <c r="A7" s="47"/>
      <c r="B7" s="64"/>
      <c r="C7" s="53"/>
      <c r="D7" s="106" t="s">
        <v>194</v>
      </c>
      <c r="E7" s="105"/>
      <c r="F7" s="106" t="s">
        <v>195</v>
      </c>
      <c r="G7" s="105"/>
      <c r="H7" s="106" t="s">
        <v>196</v>
      </c>
      <c r="I7" s="105"/>
      <c r="J7" s="63"/>
      <c r="K7" s="53"/>
      <c r="L7" s="63"/>
      <c r="M7" s="54"/>
      <c r="N7" s="76"/>
      <c r="O7" s="76"/>
      <c r="P7" s="76"/>
      <c r="Q7" s="75"/>
      <c r="R7" s="75"/>
      <c r="S7" s="75"/>
      <c r="T7" s="75"/>
      <c r="U7" s="75"/>
      <c r="V7" s="75"/>
      <c r="W7" s="75"/>
      <c r="X7" s="75"/>
      <c r="Y7" s="75"/>
      <c r="Z7" s="75"/>
    </row>
    <row r="8" spans="1:26" s="59" customFormat="1" ht="5.0999999999999996" customHeight="1" x14ac:dyDescent="0.2">
      <c r="A8" s="47"/>
      <c r="B8" s="53"/>
      <c r="C8" s="53"/>
      <c r="D8" s="63"/>
      <c r="E8" s="53"/>
      <c r="F8" s="63"/>
      <c r="G8" s="53"/>
      <c r="H8" s="63"/>
      <c r="I8" s="53"/>
      <c r="J8" s="63"/>
      <c r="K8" s="53"/>
      <c r="L8" s="63"/>
      <c r="M8" s="54"/>
      <c r="N8" s="75"/>
      <c r="O8" s="75"/>
      <c r="P8" s="75"/>
      <c r="Q8" s="84"/>
      <c r="R8" s="75"/>
      <c r="S8" s="75"/>
      <c r="T8" s="75"/>
      <c r="U8" s="75"/>
      <c r="V8" s="75"/>
      <c r="W8" s="75"/>
      <c r="X8" s="75"/>
      <c r="Y8" s="75"/>
      <c r="Z8" s="75"/>
    </row>
    <row r="9" spans="1:26" s="59" customFormat="1" ht="14.25" customHeight="1" x14ac:dyDescent="0.25">
      <c r="A9" s="55"/>
      <c r="B9" s="73" t="s">
        <v>189</v>
      </c>
      <c r="C9" s="53"/>
      <c r="D9" s="71"/>
      <c r="E9" s="53"/>
      <c r="F9" s="71"/>
      <c r="G9" s="53"/>
      <c r="H9" s="71"/>
      <c r="I9" s="53"/>
      <c r="J9" s="62" t="s">
        <v>37</v>
      </c>
      <c r="K9" s="53"/>
      <c r="L9" s="63"/>
      <c r="M9" s="58"/>
      <c r="N9" s="75"/>
      <c r="O9" s="182"/>
      <c r="P9" s="182"/>
      <c r="Q9" s="182"/>
      <c r="R9" s="182"/>
      <c r="S9" s="75"/>
      <c r="T9" s="75"/>
      <c r="U9" s="75"/>
      <c r="V9" s="75"/>
      <c r="W9" s="75"/>
      <c r="X9" s="75"/>
      <c r="Y9" s="75"/>
      <c r="Z9" s="75"/>
    </row>
    <row r="10" spans="1:26" s="59" customFormat="1" ht="5.0999999999999996" customHeight="1" x14ac:dyDescent="0.2">
      <c r="A10" s="47"/>
      <c r="B10" s="53"/>
      <c r="C10" s="53"/>
      <c r="D10" s="63"/>
      <c r="E10" s="53"/>
      <c r="F10" s="63"/>
      <c r="G10" s="53"/>
      <c r="H10" s="63"/>
      <c r="I10" s="53"/>
      <c r="J10" s="53"/>
      <c r="K10" s="53"/>
      <c r="L10" s="63"/>
      <c r="M10" s="54"/>
      <c r="N10" s="75"/>
      <c r="O10" s="182"/>
      <c r="P10" s="182"/>
      <c r="Q10" s="182"/>
      <c r="R10" s="182"/>
      <c r="S10" s="84"/>
      <c r="T10" s="75"/>
      <c r="U10" s="75"/>
      <c r="V10" s="75"/>
      <c r="W10" s="75"/>
      <c r="X10" s="75"/>
      <c r="Y10" s="75"/>
      <c r="Z10" s="75"/>
    </row>
    <row r="11" spans="1:26" s="46" customFormat="1" ht="12" customHeight="1" x14ac:dyDescent="0.25">
      <c r="A11" s="55"/>
      <c r="B11" s="73" t="s">
        <v>108</v>
      </c>
      <c r="C11" s="60"/>
      <c r="D11" s="71"/>
      <c r="E11" s="57"/>
      <c r="F11" s="71"/>
      <c r="G11" s="57"/>
      <c r="H11" s="71"/>
      <c r="I11" s="57"/>
      <c r="J11" s="62" t="s">
        <v>37</v>
      </c>
      <c r="K11" s="57"/>
      <c r="L11" s="63"/>
      <c r="M11" s="58"/>
      <c r="N11" s="76"/>
      <c r="O11" s="182"/>
      <c r="P11" s="182"/>
      <c r="Q11" s="182"/>
      <c r="R11" s="182"/>
      <c r="S11" s="75"/>
      <c r="T11" s="75"/>
      <c r="U11" s="75"/>
      <c r="V11" s="75"/>
      <c r="W11" s="75"/>
      <c r="X11" s="75"/>
      <c r="Y11" s="75"/>
      <c r="Z11" s="76"/>
    </row>
    <row r="12" spans="1:26" s="59" customFormat="1" ht="5.0999999999999996" customHeight="1" x14ac:dyDescent="0.2">
      <c r="A12" s="47"/>
      <c r="B12" s="53"/>
      <c r="C12" s="53"/>
      <c r="D12" s="63"/>
      <c r="E12" s="53"/>
      <c r="F12" s="63"/>
      <c r="G12" s="53"/>
      <c r="H12" s="63"/>
      <c r="I12" s="53"/>
      <c r="J12" s="53"/>
      <c r="K12" s="53"/>
      <c r="L12" s="63"/>
      <c r="M12" s="54"/>
      <c r="N12" s="75"/>
      <c r="O12" s="182"/>
      <c r="P12" s="182"/>
      <c r="Q12" s="182"/>
      <c r="R12" s="182"/>
      <c r="S12" s="84"/>
      <c r="T12" s="75"/>
      <c r="U12" s="75"/>
      <c r="V12" s="75"/>
      <c r="W12" s="75"/>
      <c r="X12" s="75"/>
      <c r="Y12" s="75"/>
      <c r="Z12" s="75"/>
    </row>
    <row r="13" spans="1:26" s="59" customFormat="1" ht="14.25" customHeight="1" x14ac:dyDescent="0.25">
      <c r="A13" s="55"/>
      <c r="B13" s="73" t="s">
        <v>69</v>
      </c>
      <c r="C13" s="53"/>
      <c r="D13" s="71"/>
      <c r="E13" s="53"/>
      <c r="F13" s="71"/>
      <c r="G13" s="53"/>
      <c r="H13" s="71"/>
      <c r="I13" s="53"/>
      <c r="J13" s="62" t="s">
        <v>37</v>
      </c>
      <c r="K13" s="53"/>
      <c r="L13" s="63"/>
      <c r="M13" s="58"/>
      <c r="N13" s="75"/>
      <c r="O13" s="182"/>
      <c r="P13" s="182"/>
      <c r="Q13" s="182"/>
      <c r="R13" s="182"/>
      <c r="S13" s="75"/>
      <c r="T13" s="75"/>
      <c r="U13" s="75"/>
      <c r="V13" s="75"/>
      <c r="W13" s="75"/>
      <c r="X13" s="75"/>
      <c r="Y13" s="75"/>
      <c r="Z13" s="75"/>
    </row>
    <row r="14" spans="1:26" s="59" customFormat="1" ht="5.0999999999999996" customHeight="1" x14ac:dyDescent="0.2">
      <c r="A14" s="47"/>
      <c r="B14" s="53"/>
      <c r="C14" s="53"/>
      <c r="D14" s="70"/>
      <c r="E14" s="53"/>
      <c r="F14" s="70"/>
      <c r="G14" s="53"/>
      <c r="H14" s="70"/>
      <c r="I14" s="53"/>
      <c r="J14" s="53"/>
      <c r="K14" s="53"/>
      <c r="L14" s="63"/>
      <c r="M14" s="54"/>
      <c r="N14" s="75"/>
      <c r="O14" s="75"/>
      <c r="P14" s="75"/>
      <c r="Q14" s="84"/>
      <c r="R14" s="75"/>
      <c r="S14" s="84"/>
      <c r="T14" s="75"/>
      <c r="U14" s="75"/>
      <c r="V14" s="75"/>
      <c r="W14" s="75"/>
      <c r="X14" s="75"/>
      <c r="Y14" s="75"/>
      <c r="Z14" s="75"/>
    </row>
    <row r="15" spans="1:26" s="59" customFormat="1" ht="14.25" customHeight="1" x14ac:dyDescent="0.2">
      <c r="A15" s="55"/>
      <c r="B15" s="73" t="s">
        <v>40</v>
      </c>
      <c r="C15" s="53"/>
      <c r="D15" s="71"/>
      <c r="E15" s="53"/>
      <c r="F15" s="71"/>
      <c r="G15" s="53"/>
      <c r="H15" s="71"/>
      <c r="I15" s="53"/>
      <c r="J15" s="62" t="s">
        <v>197</v>
      </c>
      <c r="K15" s="53"/>
      <c r="L15" s="63"/>
      <c r="M15" s="58"/>
      <c r="N15" s="75"/>
      <c r="O15" s="75"/>
      <c r="P15" s="75"/>
      <c r="Q15" s="75"/>
      <c r="R15" s="75"/>
      <c r="S15" s="75"/>
      <c r="T15" s="75"/>
      <c r="U15" s="75"/>
      <c r="V15" s="75"/>
      <c r="W15" s="75"/>
      <c r="X15" s="75"/>
      <c r="Y15" s="75"/>
      <c r="Z15" s="75"/>
    </row>
    <row r="16" spans="1:26" s="59" customFormat="1" ht="5.0999999999999996" customHeight="1" x14ac:dyDescent="0.2">
      <c r="A16" s="47"/>
      <c r="B16" s="53"/>
      <c r="C16" s="53"/>
      <c r="D16" s="63"/>
      <c r="E16" s="53"/>
      <c r="F16" s="63"/>
      <c r="G16" s="53"/>
      <c r="H16" s="63"/>
      <c r="I16" s="53"/>
      <c r="J16" s="53"/>
      <c r="K16" s="53"/>
      <c r="L16" s="63"/>
      <c r="M16" s="54"/>
      <c r="N16" s="75"/>
      <c r="O16" s="75"/>
      <c r="P16" s="75"/>
      <c r="Q16" s="84"/>
      <c r="R16" s="75"/>
      <c r="S16" s="75"/>
      <c r="T16" s="75"/>
      <c r="U16" s="75"/>
      <c r="V16" s="75"/>
      <c r="W16" s="75"/>
      <c r="X16" s="75"/>
      <c r="Y16" s="75"/>
      <c r="Z16" s="75"/>
    </row>
    <row r="17" spans="1:26" s="46" customFormat="1" ht="12" customHeight="1" x14ac:dyDescent="0.2">
      <c r="A17" s="55"/>
      <c r="B17" s="73" t="s">
        <v>188</v>
      </c>
      <c r="C17" s="60"/>
      <c r="D17" s="72"/>
      <c r="E17" s="57"/>
      <c r="F17" s="63"/>
      <c r="G17" s="63"/>
      <c r="H17" s="63"/>
      <c r="I17" s="57"/>
      <c r="J17" s="62" t="s">
        <v>39</v>
      </c>
      <c r="K17" s="57"/>
      <c r="L17" s="63"/>
      <c r="M17" s="58"/>
      <c r="N17" s="76"/>
      <c r="O17" s="76"/>
      <c r="P17" s="76"/>
      <c r="Q17" s="76"/>
      <c r="R17" s="75"/>
      <c r="S17" s="75"/>
      <c r="T17" s="75"/>
      <c r="U17" s="75"/>
      <c r="V17" s="75"/>
      <c r="W17" s="75"/>
      <c r="X17" s="75"/>
      <c r="Y17" s="75"/>
      <c r="Z17" s="76"/>
    </row>
    <row r="18" spans="1:26" s="59" customFormat="1" ht="5.0999999999999996" customHeight="1" x14ac:dyDescent="0.2">
      <c r="A18" s="47"/>
      <c r="B18" s="53"/>
      <c r="C18" s="53"/>
      <c r="D18" s="63"/>
      <c r="E18" s="53"/>
      <c r="F18" s="63"/>
      <c r="G18" s="63"/>
      <c r="H18" s="63"/>
      <c r="I18" s="53"/>
      <c r="J18" s="53"/>
      <c r="K18" s="53"/>
      <c r="L18" s="63"/>
      <c r="M18" s="54"/>
      <c r="N18" s="75"/>
      <c r="O18" s="75"/>
      <c r="P18" s="75"/>
      <c r="Q18" s="84"/>
      <c r="R18" s="75"/>
      <c r="S18" s="75"/>
      <c r="T18" s="75"/>
      <c r="U18" s="75"/>
      <c r="V18" s="75"/>
      <c r="W18" s="75"/>
      <c r="X18" s="75"/>
      <c r="Y18" s="75"/>
      <c r="Z18" s="75"/>
    </row>
    <row r="19" spans="1:26" s="46" customFormat="1" ht="12" customHeight="1" x14ac:dyDescent="0.2">
      <c r="A19" s="55"/>
      <c r="B19" s="73" t="s">
        <v>190</v>
      </c>
      <c r="C19" s="60"/>
      <c r="D19" s="72"/>
      <c r="E19" s="57"/>
      <c r="F19" s="63"/>
      <c r="G19" s="63"/>
      <c r="H19" s="63"/>
      <c r="I19" s="57"/>
      <c r="J19" s="62" t="s">
        <v>39</v>
      </c>
      <c r="K19" s="57"/>
      <c r="L19" s="63"/>
      <c r="M19" s="58"/>
      <c r="N19" s="76"/>
      <c r="O19" s="76"/>
      <c r="P19" s="76"/>
      <c r="Q19" s="76"/>
      <c r="R19" s="75"/>
      <c r="S19" s="75"/>
      <c r="T19" s="75"/>
      <c r="U19" s="75"/>
      <c r="V19" s="75"/>
      <c r="W19" s="75"/>
      <c r="X19" s="75"/>
      <c r="Y19" s="75"/>
      <c r="Z19" s="76"/>
    </row>
    <row r="20" spans="1:26" s="59" customFormat="1" ht="5.0999999999999996" customHeight="1" x14ac:dyDescent="0.2">
      <c r="A20" s="47"/>
      <c r="B20" s="53"/>
      <c r="C20" s="53"/>
      <c r="D20" s="63"/>
      <c r="E20" s="53"/>
      <c r="F20" s="63"/>
      <c r="G20" s="63"/>
      <c r="H20" s="63"/>
      <c r="I20" s="53"/>
      <c r="J20" s="53"/>
      <c r="K20" s="53"/>
      <c r="L20" s="63"/>
      <c r="M20" s="54"/>
      <c r="N20" s="75"/>
      <c r="O20" s="75"/>
      <c r="P20" s="75"/>
      <c r="Q20" s="84"/>
      <c r="R20" s="75"/>
      <c r="S20" s="84"/>
      <c r="T20" s="75"/>
      <c r="U20" s="75"/>
      <c r="V20" s="75"/>
      <c r="W20" s="75"/>
      <c r="X20" s="75"/>
      <c r="Y20" s="75"/>
      <c r="Z20" s="75"/>
    </row>
    <row r="21" spans="1:26" s="46" customFormat="1" ht="12" customHeight="1" x14ac:dyDescent="0.25">
      <c r="A21" s="55"/>
      <c r="B21" s="73" t="s">
        <v>58</v>
      </c>
      <c r="C21" s="60"/>
      <c r="D21" s="61">
        <f>SUM(D9:D13)+SUM(F9:F13)+SUM(H9:H13)</f>
        <v>0</v>
      </c>
      <c r="E21" s="57"/>
      <c r="F21" s="63"/>
      <c r="G21" s="63"/>
      <c r="H21" s="63"/>
      <c r="I21" s="57"/>
      <c r="J21" s="62" t="s">
        <v>37</v>
      </c>
      <c r="K21" s="57"/>
      <c r="L21" s="63"/>
      <c r="M21" s="58"/>
      <c r="N21" s="76"/>
      <c r="O21" s="76"/>
      <c r="P21" s="76"/>
      <c r="Q21" s="76"/>
      <c r="R21" s="75"/>
      <c r="S21" s="84"/>
      <c r="T21" s="75"/>
      <c r="U21" s="75"/>
      <c r="V21" s="75"/>
      <c r="W21" s="75"/>
      <c r="X21" s="75"/>
      <c r="Y21" s="75"/>
      <c r="Z21" s="76"/>
    </row>
    <row r="22" spans="1:26" s="59" customFormat="1" ht="5.0999999999999996" hidden="1" customHeight="1" x14ac:dyDescent="0.2">
      <c r="A22" s="47"/>
      <c r="B22" s="53"/>
      <c r="C22" s="53"/>
      <c r="D22" s="63"/>
      <c r="E22" s="53"/>
      <c r="F22" s="63"/>
      <c r="G22" s="63"/>
      <c r="H22" s="63"/>
      <c r="I22" s="53"/>
      <c r="J22" s="53"/>
      <c r="K22" s="53"/>
      <c r="L22" s="63"/>
      <c r="M22" s="54"/>
      <c r="N22" s="75"/>
      <c r="O22" s="75"/>
      <c r="P22" s="75"/>
      <c r="Q22" s="84"/>
      <c r="R22" s="75"/>
      <c r="S22" s="84"/>
      <c r="T22" s="75"/>
      <c r="U22" s="75"/>
      <c r="V22" s="75"/>
      <c r="W22" s="75"/>
      <c r="X22" s="75"/>
      <c r="Y22" s="75"/>
      <c r="Z22" s="75"/>
    </row>
    <row r="23" spans="1:26" s="46" customFormat="1" ht="12" hidden="1" customHeight="1" x14ac:dyDescent="0.25">
      <c r="A23" s="55"/>
      <c r="B23" s="73" t="s">
        <v>44</v>
      </c>
      <c r="C23" s="60"/>
      <c r="D23" s="61"/>
      <c r="E23" s="57"/>
      <c r="F23" s="63"/>
      <c r="G23" s="63"/>
      <c r="H23" s="63"/>
      <c r="I23" s="57"/>
      <c r="J23" s="62" t="s">
        <v>46</v>
      </c>
      <c r="K23" s="57"/>
      <c r="L23" s="63"/>
      <c r="M23" s="58"/>
      <c r="N23" s="76"/>
      <c r="O23" s="76"/>
      <c r="P23" s="76"/>
      <c r="Q23" s="76"/>
      <c r="R23" s="75"/>
      <c r="S23" s="84"/>
      <c r="T23" s="75"/>
      <c r="U23" s="75"/>
      <c r="V23" s="75"/>
      <c r="W23" s="75"/>
      <c r="X23" s="75"/>
      <c r="Y23" s="75"/>
      <c r="Z23" s="76"/>
    </row>
    <row r="24" spans="1:26" s="59" customFormat="1" ht="5.0999999999999996" hidden="1" customHeight="1" x14ac:dyDescent="0.2">
      <c r="A24" s="47"/>
      <c r="B24" s="53"/>
      <c r="C24" s="53"/>
      <c r="D24" s="63"/>
      <c r="E24" s="53"/>
      <c r="F24" s="63"/>
      <c r="G24" s="63"/>
      <c r="H24" s="63"/>
      <c r="I24" s="53"/>
      <c r="J24" s="53"/>
      <c r="K24" s="53"/>
      <c r="L24" s="63"/>
      <c r="M24" s="54"/>
      <c r="N24" s="75"/>
      <c r="O24" s="75"/>
      <c r="P24" s="75"/>
      <c r="Q24" s="84"/>
      <c r="R24" s="75"/>
      <c r="S24" s="84"/>
      <c r="T24" s="75"/>
      <c r="U24" s="75"/>
      <c r="V24" s="75"/>
      <c r="W24" s="75"/>
      <c r="X24" s="75"/>
      <c r="Y24" s="75"/>
      <c r="Z24" s="75"/>
    </row>
    <row r="25" spans="1:26" s="46" customFormat="1" ht="12" hidden="1" customHeight="1" x14ac:dyDescent="0.25">
      <c r="A25" s="55"/>
      <c r="B25" s="73" t="s">
        <v>45</v>
      </c>
      <c r="C25" s="60"/>
      <c r="D25" s="61"/>
      <c r="E25" s="57"/>
      <c r="F25" s="63"/>
      <c r="G25" s="63"/>
      <c r="H25" s="63"/>
      <c r="I25" s="57"/>
      <c r="J25" s="62" t="s">
        <v>46</v>
      </c>
      <c r="K25" s="57"/>
      <c r="L25" s="63"/>
      <c r="M25" s="58"/>
      <c r="N25" s="76"/>
      <c r="O25" s="76"/>
      <c r="P25" s="76"/>
      <c r="Q25" s="76"/>
      <c r="R25" s="75"/>
      <c r="S25" s="75"/>
      <c r="T25" s="75"/>
      <c r="U25" s="75"/>
      <c r="V25" s="75"/>
      <c r="W25" s="75"/>
      <c r="X25" s="75"/>
      <c r="Y25" s="75"/>
      <c r="Z25" s="76"/>
    </row>
    <row r="26" spans="1:26" s="59" customFormat="1" ht="5.0999999999999996" customHeight="1" x14ac:dyDescent="0.2">
      <c r="A26" s="47"/>
      <c r="B26" s="53"/>
      <c r="C26" s="53"/>
      <c r="D26" s="63"/>
      <c r="E26" s="53"/>
      <c r="F26" s="63"/>
      <c r="G26" s="63"/>
      <c r="H26" s="63"/>
      <c r="I26" s="53"/>
      <c r="J26" s="53"/>
      <c r="K26" s="53"/>
      <c r="L26" s="63"/>
      <c r="M26" s="54"/>
      <c r="N26" s="75"/>
      <c r="O26" s="75"/>
      <c r="P26" s="75"/>
      <c r="Q26" s="75"/>
      <c r="R26" s="75"/>
      <c r="S26" s="84"/>
      <c r="T26" s="75"/>
      <c r="U26" s="75"/>
      <c r="V26" s="75"/>
      <c r="W26" s="75"/>
      <c r="X26" s="75"/>
      <c r="Y26" s="75"/>
      <c r="Z26" s="75"/>
    </row>
    <row r="27" spans="1:26" s="46" customFormat="1" ht="12" customHeight="1" x14ac:dyDescent="0.2">
      <c r="A27" s="55"/>
      <c r="B27" s="73" t="s">
        <v>57</v>
      </c>
      <c r="C27" s="60"/>
      <c r="D27" s="61" t="str">
        <f>IFERROR(FIXED((((D9+D13+F9+F13+H9+H13)*(1-D17) +((D11+F11+H11)*(1-D19)))/SUM(D15,F15,H15)), 3-(1+INT(LOG10(ABS((((D9+D13+F9+F13+H9+H13)*(1-D17)+(D11+F11+H11)*(1-D19))/SUM(D15,F15,H15)))))), FALSE), "")</f>
        <v/>
      </c>
      <c r="E27" s="57"/>
      <c r="F27" s="57"/>
      <c r="G27" s="62"/>
      <c r="I27" s="63"/>
      <c r="J27" s="168" t="s">
        <v>198</v>
      </c>
      <c r="K27" s="76"/>
      <c r="L27" s="76"/>
      <c r="M27" s="76"/>
      <c r="N27" s="76"/>
      <c r="O27" s="75"/>
      <c r="P27" s="84"/>
      <c r="Q27" s="75"/>
      <c r="R27" s="75"/>
      <c r="S27" s="75"/>
      <c r="T27" s="75"/>
      <c r="U27" s="75"/>
      <c r="V27" s="75"/>
      <c r="W27" s="76"/>
    </row>
    <row r="28" spans="1:26" ht="8.1" customHeight="1" x14ac:dyDescent="0.25">
      <c r="A28" s="47"/>
      <c r="B28" s="53"/>
      <c r="C28" s="53"/>
      <c r="D28" s="63"/>
      <c r="E28" s="53"/>
      <c r="F28" s="63"/>
      <c r="G28" s="53"/>
      <c r="H28" s="63"/>
      <c r="I28" s="53"/>
      <c r="J28" s="63"/>
      <c r="K28" s="53"/>
      <c r="L28" s="53"/>
      <c r="M28" s="54"/>
      <c r="R28" s="75"/>
      <c r="S28" s="75"/>
      <c r="T28" s="75"/>
      <c r="U28" s="75"/>
      <c r="V28" s="75"/>
      <c r="W28" s="75"/>
      <c r="X28" s="75"/>
      <c r="Y28" s="75"/>
    </row>
    <row r="29" spans="1:26" s="59" customFormat="1" ht="15" customHeight="1" x14ac:dyDescent="0.25">
      <c r="A29" s="130"/>
      <c r="B29" s="130" t="str">
        <f>"True-up estimation for " &amp;D3 &amp; " compliance year"</f>
        <v>True-up estimation for 2023 compliance year</v>
      </c>
      <c r="C29" s="130"/>
      <c r="D29" s="130"/>
      <c r="E29" s="130"/>
      <c r="F29" s="130"/>
      <c r="G29" s="130"/>
      <c r="H29" s="130"/>
      <c r="I29" s="130"/>
      <c r="J29" s="130"/>
      <c r="K29" s="130"/>
      <c r="L29" s="130"/>
      <c r="M29" s="131"/>
      <c r="N29" s="75"/>
      <c r="O29" s="75"/>
      <c r="P29" s="75"/>
      <c r="Q29" s="75"/>
      <c r="R29" s="75"/>
      <c r="S29" s="75"/>
      <c r="T29" s="75"/>
      <c r="U29" s="75"/>
      <c r="V29" s="75"/>
      <c r="W29" s="75"/>
      <c r="X29" s="75"/>
      <c r="Y29" s="75"/>
      <c r="Z29" s="75"/>
    </row>
    <row r="30" spans="1:26" s="59" customFormat="1" ht="8.1" customHeight="1" x14ac:dyDescent="0.2">
      <c r="A30" s="47"/>
      <c r="B30" s="53"/>
      <c r="C30" s="53"/>
      <c r="D30" s="63"/>
      <c r="E30" s="53"/>
      <c r="F30" s="63"/>
      <c r="G30" s="63"/>
      <c r="H30" s="63"/>
      <c r="I30" s="63"/>
      <c r="J30" s="63"/>
      <c r="K30" s="63"/>
      <c r="L30" s="63"/>
      <c r="M30" s="54"/>
      <c r="N30" s="75"/>
      <c r="O30" s="75"/>
      <c r="P30" s="75"/>
      <c r="Q30" s="75"/>
      <c r="R30" s="75"/>
      <c r="S30" s="75"/>
      <c r="T30" s="75"/>
      <c r="U30" s="75"/>
      <c r="V30" s="75"/>
      <c r="W30" s="75"/>
      <c r="X30" s="75"/>
      <c r="Y30" s="75"/>
      <c r="Z30" s="75"/>
    </row>
    <row r="31" spans="1:26" s="59" customFormat="1" ht="12" customHeight="1" x14ac:dyDescent="0.25">
      <c r="A31" s="47"/>
      <c r="B31" s="73" t="s">
        <v>65</v>
      </c>
      <c r="C31" s="53"/>
      <c r="D31" s="71"/>
      <c r="E31" s="53"/>
      <c r="F31" s="62" t="s">
        <v>37</v>
      </c>
      <c r="G31" s="63"/>
      <c r="H31" s="63"/>
      <c r="I31" s="63"/>
      <c r="J31" s="63"/>
      <c r="K31" s="63"/>
      <c r="L31" s="63"/>
      <c r="M31" s="54"/>
      <c r="N31" s="75"/>
      <c r="O31" s="75"/>
      <c r="P31" s="75"/>
      <c r="Q31" s="75"/>
      <c r="R31" s="75"/>
      <c r="S31" s="75"/>
      <c r="T31" s="75"/>
      <c r="U31" s="75"/>
      <c r="V31" s="75"/>
      <c r="W31" s="75"/>
      <c r="X31" s="75"/>
      <c r="Y31" s="75"/>
      <c r="Z31" s="75"/>
    </row>
    <row r="32" spans="1:26" s="59" customFormat="1" ht="5.0999999999999996" customHeight="1" x14ac:dyDescent="0.2">
      <c r="A32" s="47"/>
      <c r="B32" s="53"/>
      <c r="C32" s="53"/>
      <c r="D32" s="63"/>
      <c r="E32" s="53"/>
      <c r="F32" s="63"/>
      <c r="G32" s="63"/>
      <c r="H32" s="63"/>
      <c r="I32" s="63"/>
      <c r="J32" s="63"/>
      <c r="K32" s="63"/>
      <c r="L32" s="63"/>
      <c r="M32" s="54"/>
      <c r="N32" s="75"/>
      <c r="O32" s="75"/>
      <c r="P32" s="75"/>
      <c r="Q32" s="75"/>
      <c r="R32" s="75"/>
      <c r="S32" s="75"/>
      <c r="T32" s="75"/>
      <c r="U32" s="75"/>
      <c r="V32" s="75"/>
      <c r="W32" s="75"/>
      <c r="X32" s="75"/>
      <c r="Y32" s="75"/>
      <c r="Z32" s="75"/>
    </row>
    <row r="33" spans="1:26" s="59" customFormat="1" ht="12" customHeight="1" x14ac:dyDescent="0.25">
      <c r="A33" s="47"/>
      <c r="B33" s="73" t="s">
        <v>108</v>
      </c>
      <c r="C33" s="53"/>
      <c r="D33" s="71"/>
      <c r="E33" s="53"/>
      <c r="F33" s="62" t="s">
        <v>37</v>
      </c>
      <c r="G33" s="63"/>
      <c r="H33" s="63"/>
      <c r="I33" s="63"/>
      <c r="J33" s="63"/>
      <c r="K33" s="63"/>
      <c r="L33" s="63"/>
      <c r="M33" s="54"/>
      <c r="N33" s="75"/>
      <c r="O33" s="75"/>
      <c r="P33" s="75"/>
      <c r="Q33" s="75"/>
      <c r="R33" s="76"/>
      <c r="S33" s="76"/>
      <c r="T33" s="76"/>
      <c r="U33" s="76"/>
      <c r="V33" s="76"/>
      <c r="W33" s="76"/>
      <c r="X33" s="76"/>
      <c r="Y33" s="76"/>
      <c r="Z33" s="75"/>
    </row>
    <row r="34" spans="1:26" s="59" customFormat="1" ht="5.0999999999999996" customHeight="1" x14ac:dyDescent="0.2">
      <c r="A34" s="47"/>
      <c r="B34" s="53"/>
      <c r="C34" s="53"/>
      <c r="D34" s="63"/>
      <c r="E34" s="53"/>
      <c r="F34" s="63"/>
      <c r="G34" s="63"/>
      <c r="H34" s="63"/>
      <c r="I34" s="63"/>
      <c r="J34" s="63"/>
      <c r="K34" s="63"/>
      <c r="L34" s="63"/>
      <c r="M34" s="54"/>
      <c r="N34" s="75"/>
      <c r="O34" s="75"/>
      <c r="P34" s="75"/>
      <c r="Q34" s="75"/>
      <c r="R34" s="75"/>
      <c r="S34" s="75"/>
      <c r="T34" s="75"/>
      <c r="U34" s="75"/>
      <c r="V34" s="75"/>
      <c r="W34" s="75"/>
      <c r="X34" s="75"/>
      <c r="Y34" s="75"/>
      <c r="Z34" s="75"/>
    </row>
    <row r="35" spans="1:26" s="59" customFormat="1" ht="12" customHeight="1" x14ac:dyDescent="0.25">
      <c r="A35" s="47"/>
      <c r="B35" s="73" t="s">
        <v>69</v>
      </c>
      <c r="C35" s="53"/>
      <c r="D35" s="71"/>
      <c r="E35" s="53"/>
      <c r="F35" s="62" t="s">
        <v>37</v>
      </c>
      <c r="G35" s="63"/>
      <c r="H35" s="63"/>
      <c r="I35" s="63"/>
      <c r="J35" s="63"/>
      <c r="K35" s="63"/>
      <c r="L35" s="63"/>
      <c r="M35" s="54"/>
      <c r="N35" s="75"/>
      <c r="O35" s="75"/>
      <c r="P35" s="75"/>
      <c r="Q35" s="75"/>
      <c r="R35" s="76"/>
      <c r="S35" s="76"/>
      <c r="T35" s="76"/>
      <c r="U35" s="76"/>
      <c r="V35" s="76"/>
      <c r="W35" s="76"/>
      <c r="X35" s="76"/>
      <c r="Y35" s="76"/>
      <c r="Z35" s="75"/>
    </row>
    <row r="36" spans="1:26" s="59" customFormat="1" ht="5.0999999999999996" customHeight="1" x14ac:dyDescent="0.2">
      <c r="A36" s="47"/>
      <c r="B36" s="53"/>
      <c r="C36" s="53"/>
      <c r="D36" s="63"/>
      <c r="E36" s="53"/>
      <c r="F36" s="63"/>
      <c r="G36" s="63"/>
      <c r="H36" s="63"/>
      <c r="I36" s="63"/>
      <c r="J36" s="63"/>
      <c r="K36" s="63"/>
      <c r="L36" s="63"/>
      <c r="M36" s="54"/>
      <c r="N36" s="75"/>
      <c r="O36" s="75"/>
      <c r="P36" s="75"/>
      <c r="Q36" s="84"/>
      <c r="R36" s="75"/>
      <c r="S36" s="75"/>
      <c r="T36" s="83"/>
      <c r="U36" s="85"/>
      <c r="V36" s="75"/>
      <c r="W36" s="75"/>
      <c r="X36" s="75"/>
      <c r="Y36" s="75"/>
      <c r="Z36" s="75"/>
    </row>
    <row r="37" spans="1:26" s="59" customFormat="1" ht="17.25" customHeight="1" x14ac:dyDescent="0.2">
      <c r="A37" s="47"/>
      <c r="B37" s="73"/>
      <c r="C37" s="53"/>
      <c r="D37" s="106" t="s">
        <v>51</v>
      </c>
      <c r="E37" s="105"/>
      <c r="F37" s="106" t="s">
        <v>191</v>
      </c>
      <c r="G37" s="105"/>
      <c r="H37" s="63"/>
      <c r="I37" s="63"/>
      <c r="J37" s="63"/>
      <c r="K37" s="63"/>
      <c r="L37" s="63"/>
      <c r="M37" s="54"/>
      <c r="N37" s="75"/>
      <c r="O37" s="75"/>
      <c r="P37" s="75"/>
      <c r="Q37" s="75"/>
      <c r="R37" s="75"/>
      <c r="S37" s="75"/>
      <c r="T37" s="75"/>
      <c r="U37" s="75"/>
      <c r="V37" s="75"/>
      <c r="W37" s="75"/>
      <c r="X37" s="75"/>
      <c r="Y37" s="75"/>
      <c r="Z37" s="75"/>
    </row>
    <row r="38" spans="1:26" s="59" customFormat="1" ht="5.0999999999999996" customHeight="1" x14ac:dyDescent="0.2">
      <c r="A38" s="47"/>
      <c r="B38" s="53"/>
      <c r="C38" s="53"/>
      <c r="D38" s="63"/>
      <c r="E38" s="53"/>
      <c r="F38" s="63"/>
      <c r="G38" s="53"/>
      <c r="H38" s="63"/>
      <c r="I38" s="63"/>
      <c r="J38" s="63"/>
      <c r="K38" s="63"/>
      <c r="L38" s="63"/>
      <c r="M38" s="54"/>
      <c r="N38" s="75"/>
      <c r="O38" s="75"/>
      <c r="P38" s="75"/>
      <c r="Q38" s="84"/>
      <c r="R38" s="75"/>
      <c r="S38" s="75"/>
      <c r="T38" s="75"/>
      <c r="U38" s="75"/>
      <c r="V38" s="75"/>
      <c r="W38" s="75"/>
      <c r="X38" s="75"/>
      <c r="Y38" s="75"/>
      <c r="Z38" s="75"/>
    </row>
    <row r="39" spans="1:26" s="59" customFormat="1" ht="12" customHeight="1" x14ac:dyDescent="0.2">
      <c r="A39" s="47"/>
      <c r="B39" s="73" t="s">
        <v>40</v>
      </c>
      <c r="C39" s="53"/>
      <c r="D39" s="71"/>
      <c r="E39" s="53"/>
      <c r="F39" s="71"/>
      <c r="G39" s="53"/>
      <c r="H39" s="62" t="s">
        <v>51</v>
      </c>
      <c r="I39" s="63"/>
      <c r="J39" s="63"/>
      <c r="K39" s="63"/>
      <c r="L39" s="63"/>
      <c r="M39" s="54"/>
      <c r="N39" s="75"/>
      <c r="O39" s="75"/>
      <c r="P39" s="75"/>
      <c r="Q39" s="75"/>
      <c r="R39" s="75"/>
      <c r="S39" s="75"/>
      <c r="T39" s="75"/>
      <c r="U39" s="75"/>
      <c r="V39" s="75"/>
      <c r="W39" s="75"/>
      <c r="X39" s="75"/>
      <c r="Y39" s="75"/>
      <c r="Z39" s="75"/>
    </row>
    <row r="40" spans="1:26" s="59" customFormat="1" ht="5.0999999999999996" customHeight="1" x14ac:dyDescent="0.2">
      <c r="A40" s="47"/>
      <c r="B40" s="53"/>
      <c r="C40" s="53"/>
      <c r="D40" s="70"/>
      <c r="E40" s="53"/>
      <c r="F40" s="70"/>
      <c r="G40" s="53"/>
      <c r="H40" s="53"/>
      <c r="I40" s="63"/>
      <c r="J40" s="63"/>
      <c r="K40" s="63"/>
      <c r="L40" s="63"/>
      <c r="M40" s="54"/>
      <c r="N40" s="75"/>
      <c r="O40" s="75"/>
      <c r="P40" s="75"/>
      <c r="Q40" s="75"/>
      <c r="R40" s="75"/>
      <c r="S40" s="75"/>
      <c r="T40" s="75"/>
      <c r="U40" s="75"/>
      <c r="V40" s="75"/>
      <c r="W40" s="75"/>
      <c r="X40" s="75"/>
      <c r="Y40" s="75"/>
      <c r="Z40" s="75"/>
    </row>
    <row r="41" spans="1:26" s="59" customFormat="1" ht="12" customHeight="1" x14ac:dyDescent="0.25">
      <c r="A41" s="47"/>
      <c r="B41" s="65" t="s">
        <v>193</v>
      </c>
      <c r="C41" s="53"/>
      <c r="D41" s="71"/>
      <c r="E41" s="53"/>
      <c r="F41" s="61">
        <f>BeAgg</f>
        <v>0.36259999999999998</v>
      </c>
      <c r="G41" s="53"/>
      <c r="H41" s="62" t="s">
        <v>46</v>
      </c>
      <c r="I41" s="63"/>
      <c r="J41" s="63"/>
      <c r="K41" s="63"/>
      <c r="L41" s="63"/>
      <c r="M41" s="54"/>
      <c r="N41" s="75"/>
      <c r="O41" s="75"/>
      <c r="P41" s="75"/>
      <c r="Q41" s="75"/>
      <c r="R41" s="75"/>
      <c r="S41" s="75"/>
      <c r="T41" s="75"/>
      <c r="U41" s="75"/>
      <c r="V41" s="75"/>
      <c r="W41" s="75"/>
      <c r="X41" s="75"/>
      <c r="Y41" s="75"/>
      <c r="Z41" s="75"/>
    </row>
    <row r="42" spans="1:26" s="59" customFormat="1" ht="5.0999999999999996" customHeight="1" x14ac:dyDescent="0.2">
      <c r="A42" s="47"/>
      <c r="B42" s="53"/>
      <c r="C42" s="53"/>
      <c r="D42" s="63"/>
      <c r="E42" s="53"/>
      <c r="F42" s="63"/>
      <c r="G42" s="53"/>
      <c r="H42" s="63"/>
      <c r="I42" s="53"/>
      <c r="J42" s="63"/>
      <c r="K42" s="63"/>
      <c r="L42" s="63"/>
      <c r="M42" s="54"/>
      <c r="N42" s="75"/>
      <c r="O42" s="75"/>
      <c r="P42" s="75"/>
      <c r="Q42" s="84"/>
      <c r="R42" s="75"/>
      <c r="S42" s="75"/>
      <c r="T42" s="75"/>
      <c r="U42" s="75"/>
      <c r="V42" s="75"/>
      <c r="W42" s="75"/>
      <c r="X42" s="75"/>
      <c r="Y42" s="75"/>
      <c r="Z42" s="75"/>
    </row>
    <row r="43" spans="1:26" s="59" customFormat="1" ht="12" customHeight="1" x14ac:dyDescent="0.25">
      <c r="A43" s="47"/>
      <c r="B43" s="65" t="s">
        <v>64</v>
      </c>
      <c r="C43" s="53"/>
      <c r="D43" s="66">
        <f>ROUND(MAX(D39*D41+F39*F41,0),0)</f>
        <v>0</v>
      </c>
      <c r="E43" s="53"/>
      <c r="F43" s="62" t="s">
        <v>37</v>
      </c>
      <c r="G43" s="53"/>
      <c r="H43" s="63"/>
      <c r="I43" s="53"/>
      <c r="J43" s="63"/>
      <c r="K43" s="63"/>
      <c r="L43" s="63"/>
      <c r="M43" s="54"/>
      <c r="N43" s="75"/>
      <c r="O43" s="75"/>
      <c r="P43" s="75"/>
      <c r="Q43" s="84"/>
      <c r="R43" s="75"/>
      <c r="S43" s="75"/>
      <c r="T43" s="75"/>
      <c r="U43" s="75"/>
      <c r="V43" s="75"/>
      <c r="W43" s="75"/>
      <c r="X43" s="75"/>
      <c r="Y43" s="75"/>
      <c r="Z43" s="75"/>
    </row>
    <row r="44" spans="1:26" s="59" customFormat="1" ht="5.0999999999999996" customHeight="1" x14ac:dyDescent="0.2">
      <c r="A44" s="47"/>
      <c r="B44" s="53"/>
      <c r="C44" s="53"/>
      <c r="D44" s="63"/>
      <c r="E44" s="53"/>
      <c r="F44" s="63"/>
      <c r="G44" s="53"/>
      <c r="H44" s="63"/>
      <c r="I44" s="53"/>
      <c r="J44" s="63"/>
      <c r="K44" s="53"/>
      <c r="L44" s="53"/>
      <c r="M44" s="54"/>
      <c r="N44" s="75"/>
      <c r="O44" s="75"/>
      <c r="P44" s="75"/>
      <c r="Q44" s="84"/>
      <c r="R44" s="75"/>
      <c r="S44" s="75"/>
      <c r="T44" s="75"/>
      <c r="U44" s="75"/>
      <c r="V44" s="75"/>
      <c r="W44" s="75"/>
      <c r="X44" s="75"/>
      <c r="Y44" s="75"/>
      <c r="Z44" s="75"/>
    </row>
    <row r="45" spans="1:26" s="59" customFormat="1" ht="12" customHeight="1" x14ac:dyDescent="0.25">
      <c r="A45" s="47"/>
      <c r="B45" s="73" t="s">
        <v>58</v>
      </c>
      <c r="C45" s="53"/>
      <c r="D45" s="66">
        <f>ROUND(D31+D33+D35,0)</f>
        <v>0</v>
      </c>
      <c r="E45" s="53"/>
      <c r="F45" s="62" t="s">
        <v>37</v>
      </c>
      <c r="G45" s="53"/>
      <c r="H45" s="63"/>
      <c r="I45" s="53"/>
      <c r="J45" s="63"/>
      <c r="K45" s="53"/>
      <c r="L45" s="53"/>
      <c r="M45" s="54"/>
      <c r="N45" s="75"/>
      <c r="O45" s="75"/>
      <c r="P45" s="75"/>
      <c r="Q45" s="84"/>
      <c r="R45" s="75"/>
      <c r="S45" s="75"/>
      <c r="T45" s="75"/>
      <c r="U45" s="75"/>
      <c r="V45" s="75"/>
      <c r="W45" s="75"/>
      <c r="X45" s="75"/>
      <c r="Y45" s="75"/>
      <c r="Z45" s="75"/>
    </row>
    <row r="46" spans="1:26" s="59" customFormat="1" ht="5.0999999999999996" customHeight="1" x14ac:dyDescent="0.2">
      <c r="A46" s="47"/>
      <c r="B46" s="53"/>
      <c r="C46" s="53"/>
      <c r="D46" s="63"/>
      <c r="E46" s="53"/>
      <c r="F46" s="63"/>
      <c r="G46" s="53"/>
      <c r="H46" s="63"/>
      <c r="I46" s="53"/>
      <c r="J46" s="63"/>
      <c r="K46" s="53"/>
      <c r="L46" s="53"/>
      <c r="M46" s="54"/>
      <c r="N46" s="75"/>
      <c r="O46" s="75"/>
      <c r="P46" s="75"/>
      <c r="Q46" s="84"/>
      <c r="R46" s="75"/>
      <c r="S46" s="75"/>
      <c r="T46" s="75"/>
      <c r="U46" s="75"/>
      <c r="V46" s="75"/>
      <c r="W46" s="75"/>
      <c r="X46" s="75"/>
      <c r="Y46" s="75"/>
      <c r="Z46" s="75"/>
    </row>
    <row r="47" spans="1:26" s="59" customFormat="1" ht="12" customHeight="1" x14ac:dyDescent="0.2">
      <c r="A47" s="47"/>
      <c r="B47" s="65" t="s">
        <v>66</v>
      </c>
      <c r="C47" s="53"/>
      <c r="D47" s="66">
        <f>MAX(0,D45-D43)</f>
        <v>0</v>
      </c>
      <c r="E47" s="53"/>
      <c r="F47" s="63" t="s">
        <v>38</v>
      </c>
      <c r="G47" s="53"/>
      <c r="H47" s="63"/>
      <c r="I47" s="53"/>
      <c r="J47" s="63"/>
      <c r="K47" s="53"/>
      <c r="L47" s="53"/>
      <c r="M47" s="54"/>
      <c r="N47" s="75"/>
      <c r="O47" s="75"/>
      <c r="P47" s="75"/>
      <c r="Q47" s="75"/>
      <c r="R47" s="75"/>
      <c r="S47" s="75"/>
      <c r="T47" s="75"/>
      <c r="U47" s="75"/>
      <c r="V47" s="75"/>
      <c r="W47" s="75"/>
      <c r="X47" s="75"/>
      <c r="Y47" s="75"/>
      <c r="Z47" s="75"/>
    </row>
    <row r="48" spans="1:26" s="59" customFormat="1" ht="5.0999999999999996" customHeight="1" x14ac:dyDescent="0.2">
      <c r="A48" s="47"/>
      <c r="B48" s="53"/>
      <c r="C48" s="53"/>
      <c r="D48" s="63"/>
      <c r="E48" s="53"/>
      <c r="F48" s="63"/>
      <c r="G48" s="53"/>
      <c r="H48" s="63"/>
      <c r="I48" s="53"/>
      <c r="J48" s="63"/>
      <c r="K48" s="53"/>
      <c r="L48" s="53"/>
      <c r="M48" s="54"/>
      <c r="N48" s="75"/>
      <c r="O48" s="75"/>
      <c r="P48" s="75"/>
      <c r="Q48" s="84"/>
      <c r="R48" s="75"/>
      <c r="S48" s="75"/>
      <c r="T48" s="75"/>
      <c r="U48" s="75"/>
      <c r="V48" s="75"/>
      <c r="W48" s="75"/>
      <c r="X48" s="75"/>
      <c r="Y48" s="75"/>
      <c r="Z48" s="75"/>
    </row>
    <row r="49" spans="1:26" s="59" customFormat="1" ht="12" customHeight="1" x14ac:dyDescent="0.2">
      <c r="A49" s="47"/>
      <c r="B49" s="65" t="s">
        <v>59</v>
      </c>
      <c r="C49" s="53"/>
      <c r="D49" s="66">
        <f>MAX(0,D43-D45)</f>
        <v>0</v>
      </c>
      <c r="E49" s="53"/>
      <c r="F49" s="63" t="s">
        <v>38</v>
      </c>
      <c r="G49" s="53"/>
      <c r="H49" s="63"/>
      <c r="I49" s="53"/>
      <c r="J49" s="63"/>
      <c r="K49" s="53"/>
      <c r="L49" s="53"/>
      <c r="M49" s="54"/>
      <c r="N49" s="75"/>
      <c r="O49" s="75"/>
      <c r="P49" s="75"/>
      <c r="Q49" s="84"/>
      <c r="R49" s="75"/>
      <c r="S49" s="75"/>
      <c r="T49" s="75"/>
      <c r="U49" s="75"/>
      <c r="V49" s="75"/>
      <c r="W49" s="75"/>
      <c r="X49" s="75"/>
      <c r="Y49" s="75"/>
      <c r="Z49" s="75"/>
    </row>
    <row r="50" spans="1:26" s="59" customFormat="1" ht="5.0999999999999996" customHeight="1" x14ac:dyDescent="0.2">
      <c r="A50" s="47"/>
      <c r="B50" s="53"/>
      <c r="C50" s="53"/>
      <c r="D50" s="63"/>
      <c r="E50" s="53"/>
      <c r="F50" s="63"/>
      <c r="G50" s="53"/>
      <c r="H50" s="63"/>
      <c r="I50" s="53"/>
      <c r="J50" s="63"/>
      <c r="K50" s="53"/>
      <c r="L50" s="53"/>
      <c r="M50" s="54"/>
      <c r="N50" s="75"/>
      <c r="O50" s="75"/>
      <c r="P50" s="75"/>
      <c r="Q50" s="75"/>
      <c r="R50" s="75"/>
      <c r="S50" s="75"/>
      <c r="T50" s="75"/>
      <c r="U50" s="75"/>
      <c r="V50" s="75"/>
      <c r="W50" s="75"/>
      <c r="X50" s="75"/>
      <c r="Y50" s="75"/>
      <c r="Z50" s="75"/>
    </row>
    <row r="51" spans="1:26" s="59" customFormat="1" ht="15" customHeight="1" x14ac:dyDescent="0.25">
      <c r="A51" s="130"/>
      <c r="B51" s="130" t="str">
        <f>"EPC, Offset Credits and Fund Payment limits for " &amp;D3 &amp; " compliance period"</f>
        <v>EPC, Offset Credits and Fund Payment limits for 2023 compliance period</v>
      </c>
      <c r="C51" s="130"/>
      <c r="D51" s="130"/>
      <c r="E51" s="130"/>
      <c r="F51" s="130"/>
      <c r="G51" s="130"/>
      <c r="H51" s="130"/>
      <c r="I51" s="130"/>
      <c r="J51" s="130"/>
      <c r="K51" s="130"/>
      <c r="L51" s="130"/>
      <c r="M51" s="131"/>
      <c r="N51" s="75"/>
      <c r="O51" s="75"/>
      <c r="P51" s="75"/>
      <c r="Q51" s="75"/>
      <c r="R51" s="75"/>
      <c r="S51" s="75"/>
      <c r="T51" s="75"/>
      <c r="U51" s="75"/>
      <c r="V51" s="75"/>
      <c r="W51" s="75"/>
      <c r="X51" s="75"/>
      <c r="Y51" s="75"/>
      <c r="Z51" s="75"/>
    </row>
    <row r="52" spans="1:26" s="59" customFormat="1" ht="5.0999999999999996" customHeight="1" x14ac:dyDescent="0.2">
      <c r="A52" s="55"/>
      <c r="B52" s="56"/>
      <c r="C52" s="56"/>
      <c r="D52" s="63"/>
      <c r="E52" s="56"/>
      <c r="F52" s="63"/>
      <c r="G52" s="56"/>
      <c r="H52" s="63"/>
      <c r="I52" s="56"/>
      <c r="J52" s="63"/>
      <c r="K52" s="56"/>
      <c r="L52" s="56"/>
      <c r="M52" s="58"/>
      <c r="N52" s="75"/>
      <c r="O52" s="75"/>
      <c r="P52" s="75"/>
      <c r="Q52" s="75"/>
      <c r="R52" s="75"/>
      <c r="S52" s="75"/>
      <c r="T52" s="75"/>
      <c r="U52" s="75"/>
      <c r="V52" s="75"/>
      <c r="W52" s="75"/>
      <c r="X52" s="75"/>
      <c r="Y52" s="75"/>
      <c r="Z52" s="75"/>
    </row>
    <row r="53" spans="1:26" s="59" customFormat="1" ht="12" customHeight="1" x14ac:dyDescent="0.2">
      <c r="A53" s="55"/>
      <c r="B53" s="65" t="str">
        <f>"Maximum allowable usage of EPCs and Offset Credits for true-up obligations ("&amp;AggLimit&amp;"% of the TuO)"</f>
        <v>Maximum allowable usage of EPCs and Offset Credits for true-up obligations (60% of the TuO)</v>
      </c>
      <c r="C53" s="56"/>
      <c r="D53" s="75"/>
      <c r="E53" s="56"/>
      <c r="F53" s="75"/>
      <c r="G53" s="53"/>
      <c r="H53" s="75"/>
      <c r="I53" s="53"/>
      <c r="J53" s="81">
        <f>ROUNDDOWN(D47*AggLimit/100,0)</f>
        <v>0</v>
      </c>
      <c r="K53" s="53"/>
      <c r="L53" s="63" t="s">
        <v>38</v>
      </c>
      <c r="M53" s="58"/>
      <c r="N53" s="75"/>
      <c r="O53" s="75"/>
      <c r="P53" s="75"/>
      <c r="Q53" s="75"/>
      <c r="R53" s="75"/>
      <c r="S53" s="75"/>
      <c r="T53" s="75"/>
      <c r="U53" s="75"/>
      <c r="V53" s="75"/>
      <c r="W53" s="75"/>
      <c r="X53" s="75"/>
      <c r="Y53" s="75"/>
      <c r="Z53" s="75"/>
    </row>
    <row r="54" spans="1:26" s="59" customFormat="1" ht="8.1" hidden="1" customHeight="1" x14ac:dyDescent="0.2">
      <c r="A54" s="55"/>
      <c r="B54" s="65"/>
      <c r="C54" s="56"/>
      <c r="D54" s="75"/>
      <c r="E54" s="56"/>
      <c r="F54" s="75"/>
      <c r="G54" s="53"/>
      <c r="H54" s="75"/>
      <c r="I54" s="53"/>
      <c r="J54" s="63"/>
      <c r="K54" s="53"/>
      <c r="L54" s="53"/>
      <c r="M54" s="58"/>
      <c r="N54" s="75"/>
      <c r="O54" s="75"/>
      <c r="P54" s="75"/>
      <c r="Q54" s="75"/>
      <c r="R54" s="75"/>
      <c r="S54" s="75"/>
      <c r="T54" s="75"/>
      <c r="U54" s="75"/>
      <c r="V54" s="75"/>
      <c r="W54" s="75"/>
      <c r="X54" s="75"/>
      <c r="Y54" s="75"/>
      <c r="Z54" s="75"/>
    </row>
    <row r="55" spans="1:26" s="46" customFormat="1" ht="12" hidden="1" customHeight="1" x14ac:dyDescent="0.2">
      <c r="A55" s="55"/>
      <c r="B55" s="65" t="s">
        <v>67</v>
      </c>
      <c r="C55" s="56"/>
      <c r="D55" s="76"/>
      <c r="E55" s="56"/>
      <c r="F55" s="76"/>
      <c r="G55" s="53"/>
      <c r="H55" s="76"/>
      <c r="I55" s="53"/>
      <c r="J55" s="81">
        <f>ROUNDDOWN(D47*0.4,0)</f>
        <v>0</v>
      </c>
      <c r="K55" s="53"/>
      <c r="L55" s="63" t="s">
        <v>38</v>
      </c>
      <c r="M55" s="58"/>
      <c r="N55" s="76"/>
      <c r="O55" s="76"/>
      <c r="P55" s="76"/>
      <c r="Q55" s="76"/>
      <c r="R55" s="76"/>
      <c r="S55" s="76"/>
      <c r="T55" s="76"/>
      <c r="U55" s="76"/>
      <c r="V55" s="76"/>
      <c r="W55" s="76"/>
      <c r="X55" s="76"/>
      <c r="Y55" s="76"/>
      <c r="Z55" s="76"/>
    </row>
    <row r="56" spans="1:26" s="59" customFormat="1" ht="8.1" customHeight="1" x14ac:dyDescent="0.2">
      <c r="A56" s="55"/>
      <c r="B56" s="65"/>
      <c r="C56" s="56"/>
      <c r="D56" s="75"/>
      <c r="E56" s="56"/>
      <c r="F56" s="75"/>
      <c r="G56" s="53"/>
      <c r="H56" s="75"/>
      <c r="I56" s="53"/>
      <c r="J56" s="63"/>
      <c r="K56" s="53"/>
      <c r="L56" s="53"/>
      <c r="M56" s="58"/>
      <c r="N56" s="75"/>
      <c r="O56" s="75"/>
      <c r="P56" s="75"/>
      <c r="Q56" s="75"/>
      <c r="R56" s="75"/>
      <c r="S56" s="75"/>
      <c r="T56" s="75"/>
      <c r="U56" s="75"/>
      <c r="V56" s="75"/>
      <c r="W56" s="75"/>
      <c r="X56" s="75"/>
      <c r="Y56" s="75"/>
      <c r="Z56" s="75"/>
    </row>
    <row r="57" spans="1:26" s="46" customFormat="1" ht="12" customHeight="1" x14ac:dyDescent="0.2">
      <c r="A57" s="55"/>
      <c r="B57" s="65" t="str">
        <f>"Minimum Fund Credit that need to be provided "&amp;100-AggLimit&amp;"% of the TuO)"</f>
        <v>Minimum Fund Credit that need to be provided 40% of the TuO)</v>
      </c>
      <c r="C57" s="56"/>
      <c r="D57" s="75"/>
      <c r="E57" s="56"/>
      <c r="F57" s="76"/>
      <c r="G57" s="53"/>
      <c r="H57" s="76"/>
      <c r="I57" s="53"/>
      <c r="J57" s="81">
        <f>ROUNDDOWN(D47*(1-AggLimit/100),0)</f>
        <v>0</v>
      </c>
      <c r="K57" s="53"/>
      <c r="L57" s="63" t="s">
        <v>38</v>
      </c>
      <c r="M57" s="58"/>
      <c r="N57" s="76"/>
      <c r="O57" s="76"/>
      <c r="P57" s="76"/>
      <c r="Q57" s="76"/>
      <c r="R57" s="76"/>
      <c r="S57" s="76"/>
      <c r="T57" s="76"/>
      <c r="U57" s="76"/>
      <c r="V57" s="76"/>
      <c r="W57" s="76"/>
      <c r="X57" s="76"/>
      <c r="Y57" s="76"/>
      <c r="Z57" s="76"/>
    </row>
    <row r="58" spans="1:26" s="59" customFormat="1" ht="5.0999999999999996" customHeight="1" x14ac:dyDescent="0.2">
      <c r="A58" s="55"/>
      <c r="B58" s="56"/>
      <c r="C58" s="56"/>
      <c r="D58" s="75"/>
      <c r="E58" s="56"/>
      <c r="F58" s="63"/>
      <c r="G58" s="56"/>
      <c r="H58" s="63"/>
      <c r="I58" s="56"/>
      <c r="J58" s="63"/>
      <c r="K58" s="56"/>
      <c r="L58" s="56"/>
      <c r="M58" s="58"/>
      <c r="N58" s="75"/>
      <c r="O58" s="75"/>
      <c r="P58" s="75"/>
      <c r="Q58" s="75"/>
      <c r="R58" s="75"/>
      <c r="S58" s="75"/>
      <c r="T58" s="75"/>
      <c r="U58" s="75"/>
      <c r="V58" s="75"/>
      <c r="W58" s="75"/>
      <c r="X58" s="75"/>
      <c r="Y58" s="75"/>
      <c r="Z58" s="75"/>
    </row>
    <row r="59" spans="1:26" s="46" customFormat="1" ht="12" customHeight="1" x14ac:dyDescent="0.2">
      <c r="A59" s="55"/>
      <c r="B59" s="65" t="s">
        <v>102</v>
      </c>
      <c r="C59" s="56"/>
      <c r="D59" s="75"/>
      <c r="E59" s="56"/>
      <c r="F59" s="76"/>
      <c r="G59" s="53"/>
      <c r="H59" s="76"/>
      <c r="I59" s="53"/>
      <c r="J59" s="81">
        <f>HLOOKUP(D3,fuelrates,25,FALSE)</f>
        <v>65</v>
      </c>
      <c r="K59" s="53"/>
      <c r="L59" s="63" t="s">
        <v>104</v>
      </c>
      <c r="M59" s="58"/>
      <c r="N59" s="76"/>
      <c r="O59" s="76"/>
      <c r="P59" s="76"/>
      <c r="Q59" s="76"/>
      <c r="R59" s="76"/>
      <c r="S59" s="76"/>
      <c r="T59" s="76"/>
      <c r="U59" s="76"/>
      <c r="V59" s="76"/>
      <c r="W59" s="76"/>
      <c r="X59" s="76"/>
      <c r="Y59" s="76"/>
      <c r="Z59" s="76"/>
    </row>
    <row r="60" spans="1:26" s="59" customFormat="1" ht="5.0999999999999996" customHeight="1" x14ac:dyDescent="0.2">
      <c r="A60" s="55"/>
      <c r="B60" s="56"/>
      <c r="C60" s="56"/>
      <c r="D60" s="63"/>
      <c r="E60" s="56"/>
      <c r="F60" s="63"/>
      <c r="G60" s="56"/>
      <c r="H60" s="63"/>
      <c r="I60" s="56"/>
      <c r="J60" s="63"/>
      <c r="K60" s="56"/>
      <c r="L60" s="56"/>
      <c r="M60" s="58"/>
      <c r="N60" s="75"/>
      <c r="O60" s="75"/>
      <c r="P60" s="75"/>
      <c r="Q60" s="75"/>
      <c r="R60" s="75"/>
      <c r="S60" s="75"/>
      <c r="T60" s="75"/>
      <c r="U60" s="75"/>
      <c r="V60" s="75"/>
      <c r="W60" s="75"/>
      <c r="X60" s="75"/>
      <c r="Y60" s="75"/>
      <c r="Z60" s="75"/>
    </row>
    <row r="61" spans="1:26" s="59" customFormat="1" ht="15" customHeight="1" x14ac:dyDescent="0.25">
      <c r="A61" s="130"/>
      <c r="B61" s="130" t="str">
        <f>Introductions!A6</f>
        <v>Legal Authority</v>
      </c>
      <c r="C61" s="130"/>
      <c r="D61" s="130"/>
      <c r="E61" s="130"/>
      <c r="F61" s="130"/>
      <c r="G61" s="130"/>
      <c r="H61" s="130"/>
      <c r="I61" s="130"/>
      <c r="J61" s="130"/>
      <c r="K61" s="130"/>
      <c r="L61" s="130"/>
      <c r="M61" s="131"/>
      <c r="N61" s="75"/>
      <c r="O61" s="75"/>
      <c r="P61" s="75"/>
      <c r="Q61" s="75"/>
      <c r="R61" s="75"/>
      <c r="S61" s="75"/>
      <c r="T61" s="75"/>
      <c r="U61" s="75"/>
      <c r="V61" s="75"/>
      <c r="W61" s="75"/>
      <c r="X61" s="75"/>
      <c r="Y61" s="75"/>
      <c r="Z61" s="75"/>
    </row>
    <row r="62" spans="1:26" s="59" customFormat="1" ht="27.75" customHeight="1" x14ac:dyDescent="0.2">
      <c r="A62" s="55"/>
      <c r="B62" s="177" t="str">
        <f>Introductions!B8</f>
        <v>This workbook is for estimation purposes only and has no legal authority. Facilities should refer to the TIER regulation and standards in determining their true up obligations.</v>
      </c>
      <c r="C62" s="177"/>
      <c r="D62" s="177"/>
      <c r="E62" s="177"/>
      <c r="F62" s="177"/>
      <c r="G62" s="177"/>
      <c r="H62" s="177"/>
      <c r="I62" s="177"/>
      <c r="J62" s="177"/>
      <c r="K62" s="177"/>
      <c r="L62" s="177"/>
      <c r="M62" s="58"/>
      <c r="N62" s="75"/>
      <c r="O62" s="75"/>
      <c r="P62" s="75"/>
      <c r="Q62" s="75"/>
      <c r="R62" s="75"/>
      <c r="S62" s="75"/>
      <c r="T62" s="75"/>
      <c r="U62" s="75"/>
      <c r="V62" s="75"/>
      <c r="W62" s="75"/>
      <c r="X62" s="75"/>
      <c r="Y62" s="75"/>
      <c r="Z62" s="75"/>
    </row>
    <row r="63" spans="1:26" s="59" customFormat="1" ht="5.25" customHeight="1" thickBot="1" x14ac:dyDescent="0.25">
      <c r="A63" s="67"/>
      <c r="B63" s="68"/>
      <c r="C63" s="68"/>
      <c r="D63" s="68"/>
      <c r="E63" s="68"/>
      <c r="F63" s="68"/>
      <c r="G63" s="68"/>
      <c r="H63" s="68"/>
      <c r="I63" s="68"/>
      <c r="J63" s="68"/>
      <c r="K63" s="68"/>
      <c r="L63" s="68"/>
      <c r="M63" s="69"/>
      <c r="N63" s="75"/>
      <c r="O63" s="75"/>
      <c r="P63" s="75"/>
      <c r="Q63" s="75"/>
      <c r="R63" s="83"/>
      <c r="S63" s="85"/>
      <c r="T63" s="75"/>
      <c r="U63" s="75"/>
      <c r="V63" s="75"/>
      <c r="W63" s="75"/>
      <c r="X63" s="75"/>
      <c r="Y63" s="75"/>
      <c r="Z63" s="75"/>
    </row>
    <row r="64" spans="1:26" s="75" customFormat="1" ht="11.25" x14ac:dyDescent="0.2"/>
    <row r="65" spans="1:26" s="75" customFormat="1" ht="11.25" x14ac:dyDescent="0.2"/>
    <row r="66" spans="1:26" s="75" customFormat="1" ht="11.25" x14ac:dyDescent="0.2">
      <c r="B66" s="87"/>
      <c r="Q66" s="84"/>
    </row>
    <row r="67" spans="1:26" s="75" customFormat="1" ht="11.25" x14ac:dyDescent="0.2">
      <c r="Q67" s="84"/>
    </row>
    <row r="68" spans="1:26" s="75" customFormat="1" ht="11.25" x14ac:dyDescent="0.2">
      <c r="Q68" s="84"/>
    </row>
    <row r="69" spans="1:26" s="75" customFormat="1" ht="11.25" x14ac:dyDescent="0.2">
      <c r="Q69" s="84"/>
    </row>
    <row r="70" spans="1:26" s="75" customFormat="1" ht="11.25" x14ac:dyDescent="0.2"/>
    <row r="71" spans="1:26" s="75" customFormat="1" ht="11.25" x14ac:dyDescent="0.2"/>
    <row r="72" spans="1:26" s="75" customFormat="1" ht="11.25" x14ac:dyDescent="0.2"/>
    <row r="73" spans="1:26" s="75" customFormat="1" ht="11.25" x14ac:dyDescent="0.2"/>
    <row r="74" spans="1:26" s="82" customFormat="1" x14ac:dyDescent="0.25">
      <c r="A74" s="75"/>
      <c r="B74" s="75"/>
      <c r="C74" s="75"/>
      <c r="D74" s="75"/>
      <c r="E74" s="75"/>
      <c r="F74" s="75"/>
      <c r="G74" s="75"/>
      <c r="H74" s="75"/>
      <c r="I74" s="75"/>
      <c r="J74" s="75"/>
      <c r="K74" s="75"/>
      <c r="L74" s="75"/>
      <c r="M74" s="75"/>
      <c r="O74" s="75"/>
      <c r="P74" s="75"/>
      <c r="Q74" s="75"/>
      <c r="R74" s="75"/>
      <c r="S74" s="75"/>
      <c r="T74" s="75"/>
      <c r="U74" s="75"/>
      <c r="V74" s="75"/>
      <c r="W74" s="75"/>
      <c r="X74" s="75"/>
      <c r="Y74" s="75"/>
      <c r="Z74" s="75"/>
    </row>
    <row r="75" spans="1:26" s="82" customFormat="1" x14ac:dyDescent="0.25">
      <c r="A75" s="75"/>
      <c r="B75" s="75"/>
      <c r="C75" s="75"/>
      <c r="D75" s="75"/>
      <c r="E75" s="75"/>
      <c r="F75" s="75"/>
      <c r="G75" s="75"/>
      <c r="H75" s="75"/>
      <c r="I75" s="75"/>
      <c r="J75" s="75"/>
      <c r="K75" s="75"/>
      <c r="L75" s="75"/>
      <c r="M75" s="75"/>
      <c r="O75" s="75"/>
      <c r="P75" s="75"/>
      <c r="Q75" s="75"/>
      <c r="R75" s="75"/>
      <c r="S75" s="75"/>
      <c r="T75" s="75"/>
      <c r="U75" s="75"/>
      <c r="V75" s="75"/>
      <c r="W75" s="75"/>
      <c r="X75" s="75"/>
      <c r="Y75" s="75"/>
      <c r="Z75" s="75"/>
    </row>
    <row r="76" spans="1:26" s="82" customFormat="1" x14ac:dyDescent="0.25">
      <c r="A76" s="75"/>
      <c r="B76" s="75"/>
      <c r="C76" s="75"/>
      <c r="D76" s="75"/>
      <c r="E76" s="75"/>
      <c r="F76" s="75"/>
      <c r="G76" s="75"/>
      <c r="H76" s="75"/>
      <c r="I76" s="75"/>
      <c r="J76" s="75"/>
      <c r="K76" s="75"/>
      <c r="L76" s="75"/>
      <c r="M76" s="75"/>
      <c r="O76" s="75"/>
      <c r="P76" s="75"/>
      <c r="Q76" s="75"/>
      <c r="R76" s="75"/>
      <c r="S76" s="75"/>
      <c r="T76" s="75"/>
      <c r="U76" s="75"/>
      <c r="V76" s="75"/>
      <c r="W76" s="75"/>
      <c r="X76" s="75"/>
      <c r="Y76" s="75"/>
      <c r="Z76" s="75"/>
    </row>
    <row r="77" spans="1:26" s="82" customFormat="1" x14ac:dyDescent="0.25">
      <c r="A77" s="75"/>
      <c r="B77" s="75"/>
      <c r="C77" s="75"/>
      <c r="D77" s="75"/>
      <c r="E77" s="75"/>
      <c r="F77" s="75"/>
      <c r="G77" s="75"/>
      <c r="H77" s="75"/>
      <c r="I77" s="75"/>
      <c r="J77" s="75"/>
      <c r="K77" s="75"/>
      <c r="L77" s="75"/>
      <c r="M77" s="75"/>
      <c r="O77" s="75"/>
      <c r="P77" s="75"/>
      <c r="Q77" s="75"/>
      <c r="R77" s="75"/>
      <c r="S77" s="75"/>
      <c r="T77" s="75"/>
      <c r="U77" s="75"/>
      <c r="V77" s="75"/>
      <c r="W77" s="75"/>
      <c r="X77" s="75"/>
      <c r="Y77" s="75"/>
      <c r="Z77" s="75"/>
    </row>
    <row r="78" spans="1:26" s="82" customFormat="1" x14ac:dyDescent="0.25">
      <c r="A78" s="75"/>
      <c r="B78" s="75"/>
      <c r="C78" s="75"/>
      <c r="D78" s="75"/>
      <c r="E78" s="75"/>
      <c r="F78" s="75"/>
      <c r="G78" s="75"/>
      <c r="H78" s="75"/>
      <c r="I78" s="75"/>
      <c r="J78" s="75"/>
      <c r="K78" s="75"/>
      <c r="L78" s="75"/>
      <c r="M78" s="75"/>
      <c r="O78" s="75"/>
      <c r="P78" s="75"/>
      <c r="Q78" s="75"/>
      <c r="R78" s="75"/>
      <c r="S78" s="75"/>
      <c r="T78" s="75"/>
      <c r="U78" s="75"/>
      <c r="V78" s="75"/>
      <c r="W78" s="75"/>
      <c r="X78" s="75"/>
      <c r="Y78" s="75"/>
      <c r="Z78" s="75"/>
    </row>
    <row r="79" spans="1:26" s="82" customFormat="1" x14ac:dyDescent="0.25">
      <c r="A79" s="75"/>
      <c r="B79" s="75"/>
      <c r="C79" s="75"/>
      <c r="D79" s="75"/>
      <c r="E79" s="75"/>
      <c r="F79" s="75"/>
      <c r="G79" s="75"/>
      <c r="H79" s="75"/>
      <c r="I79" s="75"/>
      <c r="J79" s="75"/>
      <c r="K79" s="75"/>
      <c r="L79" s="75"/>
      <c r="M79" s="75"/>
      <c r="O79" s="75"/>
      <c r="P79" s="75"/>
      <c r="Q79" s="75"/>
      <c r="R79" s="75"/>
      <c r="S79" s="75"/>
      <c r="T79" s="75"/>
      <c r="U79" s="75"/>
      <c r="V79" s="75"/>
      <c r="W79" s="75"/>
      <c r="X79" s="75"/>
      <c r="Y79" s="75"/>
      <c r="Z79" s="75"/>
    </row>
    <row r="80" spans="1:26" s="82" customFormat="1" x14ac:dyDescent="0.25">
      <c r="A80" s="75"/>
      <c r="B80" s="75"/>
      <c r="C80" s="75"/>
      <c r="D80" s="75"/>
      <c r="E80" s="75"/>
      <c r="F80" s="75"/>
      <c r="G80" s="75"/>
      <c r="H80" s="75"/>
      <c r="I80" s="75"/>
      <c r="J80" s="75"/>
      <c r="K80" s="75"/>
      <c r="L80" s="75"/>
      <c r="M80" s="75"/>
      <c r="O80" s="75"/>
      <c r="P80" s="75"/>
      <c r="Q80" s="75"/>
      <c r="R80" s="75"/>
      <c r="S80" s="75"/>
      <c r="T80" s="75"/>
      <c r="U80" s="75"/>
      <c r="V80" s="75"/>
      <c r="W80" s="75"/>
      <c r="X80" s="75"/>
      <c r="Y80" s="75"/>
      <c r="Z80" s="75"/>
    </row>
    <row r="81" spans="1:26" s="82" customFormat="1" x14ac:dyDescent="0.25">
      <c r="A81" s="75"/>
      <c r="B81" s="75"/>
      <c r="C81" s="75"/>
      <c r="D81" s="75"/>
      <c r="E81" s="75"/>
      <c r="F81" s="75"/>
      <c r="G81" s="75"/>
      <c r="H81" s="75"/>
      <c r="I81" s="75"/>
      <c r="J81" s="75"/>
      <c r="K81" s="75"/>
      <c r="L81" s="75"/>
      <c r="M81" s="75"/>
      <c r="O81" s="75"/>
      <c r="P81" s="75"/>
      <c r="Q81" s="75"/>
      <c r="R81" s="75"/>
      <c r="S81" s="75"/>
      <c r="T81" s="75"/>
      <c r="U81" s="75"/>
      <c r="V81" s="75"/>
      <c r="W81" s="75"/>
      <c r="X81" s="75"/>
      <c r="Y81" s="75"/>
      <c r="Z81" s="75"/>
    </row>
    <row r="82" spans="1:26" s="82" customFormat="1" x14ac:dyDescent="0.25">
      <c r="A82" s="75"/>
      <c r="B82" s="75"/>
      <c r="C82" s="75"/>
      <c r="D82" s="75"/>
      <c r="E82" s="75"/>
      <c r="F82" s="75"/>
      <c r="G82" s="75"/>
      <c r="H82" s="75"/>
      <c r="I82" s="75"/>
      <c r="J82" s="75"/>
      <c r="K82" s="75"/>
      <c r="L82" s="75"/>
      <c r="M82" s="75"/>
      <c r="O82" s="76"/>
      <c r="P82" s="76"/>
      <c r="Q82" s="76"/>
      <c r="R82" s="76"/>
      <c r="S82" s="76"/>
      <c r="T82" s="76"/>
      <c r="U82" s="76"/>
      <c r="V82" s="76"/>
      <c r="W82" s="76"/>
      <c r="X82" s="76"/>
      <c r="Y82" s="76"/>
      <c r="Z82" s="76"/>
    </row>
    <row r="83" spans="1:26" s="82" customFormat="1" x14ac:dyDescent="0.25">
      <c r="A83" s="75"/>
      <c r="B83" s="75"/>
      <c r="C83" s="75"/>
      <c r="D83" s="75"/>
      <c r="E83" s="75"/>
      <c r="F83" s="75"/>
      <c r="G83" s="75"/>
      <c r="H83" s="75"/>
      <c r="I83" s="75"/>
      <c r="J83" s="75"/>
      <c r="K83" s="75"/>
      <c r="L83" s="75"/>
      <c r="M83" s="75"/>
    </row>
    <row r="84" spans="1:26" s="82" customFormat="1" x14ac:dyDescent="0.25">
      <c r="A84" s="75"/>
      <c r="B84" s="75"/>
      <c r="C84" s="75"/>
      <c r="D84" s="75"/>
      <c r="E84" s="75"/>
      <c r="F84" s="75"/>
      <c r="G84" s="75"/>
      <c r="H84" s="75"/>
      <c r="I84" s="75"/>
      <c r="J84" s="75"/>
      <c r="K84" s="75"/>
      <c r="L84" s="75"/>
      <c r="M84" s="75"/>
      <c r="O84" s="75"/>
      <c r="P84" s="75"/>
      <c r="Q84" s="75"/>
      <c r="R84" s="75"/>
      <c r="S84" s="75"/>
      <c r="T84" s="75"/>
      <c r="U84" s="75"/>
      <c r="V84" s="75"/>
      <c r="W84" s="75"/>
      <c r="X84" s="75"/>
      <c r="Y84" s="75"/>
      <c r="Z84" s="75"/>
    </row>
    <row r="85" spans="1:26" s="82" customFormat="1" x14ac:dyDescent="0.25">
      <c r="A85" s="75"/>
      <c r="B85" s="75"/>
      <c r="C85" s="75"/>
      <c r="D85" s="75"/>
      <c r="E85" s="75"/>
      <c r="F85" s="75"/>
      <c r="G85" s="75"/>
      <c r="H85" s="75"/>
      <c r="I85" s="75"/>
      <c r="J85" s="75"/>
      <c r="K85" s="75"/>
      <c r="L85" s="75"/>
      <c r="M85" s="75"/>
      <c r="O85" s="75"/>
      <c r="P85" s="75"/>
      <c r="Q85" s="75"/>
      <c r="R85" s="75"/>
      <c r="S85" s="75"/>
      <c r="T85" s="75"/>
      <c r="U85" s="75"/>
      <c r="V85" s="75"/>
      <c r="W85" s="75"/>
      <c r="X85" s="75"/>
      <c r="Y85" s="75"/>
      <c r="Z85" s="75"/>
    </row>
    <row r="86" spans="1:26" s="82" customFormat="1" x14ac:dyDescent="0.25">
      <c r="A86" s="75"/>
      <c r="B86" s="75"/>
      <c r="C86" s="75"/>
      <c r="D86" s="75"/>
      <c r="E86" s="75"/>
      <c r="F86" s="75"/>
      <c r="G86" s="75"/>
      <c r="H86" s="75"/>
      <c r="I86" s="75"/>
      <c r="J86" s="75"/>
      <c r="K86" s="75"/>
      <c r="L86" s="75"/>
      <c r="M86" s="75"/>
      <c r="O86" s="75"/>
      <c r="P86" s="75"/>
      <c r="Q86" s="75"/>
      <c r="R86" s="75"/>
      <c r="S86" s="75"/>
      <c r="T86" s="75"/>
      <c r="U86" s="75"/>
      <c r="V86" s="75"/>
      <c r="W86" s="75"/>
      <c r="X86" s="75"/>
      <c r="Y86" s="75"/>
      <c r="Z86" s="75"/>
    </row>
    <row r="87" spans="1:26" s="82" customFormat="1" x14ac:dyDescent="0.25">
      <c r="A87" s="75"/>
      <c r="B87" s="75"/>
      <c r="C87" s="75"/>
      <c r="D87" s="75"/>
      <c r="E87" s="75"/>
      <c r="F87" s="75"/>
      <c r="G87" s="75"/>
      <c r="H87" s="75"/>
      <c r="I87" s="75"/>
      <c r="J87" s="75"/>
      <c r="K87" s="75"/>
      <c r="L87" s="75"/>
      <c r="M87" s="75"/>
      <c r="O87" s="75"/>
      <c r="P87" s="75"/>
      <c r="Q87" s="75"/>
      <c r="R87" s="75"/>
      <c r="S87" s="75"/>
      <c r="T87" s="75"/>
      <c r="U87" s="75"/>
      <c r="V87" s="75"/>
      <c r="W87" s="75"/>
      <c r="X87" s="75"/>
      <c r="Y87" s="75"/>
      <c r="Z87" s="75"/>
    </row>
    <row r="88" spans="1:26" s="82" customFormat="1" x14ac:dyDescent="0.25">
      <c r="A88" s="75"/>
      <c r="B88" s="75"/>
      <c r="C88" s="75"/>
      <c r="D88" s="75"/>
      <c r="E88" s="75"/>
      <c r="F88" s="75"/>
      <c r="G88" s="75"/>
      <c r="H88" s="75"/>
      <c r="I88" s="75"/>
      <c r="J88" s="75"/>
      <c r="K88" s="75"/>
      <c r="L88" s="75"/>
      <c r="M88" s="75"/>
      <c r="O88" s="75"/>
      <c r="P88" s="75"/>
      <c r="Q88" s="75"/>
      <c r="R88" s="75"/>
      <c r="S88" s="75"/>
      <c r="T88" s="75"/>
      <c r="U88" s="75"/>
      <c r="V88" s="75"/>
      <c r="W88" s="75"/>
      <c r="X88" s="75"/>
      <c r="Y88" s="75"/>
      <c r="Z88" s="75"/>
    </row>
    <row r="89" spans="1:26" s="82" customFormat="1" x14ac:dyDescent="0.25">
      <c r="A89" s="75"/>
      <c r="B89" s="75"/>
      <c r="C89" s="75"/>
      <c r="D89" s="75"/>
      <c r="E89" s="75"/>
      <c r="F89" s="75"/>
      <c r="G89" s="75"/>
      <c r="H89" s="75"/>
      <c r="I89" s="75"/>
      <c r="J89" s="75"/>
      <c r="K89" s="75"/>
      <c r="L89" s="75"/>
      <c r="M89" s="75"/>
      <c r="O89" s="75"/>
      <c r="P89" s="75"/>
      <c r="Q89" s="75"/>
      <c r="R89" s="75"/>
      <c r="S89" s="75"/>
      <c r="T89" s="75"/>
      <c r="U89" s="75"/>
      <c r="V89" s="75"/>
      <c r="W89" s="75"/>
      <c r="X89" s="75"/>
      <c r="Y89" s="75"/>
      <c r="Z89" s="75"/>
    </row>
    <row r="90" spans="1:26" s="82" customFormat="1" x14ac:dyDescent="0.25">
      <c r="A90" s="75"/>
      <c r="B90" s="75"/>
      <c r="C90" s="75"/>
      <c r="D90" s="75"/>
      <c r="E90" s="75"/>
      <c r="F90" s="75"/>
      <c r="G90" s="75"/>
      <c r="H90" s="75"/>
      <c r="I90" s="75"/>
      <c r="J90" s="75"/>
      <c r="K90" s="75"/>
      <c r="L90" s="75"/>
      <c r="M90" s="75"/>
      <c r="O90" s="86"/>
      <c r="P90" s="86"/>
      <c r="Q90" s="75"/>
      <c r="R90" s="75"/>
      <c r="S90" s="75"/>
      <c r="T90" s="75"/>
      <c r="U90" s="75"/>
      <c r="V90" s="75"/>
      <c r="W90" s="75"/>
      <c r="X90" s="75"/>
      <c r="Y90" s="75"/>
      <c r="Z90" s="75"/>
    </row>
    <row r="91" spans="1:26" s="82" customFormat="1" x14ac:dyDescent="0.25">
      <c r="A91" s="75"/>
      <c r="B91" s="75"/>
      <c r="C91" s="75"/>
      <c r="D91" s="75"/>
      <c r="E91" s="75"/>
      <c r="F91" s="75"/>
      <c r="G91" s="75"/>
      <c r="H91" s="75"/>
      <c r="I91" s="75"/>
      <c r="J91" s="75"/>
      <c r="K91" s="75"/>
      <c r="L91" s="75"/>
      <c r="M91" s="75"/>
    </row>
    <row r="92" spans="1:26" s="82" customFormat="1" x14ac:dyDescent="0.25">
      <c r="A92" s="75"/>
      <c r="B92" s="75"/>
      <c r="C92" s="75"/>
      <c r="D92" s="75"/>
      <c r="E92" s="75"/>
      <c r="F92" s="75"/>
      <c r="G92" s="75"/>
      <c r="H92" s="75"/>
      <c r="I92" s="75"/>
      <c r="J92" s="75"/>
      <c r="K92" s="75"/>
      <c r="L92" s="75"/>
      <c r="M92" s="75"/>
    </row>
    <row r="93" spans="1:26" s="82" customFormat="1" x14ac:dyDescent="0.25">
      <c r="A93" s="75"/>
      <c r="B93" s="75"/>
      <c r="C93" s="75"/>
      <c r="D93" s="75"/>
      <c r="E93" s="75"/>
      <c r="F93" s="75"/>
      <c r="G93" s="75"/>
      <c r="H93" s="75"/>
      <c r="I93" s="75"/>
      <c r="J93" s="75"/>
      <c r="K93" s="75"/>
      <c r="L93" s="75"/>
      <c r="M93" s="75"/>
    </row>
    <row r="94" spans="1:26" s="82" customFormat="1" x14ac:dyDescent="0.25">
      <c r="A94" s="75"/>
      <c r="B94" s="75"/>
      <c r="C94" s="75"/>
      <c r="D94" s="75"/>
      <c r="E94" s="75"/>
      <c r="F94" s="75"/>
      <c r="G94" s="75"/>
      <c r="H94" s="75"/>
      <c r="I94" s="75"/>
      <c r="J94" s="75"/>
      <c r="K94" s="75"/>
      <c r="L94" s="75"/>
      <c r="M94" s="75"/>
    </row>
    <row r="95" spans="1:26" s="82" customFormat="1" x14ac:dyDescent="0.25">
      <c r="A95" s="75"/>
      <c r="B95" s="75"/>
      <c r="C95" s="75"/>
      <c r="D95" s="75"/>
      <c r="E95" s="75"/>
      <c r="F95" s="75"/>
      <c r="G95" s="75"/>
      <c r="H95" s="75"/>
      <c r="I95" s="75"/>
      <c r="J95" s="75"/>
      <c r="K95" s="75"/>
      <c r="L95" s="75"/>
      <c r="M95" s="75"/>
    </row>
    <row r="96" spans="1:26" s="82" customFormat="1" x14ac:dyDescent="0.25">
      <c r="A96" s="75"/>
      <c r="B96" s="75"/>
      <c r="C96" s="75"/>
      <c r="D96" s="75"/>
      <c r="E96" s="75"/>
      <c r="F96" s="75"/>
      <c r="G96" s="75"/>
      <c r="H96" s="75"/>
      <c r="I96" s="75"/>
      <c r="J96" s="75"/>
      <c r="K96" s="75"/>
      <c r="L96" s="75"/>
      <c r="M96" s="75"/>
    </row>
    <row r="97" spans="1:13" s="82" customFormat="1" x14ac:dyDescent="0.25">
      <c r="A97" s="75"/>
      <c r="B97" s="75"/>
      <c r="C97" s="75"/>
      <c r="D97" s="75"/>
      <c r="E97" s="75"/>
      <c r="F97" s="75"/>
      <c r="G97" s="75"/>
      <c r="H97" s="75"/>
      <c r="I97" s="75"/>
      <c r="J97" s="75"/>
      <c r="K97" s="75"/>
      <c r="L97" s="75"/>
      <c r="M97" s="75"/>
    </row>
    <row r="98" spans="1:13" s="82" customFormat="1" x14ac:dyDescent="0.25">
      <c r="A98" s="75"/>
      <c r="B98" s="75"/>
      <c r="C98" s="75"/>
      <c r="D98" s="75"/>
      <c r="E98" s="75"/>
      <c r="F98" s="75"/>
      <c r="G98" s="75"/>
      <c r="H98" s="75"/>
      <c r="I98" s="75"/>
      <c r="J98" s="75"/>
      <c r="K98" s="75"/>
      <c r="L98" s="75"/>
      <c r="M98" s="75"/>
    </row>
    <row r="99" spans="1:13" s="82" customFormat="1" x14ac:dyDescent="0.25">
      <c r="A99" s="75"/>
      <c r="B99" s="75"/>
      <c r="C99" s="75"/>
      <c r="D99" s="75"/>
      <c r="E99" s="75"/>
      <c r="F99" s="75"/>
      <c r="G99" s="75"/>
      <c r="H99" s="75"/>
      <c r="I99" s="75"/>
      <c r="J99" s="75"/>
      <c r="K99" s="75"/>
      <c r="L99" s="75"/>
      <c r="M99" s="75"/>
    </row>
    <row r="100" spans="1:13" s="82" customFormat="1" x14ac:dyDescent="0.25">
      <c r="A100" s="75"/>
      <c r="B100" s="75"/>
      <c r="C100" s="75"/>
      <c r="D100" s="75"/>
      <c r="E100" s="75"/>
      <c r="F100" s="75"/>
      <c r="G100" s="75"/>
      <c r="H100" s="75"/>
      <c r="I100" s="75"/>
      <c r="J100" s="75"/>
      <c r="K100" s="75"/>
      <c r="L100" s="75"/>
      <c r="M100" s="75"/>
    </row>
    <row r="101" spans="1:13" s="82" customFormat="1" x14ac:dyDescent="0.25">
      <c r="A101" s="75"/>
      <c r="B101" s="75"/>
      <c r="C101" s="75"/>
      <c r="D101" s="75"/>
      <c r="E101" s="75"/>
      <c r="F101" s="75"/>
      <c r="G101" s="75"/>
      <c r="H101" s="75"/>
      <c r="I101" s="75"/>
      <c r="J101" s="75"/>
      <c r="K101" s="75"/>
      <c r="L101" s="75"/>
      <c r="M101" s="75"/>
    </row>
    <row r="102" spans="1:13" s="82" customFormat="1" x14ac:dyDescent="0.25">
      <c r="A102" s="75"/>
      <c r="B102" s="75"/>
      <c r="C102" s="75"/>
      <c r="D102" s="75"/>
      <c r="E102" s="75"/>
      <c r="F102" s="75"/>
      <c r="G102" s="75"/>
      <c r="H102" s="75"/>
      <c r="I102" s="75"/>
      <c r="J102" s="75"/>
      <c r="K102" s="75"/>
      <c r="L102" s="75"/>
      <c r="M102" s="75"/>
    </row>
    <row r="103" spans="1:13" s="82" customFormat="1" x14ac:dyDescent="0.25">
      <c r="A103" s="75"/>
      <c r="B103" s="75"/>
      <c r="C103" s="75"/>
      <c r="D103" s="75"/>
      <c r="E103" s="75"/>
      <c r="F103" s="75"/>
      <c r="G103" s="75"/>
      <c r="H103" s="75"/>
      <c r="I103" s="75"/>
      <c r="J103" s="75"/>
      <c r="K103" s="75"/>
      <c r="L103" s="75"/>
      <c r="M103" s="75"/>
    </row>
    <row r="104" spans="1:13" s="82" customFormat="1" x14ac:dyDescent="0.25">
      <c r="A104" s="75"/>
      <c r="B104" s="75"/>
      <c r="C104" s="75"/>
      <c r="D104" s="75"/>
      <c r="E104" s="75"/>
      <c r="F104" s="75"/>
      <c r="G104" s="75"/>
      <c r="H104" s="75"/>
      <c r="I104" s="75"/>
      <c r="J104" s="75"/>
      <c r="K104" s="75"/>
      <c r="L104" s="75"/>
      <c r="M104" s="75"/>
    </row>
    <row r="105" spans="1:13" s="82" customFormat="1" x14ac:dyDescent="0.25">
      <c r="A105" s="75"/>
      <c r="B105" s="75"/>
      <c r="C105" s="75"/>
      <c r="D105" s="75"/>
      <c r="E105" s="75"/>
      <c r="F105" s="75"/>
      <c r="G105" s="75"/>
      <c r="H105" s="75"/>
      <c r="I105" s="75"/>
      <c r="J105" s="75"/>
      <c r="K105" s="75"/>
      <c r="L105" s="75"/>
      <c r="M105" s="75"/>
    </row>
  </sheetData>
  <mergeCells count="2">
    <mergeCell ref="O9:R13"/>
    <mergeCell ref="B62:L62"/>
  </mergeCells>
  <pageMargins left="0.7" right="0.7" top="0.75" bottom="0.75" header="0.3" footer="0.3"/>
  <pageSetup orientation="portrait" r:id="rId1"/>
  <headerFooter>
    <oddFooter>&amp;L_x000D_&amp;1#&amp;"Calibri"&amp;11&amp;K000000 Classification: Public</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Configuration!$G$7:$Q$7</xm:f>
          </x14:formula1>
          <xm:sqref>D3</xm:sqref>
        </x14:dataValidation>
        <x14:dataValidation type="list" allowBlank="1" showInputMessage="1" xr:uid="{00000000-0002-0000-0200-000001000000}">
          <x14:formula1>
            <xm:f>Configuration!$D$4:$AJ$4</xm:f>
          </x14:formula1>
          <xm:sqref>F17 H17 D17 F19 H19 D19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Z59"/>
  <sheetViews>
    <sheetView zoomScaleNormal="100" workbookViewId="0">
      <selection activeCell="L9" sqref="L9"/>
    </sheetView>
  </sheetViews>
  <sheetFormatPr defaultColWidth="8.85546875" defaultRowHeight="11.25" x14ac:dyDescent="0.2"/>
  <cols>
    <col min="1" max="1" width="2.7109375" style="32" customWidth="1"/>
    <col min="2" max="2" width="18.28515625" style="32" customWidth="1"/>
    <col min="3" max="3" width="2.7109375" style="32" customWidth="1"/>
    <col min="4" max="4" width="29.7109375" style="32" customWidth="1"/>
    <col min="5" max="5" width="1.7109375" style="32" customWidth="1"/>
    <col min="6" max="6" width="14" style="36" customWidth="1"/>
    <col min="7" max="7" width="1.7109375" style="32" customWidth="1"/>
    <col min="8" max="8" width="10.7109375" style="32" customWidth="1"/>
    <col min="9" max="9" width="1.7109375" style="32" customWidth="1"/>
    <col min="10" max="10" width="17.42578125" style="32" customWidth="1"/>
    <col min="11" max="11" width="1.7109375" style="32" customWidth="1"/>
    <col min="12" max="12" width="17.42578125" style="32" customWidth="1"/>
    <col min="13" max="13" width="1.7109375" style="32" customWidth="1"/>
    <col min="14" max="14" width="9.5703125" style="88" customWidth="1"/>
    <col min="15" max="15" width="9.28515625" style="88" customWidth="1"/>
    <col min="16" max="16" width="9.28515625" style="90" customWidth="1"/>
    <col min="17" max="17" width="9.28515625" style="88" customWidth="1"/>
    <col min="18" max="18" width="15.42578125" style="88" customWidth="1"/>
    <col min="19" max="26" width="9.28515625" style="88" customWidth="1"/>
    <col min="27" max="16384" width="8.85546875" style="32"/>
  </cols>
  <sheetData>
    <row r="1" spans="1:26" s="1" customFormat="1" ht="15" customHeight="1" x14ac:dyDescent="0.25">
      <c r="A1" s="130" t="str">
        <f>"Fuel and Feedstock Usage appliable for "&amp; F3&amp;" period"</f>
        <v>Fuel and Feedstock Usage appliable for 2023 period</v>
      </c>
      <c r="B1" s="130"/>
      <c r="C1" s="130"/>
      <c r="D1" s="130"/>
      <c r="E1" s="130"/>
      <c r="F1" s="130"/>
      <c r="G1" s="130"/>
      <c r="H1" s="130"/>
      <c r="I1" s="130"/>
      <c r="J1" s="130"/>
      <c r="K1" s="130"/>
      <c r="L1" s="130"/>
      <c r="M1" s="131"/>
      <c r="N1" s="97"/>
      <c r="O1" s="97"/>
      <c r="P1" s="110"/>
      <c r="Q1" s="97"/>
      <c r="R1" s="97"/>
      <c r="S1" s="97"/>
      <c r="T1" s="97"/>
      <c r="U1" s="97"/>
      <c r="V1" s="97"/>
      <c r="W1" s="97"/>
      <c r="X1" s="97"/>
      <c r="Y1" s="97"/>
      <c r="Z1" s="97"/>
    </row>
    <row r="2" spans="1:26" s="6" customFormat="1" ht="6" customHeight="1" x14ac:dyDescent="0.2">
      <c r="A2" s="2"/>
      <c r="B2" s="3"/>
      <c r="C2" s="4"/>
      <c r="D2" s="4"/>
      <c r="E2" s="4"/>
      <c r="F2" s="4"/>
      <c r="G2" s="4"/>
      <c r="H2" s="4"/>
      <c r="I2" s="4"/>
      <c r="J2" s="4"/>
      <c r="K2" s="4"/>
      <c r="L2" s="4"/>
      <c r="M2" s="5"/>
      <c r="N2" s="88"/>
      <c r="O2" s="88"/>
      <c r="P2" s="90"/>
      <c r="Q2" s="88"/>
      <c r="R2" s="88"/>
      <c r="S2" s="88"/>
      <c r="T2" s="88"/>
      <c r="U2" s="88"/>
      <c r="V2" s="88"/>
      <c r="W2" s="88"/>
      <c r="X2" s="88"/>
      <c r="Y2" s="88"/>
      <c r="Z2" s="88"/>
    </row>
    <row r="3" spans="1:26" s="6" customFormat="1" ht="12.75" x14ac:dyDescent="0.2">
      <c r="A3" s="2"/>
      <c r="C3" s="53"/>
      <c r="D3" s="134" t="s">
        <v>101</v>
      </c>
      <c r="E3" s="4"/>
      <c r="F3" s="144">
        <v>2023</v>
      </c>
      <c r="G3" s="4"/>
      <c r="H3" s="4"/>
      <c r="I3" s="4"/>
      <c r="J3" s="4"/>
      <c r="K3" s="4"/>
      <c r="L3" s="4"/>
      <c r="M3" s="5"/>
      <c r="N3" s="88"/>
      <c r="O3" s="88"/>
      <c r="P3" s="90"/>
      <c r="Q3" s="88"/>
      <c r="R3" s="88"/>
      <c r="S3" s="88"/>
      <c r="T3" s="88"/>
      <c r="U3" s="88"/>
      <c r="V3" s="88"/>
      <c r="W3" s="88"/>
      <c r="X3" s="88"/>
      <c r="Y3" s="88"/>
      <c r="Z3" s="88"/>
    </row>
    <row r="4" spans="1:26" s="6" customFormat="1" ht="6" customHeight="1" x14ac:dyDescent="0.2">
      <c r="A4" s="2"/>
      <c r="B4" s="3"/>
      <c r="C4" s="4"/>
      <c r="D4" s="4"/>
      <c r="E4" s="4"/>
      <c r="F4" s="4"/>
      <c r="G4" s="4"/>
      <c r="H4" s="4"/>
      <c r="I4" s="4"/>
      <c r="J4" s="4"/>
      <c r="K4" s="4"/>
      <c r="L4" s="4"/>
      <c r="M4" s="5"/>
      <c r="N4" s="88"/>
      <c r="O4" s="88"/>
      <c r="P4" s="90"/>
      <c r="Q4" s="88"/>
      <c r="R4" s="88"/>
      <c r="S4" s="88"/>
      <c r="T4" s="88"/>
      <c r="U4" s="88"/>
      <c r="V4" s="88"/>
      <c r="W4" s="88"/>
      <c r="X4" s="88"/>
      <c r="Y4" s="88"/>
      <c r="Z4" s="88"/>
    </row>
    <row r="5" spans="1:26" s="1" customFormat="1" ht="15.75" x14ac:dyDescent="0.25">
      <c r="A5" s="130" t="s">
        <v>72</v>
      </c>
      <c r="B5" s="130"/>
      <c r="C5" s="130"/>
      <c r="D5" s="130"/>
      <c r="E5" s="130"/>
      <c r="F5" s="130"/>
      <c r="G5" s="130"/>
      <c r="H5" s="130"/>
      <c r="I5" s="130"/>
      <c r="J5" s="130"/>
      <c r="K5" s="130"/>
      <c r="L5" s="130"/>
      <c r="M5" s="131"/>
      <c r="N5" s="97"/>
      <c r="O5" s="97"/>
      <c r="P5" s="110"/>
      <c r="Q5" s="97"/>
      <c r="R5" s="97"/>
      <c r="S5" s="97"/>
      <c r="T5" s="97"/>
      <c r="U5" s="97"/>
      <c r="V5" s="97"/>
      <c r="W5" s="97"/>
      <c r="X5" s="97"/>
      <c r="Y5" s="97"/>
      <c r="Z5" s="97"/>
    </row>
    <row r="6" spans="1:26" s="6" customFormat="1" ht="4.5" customHeight="1" x14ac:dyDescent="0.2">
      <c r="A6" s="2"/>
      <c r="B6" s="3"/>
      <c r="C6" s="4"/>
      <c r="D6" s="4"/>
      <c r="E6" s="4"/>
      <c r="F6" s="4"/>
      <c r="G6" s="4"/>
      <c r="H6" s="4"/>
      <c r="I6" s="4"/>
      <c r="J6" s="4"/>
      <c r="K6" s="4"/>
      <c r="L6" s="4"/>
      <c r="M6" s="5"/>
      <c r="N6" s="88"/>
      <c r="O6" s="88"/>
      <c r="P6" s="90"/>
      <c r="Q6" s="88"/>
      <c r="R6" s="88"/>
      <c r="S6" s="88"/>
      <c r="T6" s="88"/>
      <c r="U6" s="88"/>
      <c r="V6" s="88"/>
      <c r="W6" s="88"/>
      <c r="X6" s="88"/>
      <c r="Y6" s="88"/>
      <c r="Z6" s="88"/>
    </row>
    <row r="7" spans="1:26" s="6" customFormat="1" ht="18.75" customHeight="1" x14ac:dyDescent="0.2">
      <c r="A7" s="7" t="s">
        <v>0</v>
      </c>
      <c r="B7" s="3"/>
      <c r="C7" s="4"/>
      <c r="D7" s="4"/>
      <c r="E7" s="4"/>
      <c r="F7" s="4"/>
      <c r="G7" s="4"/>
      <c r="H7" s="4"/>
      <c r="I7" s="4"/>
      <c r="J7" s="4"/>
      <c r="K7" s="4"/>
      <c r="L7" s="4"/>
      <c r="M7" s="5"/>
      <c r="N7" s="88"/>
      <c r="O7" s="88"/>
      <c r="P7" s="90"/>
      <c r="Q7" s="88"/>
      <c r="R7" s="88"/>
      <c r="S7" s="88"/>
      <c r="T7" s="88"/>
      <c r="U7" s="88"/>
      <c r="V7" s="88"/>
      <c r="W7" s="88"/>
      <c r="X7" s="88"/>
      <c r="Y7" s="88"/>
      <c r="Z7" s="88"/>
    </row>
    <row r="8" spans="1:26" s="6" customFormat="1" ht="16.5" customHeight="1" x14ac:dyDescent="0.2">
      <c r="A8" s="7" t="s">
        <v>132</v>
      </c>
      <c r="B8" s="3"/>
      <c r="C8" s="4"/>
      <c r="D8" s="4"/>
      <c r="E8" s="4"/>
      <c r="F8" s="4"/>
      <c r="G8" s="4"/>
      <c r="H8" s="4"/>
      <c r="I8" s="4"/>
      <c r="J8" s="4"/>
      <c r="K8" s="4"/>
      <c r="L8" s="4"/>
      <c r="M8" s="5"/>
      <c r="N8" s="88"/>
      <c r="O8" s="88"/>
      <c r="P8" s="90"/>
      <c r="Q8" s="88"/>
      <c r="R8" s="88"/>
      <c r="S8" s="88"/>
      <c r="T8" s="88"/>
      <c r="U8" s="88"/>
      <c r="V8" s="88"/>
      <c r="W8" s="88"/>
      <c r="X8" s="88"/>
      <c r="Y8" s="88"/>
      <c r="Z8" s="88"/>
    </row>
    <row r="9" spans="1:26" s="13" customFormat="1" ht="24" customHeight="1" x14ac:dyDescent="0.2">
      <c r="A9" s="8"/>
      <c r="B9" s="9" t="s">
        <v>1</v>
      </c>
      <c r="C9" s="9"/>
      <c r="D9" s="9" t="s">
        <v>2</v>
      </c>
      <c r="E9" s="9"/>
      <c r="F9" s="10" t="s">
        <v>3</v>
      </c>
      <c r="G9" s="11"/>
      <c r="H9" s="9" t="s">
        <v>4</v>
      </c>
      <c r="I9" s="9"/>
      <c r="J9" s="10" t="s">
        <v>36</v>
      </c>
      <c r="K9" s="9"/>
      <c r="L9" s="129" t="s">
        <v>5</v>
      </c>
      <c r="M9" s="12"/>
      <c r="N9" s="98"/>
      <c r="O9" s="98"/>
      <c r="P9" s="111"/>
      <c r="Q9" s="98"/>
      <c r="R9" s="98"/>
      <c r="S9" s="98"/>
      <c r="T9" s="98"/>
      <c r="U9" s="98"/>
      <c r="V9" s="98"/>
      <c r="W9" s="98"/>
      <c r="X9" s="98"/>
      <c r="Y9" s="98"/>
      <c r="Z9" s="98"/>
    </row>
    <row r="10" spans="1:26" s="6" customFormat="1" ht="12" customHeight="1" x14ac:dyDescent="0.2">
      <c r="A10" s="2">
        <v>1</v>
      </c>
      <c r="B10" s="14"/>
      <c r="C10" s="16"/>
      <c r="D10" s="17"/>
      <c r="E10" s="15"/>
      <c r="F10" s="137"/>
      <c r="G10" s="18"/>
      <c r="H10" s="80" t="str">
        <f>IF(B10="", "",VLOOKUP(B10,fuelrates,14,FALSE))</f>
        <v/>
      </c>
      <c r="I10" s="18"/>
      <c r="J10" s="138" t="str">
        <f>IF(B10="","",INDEX(fuelrates,MATCH(B10,fuels,0)+1,F$3-2017)*F10)</f>
        <v/>
      </c>
      <c r="K10" s="139"/>
      <c r="L10" s="138" t="str">
        <f>IF(B10="","",VLOOKUP(B10,fuelrates,15,FALSE)*F10)</f>
        <v/>
      </c>
      <c r="M10" s="19"/>
      <c r="N10" s="88"/>
      <c r="O10" s="148"/>
      <c r="P10" s="88"/>
      <c r="Q10" s="88"/>
      <c r="R10" s="88"/>
      <c r="S10" s="88"/>
      <c r="T10" s="88"/>
      <c r="U10" s="88"/>
      <c r="V10" s="88"/>
      <c r="W10" s="88"/>
      <c r="X10" s="88"/>
      <c r="Y10" s="88"/>
      <c r="Z10" s="108"/>
    </row>
    <row r="11" spans="1:26" s="6" customFormat="1" ht="5.25" customHeight="1" x14ac:dyDescent="0.2">
      <c r="A11" s="2"/>
      <c r="B11" s="21"/>
      <c r="C11" s="18"/>
      <c r="D11" s="18"/>
      <c r="E11" s="15"/>
      <c r="F11" s="142"/>
      <c r="G11" s="18"/>
      <c r="H11" s="142"/>
      <c r="I11" s="18"/>
      <c r="J11" s="140"/>
      <c r="K11" s="139"/>
      <c r="L11" s="140"/>
      <c r="M11" s="19"/>
      <c r="N11" s="88"/>
      <c r="O11" s="88"/>
      <c r="P11" s="88"/>
      <c r="Q11" s="88"/>
      <c r="R11" s="88"/>
      <c r="S11" s="88"/>
      <c r="T11" s="88"/>
      <c r="U11" s="88"/>
      <c r="V11" s="88"/>
      <c r="W11" s="88"/>
      <c r="X11" s="88"/>
      <c r="Y11" s="88"/>
      <c r="Z11" s="88"/>
    </row>
    <row r="12" spans="1:26" s="6" customFormat="1" ht="12" customHeight="1" x14ac:dyDescent="0.2">
      <c r="A12" s="2">
        <v>2</v>
      </c>
      <c r="B12" s="14"/>
      <c r="C12" s="16"/>
      <c r="D12" s="17"/>
      <c r="E12" s="15"/>
      <c r="F12" s="137"/>
      <c r="G12" s="18"/>
      <c r="H12" s="80" t="str">
        <f>IF(B12="", "",VLOOKUP(B12,fuelrates,14,FALSE))</f>
        <v/>
      </c>
      <c r="I12" s="18"/>
      <c r="J12" s="138" t="str">
        <f>IF(B12="","",INDEX(fuelrates,MATCH(B12,fuels,0)+1,F$3-2017)*F12)</f>
        <v/>
      </c>
      <c r="K12" s="139"/>
      <c r="L12" s="138" t="str">
        <f>IF(B12="","",VLOOKUP(B12,fuelrates,15,FALSE)*F12)</f>
        <v/>
      </c>
      <c r="M12" s="19"/>
      <c r="N12" s="88"/>
      <c r="O12" s="88"/>
      <c r="P12" s="88"/>
      <c r="Q12" s="88"/>
      <c r="R12" s="88"/>
      <c r="S12" s="88"/>
      <c r="T12" s="88"/>
      <c r="U12" s="88"/>
      <c r="V12" s="88"/>
      <c r="W12" s="88"/>
      <c r="X12" s="88"/>
      <c r="Y12" s="88"/>
      <c r="Z12" s="88"/>
    </row>
    <row r="13" spans="1:26" s="6" customFormat="1" ht="5.25" customHeight="1" x14ac:dyDescent="0.2">
      <c r="A13" s="2"/>
      <c r="B13" s="21"/>
      <c r="C13" s="18"/>
      <c r="D13" s="18"/>
      <c r="E13" s="15"/>
      <c r="F13" s="142"/>
      <c r="G13" s="18"/>
      <c r="H13" s="142"/>
      <c r="I13" s="18"/>
      <c r="J13" s="140"/>
      <c r="K13" s="139"/>
      <c r="L13" s="140"/>
      <c r="M13" s="19"/>
      <c r="N13" s="88"/>
      <c r="O13" s="88"/>
      <c r="P13" s="88"/>
      <c r="Q13" s="88"/>
      <c r="R13" s="88"/>
      <c r="S13" s="88"/>
      <c r="T13" s="88"/>
      <c r="U13" s="88"/>
      <c r="V13" s="88"/>
      <c r="W13" s="88"/>
      <c r="X13" s="88"/>
      <c r="Y13" s="88"/>
      <c r="Z13" s="88"/>
    </row>
    <row r="14" spans="1:26" s="6" customFormat="1" ht="12" customHeight="1" x14ac:dyDescent="0.2">
      <c r="A14" s="2">
        <v>3</v>
      </c>
      <c r="B14" s="14"/>
      <c r="C14" s="16"/>
      <c r="D14" s="17"/>
      <c r="E14" s="15"/>
      <c r="F14" s="137"/>
      <c r="G14" s="18"/>
      <c r="H14" s="80" t="str">
        <f>IF(B14="", "",VLOOKUP(B14,fuelrates,14,FALSE))</f>
        <v/>
      </c>
      <c r="I14" s="18"/>
      <c r="J14" s="138" t="str">
        <f>IF(B14="","",INDEX(fuelrates,MATCH(B14,fuels,0)+1,F$3-2017)*F14)</f>
        <v/>
      </c>
      <c r="K14" s="139"/>
      <c r="L14" s="138" t="str">
        <f>IF(B14="","",VLOOKUP(B14,fuelrates,15,FALSE)*F14)</f>
        <v/>
      </c>
      <c r="M14" s="19"/>
      <c r="N14" s="88"/>
      <c r="O14" s="88"/>
      <c r="P14" s="88"/>
      <c r="Q14" s="88"/>
      <c r="R14" s="88"/>
      <c r="S14" s="88"/>
      <c r="T14" s="88"/>
      <c r="U14" s="88"/>
      <c r="V14" s="88"/>
      <c r="W14" s="88"/>
      <c r="X14" s="88"/>
      <c r="Y14" s="88"/>
      <c r="Z14" s="88"/>
    </row>
    <row r="15" spans="1:26" s="6" customFormat="1" ht="5.25" customHeight="1" x14ac:dyDescent="0.2">
      <c r="A15" s="2"/>
      <c r="B15" s="21"/>
      <c r="C15" s="18"/>
      <c r="D15" s="18"/>
      <c r="E15" s="15"/>
      <c r="F15" s="142"/>
      <c r="G15" s="18"/>
      <c r="H15" s="142"/>
      <c r="I15" s="18"/>
      <c r="J15" s="140"/>
      <c r="K15" s="139"/>
      <c r="L15" s="140"/>
      <c r="M15" s="19"/>
      <c r="N15" s="88"/>
      <c r="O15" s="88"/>
      <c r="P15" s="88"/>
      <c r="Q15" s="88"/>
      <c r="R15" s="88"/>
      <c r="S15" s="88"/>
      <c r="T15" s="88"/>
      <c r="U15" s="88"/>
      <c r="V15" s="88"/>
      <c r="W15" s="88"/>
      <c r="X15" s="88"/>
      <c r="Y15" s="88"/>
      <c r="Z15" s="88"/>
    </row>
    <row r="16" spans="1:26" s="6" customFormat="1" ht="12" customHeight="1" x14ac:dyDescent="0.2">
      <c r="A16" s="2">
        <v>4</v>
      </c>
      <c r="B16" s="14"/>
      <c r="C16" s="16"/>
      <c r="D16" s="17"/>
      <c r="E16" s="15"/>
      <c r="F16" s="137"/>
      <c r="G16" s="18"/>
      <c r="H16" s="80" t="str">
        <f>IF(B16="", "",VLOOKUP(B16,fuelrates,14,FALSE))</f>
        <v/>
      </c>
      <c r="I16" s="18"/>
      <c r="J16" s="138" t="str">
        <f>IF(B16="","",INDEX(fuelrates,MATCH(B16,fuels,0)+1,F$3-2017)*F16)</f>
        <v/>
      </c>
      <c r="K16" s="139"/>
      <c r="L16" s="138" t="str">
        <f>IF(B16="","",VLOOKUP(B16,fuelrates,15,FALSE)*F16)</f>
        <v/>
      </c>
      <c r="M16" s="19"/>
      <c r="N16" s="88"/>
      <c r="O16" s="88"/>
      <c r="P16" s="88"/>
      <c r="Q16" s="88"/>
      <c r="R16" s="88"/>
      <c r="S16" s="88"/>
      <c r="T16" s="88"/>
      <c r="U16" s="88"/>
      <c r="V16" s="88"/>
      <c r="W16" s="88"/>
      <c r="X16" s="88"/>
      <c r="Y16" s="88"/>
      <c r="Z16" s="88"/>
    </row>
    <row r="17" spans="1:26" s="6" customFormat="1" ht="5.25" customHeight="1" x14ac:dyDescent="0.2">
      <c r="A17" s="2"/>
      <c r="B17" s="21"/>
      <c r="C17" s="18"/>
      <c r="D17" s="18"/>
      <c r="E17" s="15"/>
      <c r="F17" s="142"/>
      <c r="G17" s="18"/>
      <c r="H17" s="142"/>
      <c r="I17" s="18"/>
      <c r="J17" s="140"/>
      <c r="K17" s="139"/>
      <c r="L17" s="140"/>
      <c r="M17" s="19"/>
      <c r="N17" s="88"/>
      <c r="O17" s="88"/>
      <c r="P17" s="88"/>
      <c r="Q17" s="88"/>
      <c r="R17" s="88"/>
      <c r="S17" s="88"/>
      <c r="T17" s="88"/>
      <c r="U17" s="88"/>
      <c r="V17" s="88"/>
      <c r="W17" s="88"/>
      <c r="X17" s="88"/>
      <c r="Y17" s="88"/>
      <c r="Z17" s="88"/>
    </row>
    <row r="18" spans="1:26" s="6" customFormat="1" ht="12" customHeight="1" x14ac:dyDescent="0.2">
      <c r="A18" s="2">
        <v>5</v>
      </c>
      <c r="B18" s="14"/>
      <c r="C18" s="16"/>
      <c r="D18" s="17"/>
      <c r="E18" s="15"/>
      <c r="F18" s="137"/>
      <c r="G18" s="18"/>
      <c r="H18" s="80" t="str">
        <f>IF(B18="", "",VLOOKUP(B18,fuelrates,14,FALSE))</f>
        <v/>
      </c>
      <c r="I18" s="18"/>
      <c r="J18" s="138" t="str">
        <f>IF(B18="","",INDEX(fuelrates,MATCH(B18,fuels,0)+1,F$3-2017)*F18)</f>
        <v/>
      </c>
      <c r="K18" s="139"/>
      <c r="L18" s="138" t="str">
        <f>IF(B18="","",VLOOKUP(B18,fuelrates,15,FALSE)*F18)</f>
        <v/>
      </c>
      <c r="M18" s="19"/>
      <c r="N18" s="88"/>
      <c r="O18" s="88"/>
      <c r="P18" s="88"/>
      <c r="Q18" s="88"/>
      <c r="R18" s="88"/>
      <c r="S18" s="88"/>
      <c r="T18" s="88"/>
      <c r="U18" s="88"/>
      <c r="V18" s="88"/>
      <c r="W18" s="88"/>
      <c r="X18" s="88"/>
      <c r="Y18" s="88"/>
      <c r="Z18" s="88"/>
    </row>
    <row r="19" spans="1:26" s="6" customFormat="1" ht="4.5" customHeight="1" x14ac:dyDescent="0.2">
      <c r="A19" s="2"/>
      <c r="B19" s="21"/>
      <c r="C19" s="18"/>
      <c r="D19" s="18"/>
      <c r="E19" s="15"/>
      <c r="F19" s="142"/>
      <c r="G19" s="18"/>
      <c r="H19" s="142"/>
      <c r="I19" s="18"/>
      <c r="J19" s="140"/>
      <c r="K19" s="139"/>
      <c r="L19" s="140"/>
      <c r="M19" s="19"/>
      <c r="N19" s="88"/>
      <c r="O19" s="88"/>
      <c r="P19" s="88"/>
      <c r="Q19" s="88"/>
      <c r="R19" s="88"/>
      <c r="S19" s="88"/>
      <c r="T19" s="88"/>
      <c r="U19" s="88"/>
      <c r="V19" s="88"/>
      <c r="W19" s="88"/>
      <c r="X19" s="88"/>
      <c r="Y19" s="88"/>
      <c r="Z19" s="88"/>
    </row>
    <row r="20" spans="1:26" s="6" customFormat="1" ht="12" customHeight="1" x14ac:dyDescent="0.2">
      <c r="A20" s="2">
        <v>6</v>
      </c>
      <c r="B20" s="14"/>
      <c r="C20" s="23"/>
      <c r="D20" s="17"/>
      <c r="E20" s="15"/>
      <c r="F20" s="137"/>
      <c r="G20" s="18"/>
      <c r="H20" s="80" t="str">
        <f>IF(B20="", "",VLOOKUP(B20,fuelrates,14,FALSE))</f>
        <v/>
      </c>
      <c r="I20" s="18"/>
      <c r="J20" s="138" t="str">
        <f>IF(B20="","",INDEX(fuelrates,MATCH(B20,fuels,0)+1,F$3-2017)*F20)</f>
        <v/>
      </c>
      <c r="K20" s="139"/>
      <c r="L20" s="138" t="str">
        <f>IF(B20="","",VLOOKUP(B20,fuelrates,15,FALSE)*F20)</f>
        <v/>
      </c>
      <c r="M20" s="19"/>
      <c r="N20" s="88"/>
      <c r="O20" s="88"/>
      <c r="P20" s="88"/>
      <c r="Q20" s="88"/>
      <c r="R20" s="88"/>
      <c r="S20" s="88"/>
      <c r="T20" s="88"/>
      <c r="U20" s="88"/>
      <c r="V20" s="88"/>
      <c r="W20" s="88"/>
      <c r="X20" s="88"/>
      <c r="Y20" s="88"/>
      <c r="Z20" s="88"/>
    </row>
    <row r="21" spans="1:26" s="6" customFormat="1" ht="6" customHeight="1" x14ac:dyDescent="0.2">
      <c r="A21" s="2"/>
      <c r="B21" s="21"/>
      <c r="C21" s="18"/>
      <c r="D21" s="18"/>
      <c r="E21" s="15"/>
      <c r="F21" s="142"/>
      <c r="G21" s="18"/>
      <c r="H21" s="142"/>
      <c r="I21" s="18"/>
      <c r="J21" s="140"/>
      <c r="K21" s="139"/>
      <c r="L21" s="140"/>
      <c r="M21" s="19"/>
      <c r="N21" s="88"/>
      <c r="O21" s="88"/>
      <c r="P21" s="88"/>
      <c r="Q21" s="88"/>
      <c r="R21" s="88"/>
      <c r="S21" s="88"/>
      <c r="T21" s="88"/>
      <c r="U21" s="88"/>
      <c r="V21" s="88"/>
      <c r="W21" s="88"/>
      <c r="X21" s="88"/>
      <c r="Y21" s="88"/>
      <c r="Z21" s="88"/>
    </row>
    <row r="22" spans="1:26" s="6" customFormat="1" ht="12" customHeight="1" x14ac:dyDescent="0.2">
      <c r="A22" s="2">
        <v>7</v>
      </c>
      <c r="B22" s="14"/>
      <c r="C22" s="16"/>
      <c r="D22" s="17"/>
      <c r="E22" s="15"/>
      <c r="F22" s="137"/>
      <c r="G22" s="18"/>
      <c r="H22" s="80" t="str">
        <f>IF(B22="", "",VLOOKUP(B22,fuelrates,14,FALSE))</f>
        <v/>
      </c>
      <c r="I22" s="18"/>
      <c r="J22" s="138" t="str">
        <f>IF(B22="","",INDEX(fuelrates,MATCH(B22,fuels,0)+1,F$3-2017)*F22)</f>
        <v/>
      </c>
      <c r="K22" s="139"/>
      <c r="L22" s="138" t="str">
        <f>IF(B22="","",VLOOKUP(B22,fuelrates,15,FALSE)*F22)</f>
        <v/>
      </c>
      <c r="M22" s="19"/>
      <c r="N22" s="88"/>
      <c r="O22" s="88"/>
      <c r="P22" s="88"/>
      <c r="Q22" s="88"/>
      <c r="R22" s="88"/>
      <c r="S22" s="88"/>
      <c r="T22" s="88"/>
      <c r="U22" s="88"/>
      <c r="V22" s="88"/>
      <c r="W22" s="88"/>
      <c r="X22" s="88"/>
      <c r="Y22" s="88"/>
      <c r="Z22" s="88"/>
    </row>
    <row r="23" spans="1:26" s="6" customFormat="1" ht="5.25" customHeight="1" x14ac:dyDescent="0.2">
      <c r="A23" s="2"/>
      <c r="B23" s="21"/>
      <c r="C23" s="18"/>
      <c r="D23" s="18"/>
      <c r="E23" s="15"/>
      <c r="F23" s="142"/>
      <c r="G23" s="18"/>
      <c r="H23" s="142"/>
      <c r="I23" s="18"/>
      <c r="J23" s="140"/>
      <c r="K23" s="139"/>
      <c r="L23" s="140"/>
      <c r="M23" s="19"/>
      <c r="N23" s="88"/>
      <c r="O23" s="88"/>
      <c r="P23" s="88"/>
      <c r="Q23" s="88"/>
      <c r="R23" s="88"/>
      <c r="S23" s="88"/>
      <c r="T23" s="88"/>
      <c r="U23" s="88"/>
      <c r="V23" s="88"/>
      <c r="W23" s="88"/>
      <c r="X23" s="88"/>
      <c r="Y23" s="88"/>
      <c r="Z23" s="88"/>
    </row>
    <row r="24" spans="1:26" s="6" customFormat="1" ht="12" customHeight="1" x14ac:dyDescent="0.2">
      <c r="A24" s="2">
        <v>8</v>
      </c>
      <c r="B24" s="14"/>
      <c r="C24" s="16"/>
      <c r="D24" s="17"/>
      <c r="E24" s="15"/>
      <c r="F24" s="137"/>
      <c r="G24" s="18"/>
      <c r="H24" s="80" t="str">
        <f>IF(B24="", "",VLOOKUP(B24,fuelrates,14,FALSE))</f>
        <v/>
      </c>
      <c r="I24" s="18"/>
      <c r="J24" s="138" t="str">
        <f>IF(B24="","",INDEX(fuelrates,MATCH(B24,fuels,0)+1,F$3-2017)*F24)</f>
        <v/>
      </c>
      <c r="K24" s="139"/>
      <c r="L24" s="138" t="str">
        <f>IF(B24="","",VLOOKUP(B24,fuelrates,15,FALSE)*F24)</f>
        <v/>
      </c>
      <c r="M24" s="19"/>
      <c r="N24" s="88"/>
      <c r="O24" s="88"/>
      <c r="P24" s="88"/>
      <c r="Q24" s="88"/>
      <c r="R24" s="88"/>
      <c r="S24" s="88"/>
      <c r="T24" s="88"/>
      <c r="U24" s="88"/>
      <c r="V24" s="88"/>
      <c r="W24" s="88"/>
      <c r="X24" s="88"/>
      <c r="Y24" s="88"/>
      <c r="Z24" s="88"/>
    </row>
    <row r="25" spans="1:26" s="6" customFormat="1" ht="5.25" customHeight="1" x14ac:dyDescent="0.2">
      <c r="A25" s="2"/>
      <c r="B25" s="22"/>
      <c r="C25" s="18"/>
      <c r="D25" s="18"/>
      <c r="E25" s="15"/>
      <c r="F25" s="142"/>
      <c r="G25" s="18"/>
      <c r="H25" s="142"/>
      <c r="I25" s="18"/>
      <c r="J25" s="140"/>
      <c r="K25" s="139"/>
      <c r="L25" s="140"/>
      <c r="M25" s="19"/>
      <c r="N25" s="88"/>
      <c r="O25" s="88"/>
      <c r="P25" s="88"/>
      <c r="Q25" s="88"/>
      <c r="R25" s="88"/>
      <c r="S25" s="88"/>
      <c r="T25" s="88"/>
      <c r="U25" s="88"/>
      <c r="V25" s="88"/>
      <c r="W25" s="88"/>
      <c r="X25" s="88"/>
      <c r="Y25" s="88"/>
      <c r="Z25" s="88"/>
    </row>
    <row r="26" spans="1:26" s="6" customFormat="1" ht="12" customHeight="1" x14ac:dyDescent="0.2">
      <c r="A26" s="2">
        <v>9</v>
      </c>
      <c r="B26" s="14"/>
      <c r="C26" s="23"/>
      <c r="D26" s="17"/>
      <c r="E26" s="15"/>
      <c r="F26" s="137"/>
      <c r="G26" s="18"/>
      <c r="H26" s="80" t="str">
        <f>IF(B26="", "",VLOOKUP(B26,fuelrates,14,FALSE))</f>
        <v/>
      </c>
      <c r="I26" s="18"/>
      <c r="J26" s="138" t="str">
        <f>IF(B26="","",INDEX(fuelrates,MATCH(B26,fuels,0)+1,F$3-2017)*F26)</f>
        <v/>
      </c>
      <c r="K26" s="139"/>
      <c r="L26" s="138" t="str">
        <f>IF(B26="","",VLOOKUP(B26,fuelrates,15,FALSE)*F26)</f>
        <v/>
      </c>
      <c r="M26" s="19"/>
      <c r="N26" s="88"/>
      <c r="O26" s="88"/>
      <c r="P26" s="88"/>
      <c r="Q26" s="88"/>
      <c r="R26" s="88"/>
      <c r="S26" s="88"/>
      <c r="T26" s="88"/>
      <c r="U26" s="88"/>
      <c r="V26" s="88"/>
      <c r="W26" s="88"/>
      <c r="X26" s="88"/>
      <c r="Y26" s="88"/>
      <c r="Z26" s="88"/>
    </row>
    <row r="27" spans="1:26" s="6" customFormat="1" ht="5.25" customHeight="1" x14ac:dyDescent="0.2">
      <c r="A27" s="2"/>
      <c r="B27" s="21"/>
      <c r="C27" s="18"/>
      <c r="D27" s="18"/>
      <c r="E27" s="15"/>
      <c r="F27" s="142"/>
      <c r="G27" s="18"/>
      <c r="H27" s="142"/>
      <c r="I27" s="18"/>
      <c r="J27" s="140"/>
      <c r="K27" s="139"/>
      <c r="L27" s="140"/>
      <c r="M27" s="19"/>
      <c r="N27" s="88"/>
      <c r="O27" s="88"/>
      <c r="P27" s="88"/>
      <c r="Q27" s="88"/>
      <c r="R27" s="88"/>
      <c r="S27" s="88"/>
      <c r="T27" s="88"/>
      <c r="U27" s="88"/>
      <c r="V27" s="88"/>
      <c r="W27" s="88"/>
      <c r="X27" s="88"/>
      <c r="Y27" s="88"/>
      <c r="Z27" s="88"/>
    </row>
    <row r="28" spans="1:26" s="6" customFormat="1" ht="12" customHeight="1" x14ac:dyDescent="0.2">
      <c r="A28" s="2">
        <v>10</v>
      </c>
      <c r="B28" s="14"/>
      <c r="C28" s="16"/>
      <c r="D28" s="17"/>
      <c r="E28" s="15"/>
      <c r="F28" s="137"/>
      <c r="G28" s="18"/>
      <c r="H28" s="80" t="str">
        <f>IF(B28="", "",VLOOKUP(B28,fuelrates,14,FALSE))</f>
        <v/>
      </c>
      <c r="I28" s="18"/>
      <c r="J28" s="138" t="str">
        <f>IF(B28="","",INDEX(fuelrates,MATCH(B28,fuels,0)+1,F$3-2017)*F28)</f>
        <v/>
      </c>
      <c r="K28" s="139"/>
      <c r="L28" s="138" t="str">
        <f>IF(B28="","",VLOOKUP(B28,fuelrates,15,FALSE)*F28)</f>
        <v/>
      </c>
      <c r="M28" s="19"/>
      <c r="N28" s="88"/>
      <c r="O28" s="88"/>
      <c r="P28" s="88"/>
      <c r="Q28" s="88"/>
      <c r="R28" s="88"/>
      <c r="S28" s="88"/>
      <c r="T28" s="88"/>
      <c r="U28" s="88"/>
      <c r="V28" s="88"/>
      <c r="W28" s="88"/>
      <c r="X28" s="88"/>
      <c r="Y28" s="88"/>
      <c r="Z28" s="88"/>
    </row>
    <row r="29" spans="1:26" s="6" customFormat="1" ht="5.25" customHeight="1" x14ac:dyDescent="0.2">
      <c r="A29" s="2"/>
      <c r="B29" s="21"/>
      <c r="C29" s="18"/>
      <c r="D29" s="18"/>
      <c r="E29" s="15"/>
      <c r="F29" s="142"/>
      <c r="G29" s="18"/>
      <c r="H29" s="142"/>
      <c r="I29" s="18"/>
      <c r="J29" s="140"/>
      <c r="K29" s="139"/>
      <c r="L29" s="140"/>
      <c r="M29" s="19"/>
      <c r="N29" s="88"/>
      <c r="O29" s="88"/>
      <c r="P29" s="88"/>
      <c r="Q29" s="88"/>
      <c r="R29" s="88"/>
      <c r="S29" s="88"/>
      <c r="T29" s="88"/>
      <c r="U29" s="88"/>
      <c r="V29" s="88"/>
      <c r="W29" s="88"/>
      <c r="X29" s="88"/>
      <c r="Y29" s="88"/>
      <c r="Z29" s="88"/>
    </row>
    <row r="30" spans="1:26" s="6" customFormat="1" ht="12" customHeight="1" x14ac:dyDescent="0.2">
      <c r="A30" s="2">
        <v>11</v>
      </c>
      <c r="B30" s="14"/>
      <c r="C30" s="16"/>
      <c r="D30" s="17"/>
      <c r="E30" s="15"/>
      <c r="F30" s="137"/>
      <c r="G30" s="18"/>
      <c r="H30" s="80" t="str">
        <f>IF(B30="", "",VLOOKUP(B30,fuelrates,14,FALSE))</f>
        <v/>
      </c>
      <c r="I30" s="18"/>
      <c r="J30" s="138" t="str">
        <f>IF(B30="","",INDEX(fuelrates,MATCH(B30,fuels,0)+1,F$3-2017)*F30)</f>
        <v/>
      </c>
      <c r="K30" s="139"/>
      <c r="L30" s="138" t="str">
        <f>IF(B30="","",VLOOKUP(B30,fuelrates,15,FALSE)*F30)</f>
        <v/>
      </c>
      <c r="M30" s="19"/>
      <c r="N30" s="88"/>
      <c r="O30" s="88"/>
      <c r="P30" s="88"/>
      <c r="Q30" s="88"/>
      <c r="R30" s="88"/>
      <c r="S30" s="88"/>
      <c r="T30" s="88"/>
      <c r="U30" s="88"/>
      <c r="V30" s="88"/>
      <c r="W30" s="88"/>
      <c r="X30" s="88"/>
      <c r="Y30" s="88"/>
      <c r="Z30" s="88"/>
    </row>
    <row r="31" spans="1:26" s="6" customFormat="1" ht="5.25" customHeight="1" x14ac:dyDescent="0.2">
      <c r="A31" s="2"/>
      <c r="B31" s="21"/>
      <c r="C31" s="18"/>
      <c r="D31" s="18"/>
      <c r="E31" s="15"/>
      <c r="F31" s="142"/>
      <c r="G31" s="18"/>
      <c r="H31" s="142"/>
      <c r="I31" s="18"/>
      <c r="J31" s="140"/>
      <c r="K31" s="139"/>
      <c r="L31" s="140"/>
      <c r="M31" s="19"/>
      <c r="N31" s="88"/>
      <c r="O31" s="88"/>
      <c r="P31" s="88"/>
      <c r="Q31" s="88"/>
      <c r="R31" s="88"/>
      <c r="S31" s="88"/>
      <c r="T31" s="88"/>
      <c r="U31" s="88"/>
      <c r="V31" s="88"/>
      <c r="W31" s="88"/>
      <c r="X31" s="88"/>
      <c r="Y31" s="88"/>
      <c r="Z31" s="88"/>
    </row>
    <row r="32" spans="1:26" s="6" customFormat="1" ht="12" customHeight="1" x14ac:dyDescent="0.2">
      <c r="A32" s="2">
        <v>12</v>
      </c>
      <c r="B32" s="14"/>
      <c r="C32" s="16"/>
      <c r="D32" s="17"/>
      <c r="E32" s="15"/>
      <c r="F32" s="137"/>
      <c r="G32" s="18"/>
      <c r="H32" s="80" t="str">
        <f>IF(B32="", "",VLOOKUP(B32,fuelrates,14,FALSE))</f>
        <v/>
      </c>
      <c r="I32" s="18"/>
      <c r="J32" s="138" t="str">
        <f>IF(B32="","",INDEX(fuelrates,MATCH(B32,fuels,0)+1,F$3-2017)*F32)</f>
        <v/>
      </c>
      <c r="K32" s="139"/>
      <c r="L32" s="138" t="str">
        <f>IF(B32="","",VLOOKUP(B32,fuelrates,15,FALSE)*F32)</f>
        <v/>
      </c>
      <c r="M32" s="19"/>
      <c r="N32" s="88"/>
      <c r="O32" s="88"/>
      <c r="P32" s="88"/>
      <c r="Q32" s="88"/>
      <c r="R32" s="88"/>
      <c r="S32" s="88"/>
      <c r="T32" s="88"/>
      <c r="U32" s="88"/>
      <c r="V32" s="88"/>
      <c r="W32" s="88"/>
      <c r="X32" s="88"/>
      <c r="Y32" s="88"/>
      <c r="Z32" s="88"/>
    </row>
    <row r="33" spans="1:26" s="6" customFormat="1" ht="5.25" customHeight="1" x14ac:dyDescent="0.2">
      <c r="A33" s="2"/>
      <c r="B33" s="21"/>
      <c r="C33" s="18"/>
      <c r="D33" s="18"/>
      <c r="E33" s="15"/>
      <c r="F33" s="142"/>
      <c r="G33" s="18"/>
      <c r="H33" s="142"/>
      <c r="I33" s="18"/>
      <c r="J33" s="140"/>
      <c r="K33" s="139"/>
      <c r="L33" s="140"/>
      <c r="M33" s="19"/>
      <c r="N33" s="88"/>
      <c r="O33" s="88"/>
      <c r="P33" s="88"/>
      <c r="Q33" s="88"/>
      <c r="R33" s="88"/>
      <c r="S33" s="88"/>
      <c r="T33" s="88"/>
      <c r="U33" s="88"/>
      <c r="V33" s="88"/>
      <c r="W33" s="88"/>
      <c r="X33" s="88"/>
      <c r="Y33" s="88"/>
      <c r="Z33" s="88"/>
    </row>
    <row r="34" spans="1:26" s="6" customFormat="1" ht="12" customHeight="1" x14ac:dyDescent="0.2">
      <c r="A34" s="2">
        <v>13</v>
      </c>
      <c r="B34" s="14"/>
      <c r="C34" s="16"/>
      <c r="D34" s="17"/>
      <c r="E34" s="15"/>
      <c r="F34" s="137"/>
      <c r="G34" s="18"/>
      <c r="H34" s="80" t="str">
        <f>IF(B34="", "",VLOOKUP(B34,fuelrates,14,FALSE))</f>
        <v/>
      </c>
      <c r="I34" s="18"/>
      <c r="J34" s="138" t="str">
        <f>IF(B34="","",INDEX(fuelrates,MATCH(B34,fuels,0)+1,F$3-2017)*F34)</f>
        <v/>
      </c>
      <c r="K34" s="139"/>
      <c r="L34" s="138" t="str">
        <f>IF(B34="","",VLOOKUP(B34,fuelrates,15,FALSE)*F34)</f>
        <v/>
      </c>
      <c r="M34" s="19"/>
      <c r="N34" s="88"/>
      <c r="O34" s="88"/>
      <c r="P34" s="88"/>
      <c r="Q34" s="88"/>
      <c r="R34" s="88"/>
      <c r="S34" s="88"/>
      <c r="T34" s="88"/>
      <c r="U34" s="88"/>
      <c r="V34" s="88"/>
      <c r="W34" s="88"/>
      <c r="X34" s="88"/>
      <c r="Y34" s="88"/>
      <c r="Z34" s="88"/>
    </row>
    <row r="35" spans="1:26" s="6" customFormat="1" ht="5.25" customHeight="1" x14ac:dyDescent="0.2">
      <c r="A35" s="2"/>
      <c r="B35" s="21"/>
      <c r="C35" s="18"/>
      <c r="D35" s="18"/>
      <c r="E35" s="15"/>
      <c r="F35" s="142"/>
      <c r="G35" s="18"/>
      <c r="H35" s="142"/>
      <c r="I35" s="18"/>
      <c r="J35" s="140"/>
      <c r="K35" s="139"/>
      <c r="L35" s="140"/>
      <c r="M35" s="19"/>
      <c r="N35" s="88"/>
      <c r="O35" s="88"/>
      <c r="P35" s="88"/>
      <c r="Q35" s="88"/>
      <c r="R35" s="88"/>
      <c r="S35" s="88"/>
      <c r="T35" s="88"/>
      <c r="U35" s="88"/>
      <c r="V35" s="88"/>
      <c r="W35" s="88"/>
      <c r="X35" s="88"/>
      <c r="Y35" s="88"/>
      <c r="Z35" s="88"/>
    </row>
    <row r="36" spans="1:26" s="6" customFormat="1" ht="12" customHeight="1" x14ac:dyDescent="0.2">
      <c r="A36" s="2">
        <v>14</v>
      </c>
      <c r="B36" s="14"/>
      <c r="C36" s="16"/>
      <c r="D36" s="17"/>
      <c r="E36" s="15"/>
      <c r="F36" s="137"/>
      <c r="G36" s="18"/>
      <c r="H36" s="80" t="str">
        <f>IF(B36="", "",VLOOKUP(B36,fuelrates,14,FALSE))</f>
        <v/>
      </c>
      <c r="I36" s="18"/>
      <c r="J36" s="138" t="str">
        <f>IF(B36="","",INDEX(fuelrates,MATCH(B36,fuels,0)+1,F$3-2017)*F36)</f>
        <v/>
      </c>
      <c r="K36" s="139"/>
      <c r="L36" s="138" t="str">
        <f>IF(B36="","",VLOOKUP(B36,fuelrates,15,FALSE)*F36)</f>
        <v/>
      </c>
      <c r="M36" s="19"/>
      <c r="N36" s="88"/>
      <c r="O36" s="88"/>
      <c r="P36" s="88"/>
      <c r="Q36" s="88"/>
      <c r="R36" s="88"/>
      <c r="S36" s="88"/>
      <c r="T36" s="88"/>
      <c r="U36" s="88"/>
      <c r="V36" s="88"/>
      <c r="W36" s="88"/>
      <c r="X36" s="88"/>
      <c r="Y36" s="88"/>
      <c r="Z36" s="88"/>
    </row>
    <row r="37" spans="1:26" s="6" customFormat="1" ht="5.25" customHeight="1" x14ac:dyDescent="0.2">
      <c r="A37" s="2"/>
      <c r="B37" s="21"/>
      <c r="C37" s="18"/>
      <c r="D37" s="18"/>
      <c r="E37" s="15"/>
      <c r="F37" s="142"/>
      <c r="G37" s="18"/>
      <c r="H37" s="142"/>
      <c r="I37" s="18"/>
      <c r="J37" s="140"/>
      <c r="K37" s="139"/>
      <c r="L37" s="140"/>
      <c r="M37" s="19"/>
      <c r="N37" s="88"/>
      <c r="O37" s="88"/>
      <c r="P37" s="88"/>
      <c r="Q37" s="88"/>
      <c r="R37" s="88"/>
      <c r="S37" s="88"/>
      <c r="T37" s="88"/>
      <c r="U37" s="88"/>
      <c r="V37" s="88"/>
      <c r="W37" s="88"/>
      <c r="X37" s="88"/>
      <c r="Y37" s="88"/>
      <c r="Z37" s="88"/>
    </row>
    <row r="38" spans="1:26" s="6" customFormat="1" ht="12" customHeight="1" x14ac:dyDescent="0.2">
      <c r="A38" s="2">
        <v>15</v>
      </c>
      <c r="B38" s="14"/>
      <c r="C38" s="16"/>
      <c r="D38" s="17"/>
      <c r="E38" s="15"/>
      <c r="F38" s="137"/>
      <c r="G38" s="18"/>
      <c r="H38" s="80" t="str">
        <f>IF(B38="", "",VLOOKUP(B38,fuelrates,14,FALSE))</f>
        <v/>
      </c>
      <c r="I38" s="18"/>
      <c r="J38" s="138" t="str">
        <f>IF(B38="","",INDEX(fuelrates,MATCH(B38,fuels,0)+1,F$3-2017)*F38)</f>
        <v/>
      </c>
      <c r="K38" s="139"/>
      <c r="L38" s="138" t="str">
        <f>IF(B38="","",VLOOKUP(B38,fuelrates,15,FALSE)*F38)</f>
        <v/>
      </c>
      <c r="M38" s="19"/>
      <c r="N38" s="88"/>
      <c r="O38" s="88"/>
      <c r="P38" s="88"/>
      <c r="Q38" s="88"/>
      <c r="R38" s="88"/>
      <c r="S38" s="88"/>
      <c r="T38" s="88"/>
      <c r="U38" s="88"/>
      <c r="V38" s="88"/>
      <c r="W38" s="88"/>
      <c r="X38" s="88"/>
      <c r="Y38" s="88"/>
      <c r="Z38" s="88"/>
    </row>
    <row r="39" spans="1:26" s="6" customFormat="1" ht="5.25" customHeight="1" x14ac:dyDescent="0.2">
      <c r="A39" s="2"/>
      <c r="B39" s="21"/>
      <c r="C39" s="18"/>
      <c r="D39" s="18"/>
      <c r="E39" s="15"/>
      <c r="F39" s="143"/>
      <c r="G39" s="18"/>
      <c r="H39" s="142"/>
      <c r="I39" s="18"/>
      <c r="J39" s="140"/>
      <c r="K39" s="139"/>
      <c r="L39" s="140"/>
      <c r="M39" s="19"/>
      <c r="N39" s="88"/>
      <c r="O39" s="88"/>
      <c r="P39" s="88"/>
      <c r="Q39" s="88"/>
      <c r="R39" s="88"/>
      <c r="S39" s="88"/>
      <c r="T39" s="88"/>
      <c r="U39" s="88"/>
      <c r="V39" s="88"/>
      <c r="W39" s="88"/>
      <c r="X39" s="88"/>
      <c r="Y39" s="88"/>
      <c r="Z39" s="88"/>
    </row>
    <row r="40" spans="1:26" s="6" customFormat="1" ht="12" customHeight="1" x14ac:dyDescent="0.2">
      <c r="A40" s="2">
        <v>16</v>
      </c>
      <c r="B40" s="14"/>
      <c r="C40" s="16"/>
      <c r="D40" s="17"/>
      <c r="E40" s="15"/>
      <c r="F40" s="137"/>
      <c r="G40" s="18"/>
      <c r="H40" s="80" t="str">
        <f>IF(B40="", "",VLOOKUP(B40,fuelrates,14,FALSE))</f>
        <v/>
      </c>
      <c r="I40" s="18"/>
      <c r="J40" s="138" t="str">
        <f>IF(B40="","",INDEX(fuelrates,MATCH(B40,fuels,0)+1,F$3-2017)*F40)</f>
        <v/>
      </c>
      <c r="K40" s="139"/>
      <c r="L40" s="138" t="str">
        <f>IF(B40="","",VLOOKUP(B40,fuelrates,15,FALSE)*F40)</f>
        <v/>
      </c>
      <c r="M40" s="19"/>
      <c r="N40" s="88"/>
      <c r="O40" s="88"/>
      <c r="P40" s="88"/>
      <c r="Q40" s="88"/>
      <c r="R40" s="88"/>
      <c r="S40" s="88"/>
      <c r="T40" s="88"/>
      <c r="U40" s="88"/>
      <c r="V40" s="88"/>
      <c r="W40" s="88"/>
      <c r="X40" s="88"/>
      <c r="Y40" s="88"/>
      <c r="Z40" s="88"/>
    </row>
    <row r="41" spans="1:26" s="6" customFormat="1" ht="5.25" customHeight="1" x14ac:dyDescent="0.2">
      <c r="A41" s="2"/>
      <c r="B41" s="21"/>
      <c r="C41" s="18"/>
      <c r="D41" s="18"/>
      <c r="E41" s="15"/>
      <c r="F41" s="143"/>
      <c r="G41" s="18"/>
      <c r="H41" s="142"/>
      <c r="I41" s="18"/>
      <c r="J41" s="139"/>
      <c r="K41" s="139"/>
      <c r="L41" s="139"/>
      <c r="M41" s="19"/>
      <c r="N41" s="88"/>
      <c r="O41" s="88"/>
      <c r="P41" s="88"/>
      <c r="Q41" s="88"/>
      <c r="R41" s="88"/>
      <c r="S41" s="88"/>
      <c r="T41" s="109"/>
      <c r="U41" s="88"/>
      <c r="V41" s="88"/>
      <c r="W41" s="88"/>
      <c r="X41" s="88"/>
      <c r="Y41" s="88"/>
      <c r="Z41" s="88"/>
    </row>
    <row r="42" spans="1:26" s="6" customFormat="1" ht="12" customHeight="1" x14ac:dyDescent="0.2">
      <c r="A42" s="2">
        <v>17</v>
      </c>
      <c r="B42" s="14"/>
      <c r="C42" s="16"/>
      <c r="D42" s="17"/>
      <c r="E42" s="15"/>
      <c r="F42" s="137"/>
      <c r="G42" s="18"/>
      <c r="H42" s="80" t="str">
        <f>IF(B42="", "",VLOOKUP(B42,fuelrates,14,FALSE))</f>
        <v/>
      </c>
      <c r="I42" s="18"/>
      <c r="J42" s="138" t="str">
        <f>IF(B42="","",INDEX(fuelrates,MATCH(B42,fuels,0)+1,F$3-2017)*F42)</f>
        <v/>
      </c>
      <c r="K42" s="139"/>
      <c r="L42" s="138" t="str">
        <f>IF(B42="","",VLOOKUP(B42,fuelrates,15,FALSE)*F42)</f>
        <v/>
      </c>
      <c r="M42" s="19"/>
      <c r="N42" s="88"/>
      <c r="O42" s="88"/>
      <c r="P42" s="88"/>
      <c r="Q42" s="88"/>
      <c r="R42" s="88"/>
      <c r="S42" s="88"/>
      <c r="T42" s="88"/>
      <c r="U42" s="88"/>
      <c r="V42" s="88"/>
      <c r="W42" s="88"/>
      <c r="X42" s="88"/>
      <c r="Y42" s="88"/>
      <c r="Z42" s="88"/>
    </row>
    <row r="43" spans="1:26" s="6" customFormat="1" ht="5.25" customHeight="1" x14ac:dyDescent="0.2">
      <c r="A43" s="2"/>
      <c r="B43" s="21"/>
      <c r="C43" s="18"/>
      <c r="D43" s="18"/>
      <c r="E43" s="15"/>
      <c r="F43" s="143"/>
      <c r="G43" s="18"/>
      <c r="H43" s="142"/>
      <c r="I43" s="18"/>
      <c r="J43" s="140"/>
      <c r="K43" s="139"/>
      <c r="L43" s="140"/>
      <c r="M43" s="19"/>
      <c r="N43" s="88"/>
      <c r="O43" s="88"/>
      <c r="P43" s="88"/>
      <c r="Q43" s="88"/>
      <c r="R43" s="88"/>
      <c r="S43" s="88"/>
      <c r="T43" s="88"/>
      <c r="U43" s="88"/>
      <c r="V43" s="88"/>
      <c r="W43" s="88"/>
      <c r="X43" s="88"/>
      <c r="Y43" s="88"/>
      <c r="Z43" s="88"/>
    </row>
    <row r="44" spans="1:26" s="6" customFormat="1" ht="12" customHeight="1" x14ac:dyDescent="0.2">
      <c r="A44" s="2">
        <v>18</v>
      </c>
      <c r="B44" s="14"/>
      <c r="C44" s="16"/>
      <c r="D44" s="17"/>
      <c r="E44" s="15"/>
      <c r="F44" s="137"/>
      <c r="G44" s="18"/>
      <c r="H44" s="80" t="str">
        <f>IF(B44="", "",VLOOKUP(B44,fuelrates,14,FALSE))</f>
        <v/>
      </c>
      <c r="I44" s="18"/>
      <c r="J44" s="138" t="str">
        <f>IF(B44="","",INDEX(fuelrates,MATCH(B44,fuels,0)+1,F$3-2017)*F44)</f>
        <v/>
      </c>
      <c r="K44" s="139"/>
      <c r="L44" s="138" t="str">
        <f>IF(B44="","",VLOOKUP(B44,fuelrates,15,FALSE)*F44)</f>
        <v/>
      </c>
      <c r="M44" s="19"/>
      <c r="N44" s="88"/>
      <c r="O44" s="88"/>
      <c r="P44" s="88"/>
      <c r="Q44" s="88"/>
      <c r="R44" s="88"/>
      <c r="S44" s="88"/>
      <c r="T44" s="88"/>
      <c r="U44" s="88"/>
      <c r="V44" s="88"/>
      <c r="W44" s="88"/>
      <c r="X44" s="88"/>
      <c r="Y44" s="88"/>
      <c r="Z44" s="88"/>
    </row>
    <row r="45" spans="1:26" s="6" customFormat="1" ht="5.25" customHeight="1" x14ac:dyDescent="0.2">
      <c r="A45" s="2"/>
      <c r="B45" s="21"/>
      <c r="C45" s="18"/>
      <c r="D45" s="18"/>
      <c r="E45" s="15"/>
      <c r="F45" s="143"/>
      <c r="G45" s="18"/>
      <c r="H45" s="142"/>
      <c r="I45" s="18"/>
      <c r="J45" s="140"/>
      <c r="K45" s="139"/>
      <c r="L45" s="140"/>
      <c r="M45" s="19"/>
      <c r="N45" s="88"/>
      <c r="O45" s="88"/>
      <c r="P45" s="88"/>
      <c r="Q45" s="88"/>
      <c r="R45" s="88"/>
      <c r="S45" s="88"/>
      <c r="T45" s="88"/>
      <c r="U45" s="88"/>
      <c r="V45" s="88"/>
      <c r="W45" s="88"/>
      <c r="X45" s="88"/>
      <c r="Y45" s="88"/>
      <c r="Z45" s="88"/>
    </row>
    <row r="46" spans="1:26" s="6" customFormat="1" ht="12" customHeight="1" x14ac:dyDescent="0.2">
      <c r="A46" s="2">
        <v>19</v>
      </c>
      <c r="B46" s="14"/>
      <c r="C46" s="16"/>
      <c r="D46" s="17"/>
      <c r="E46" s="15"/>
      <c r="F46" s="137"/>
      <c r="G46" s="18"/>
      <c r="H46" s="80" t="str">
        <f>IF(B46="", "",VLOOKUP(B46,fuelrates,14,FALSE))</f>
        <v/>
      </c>
      <c r="I46" s="18"/>
      <c r="J46" s="138" t="str">
        <f>IF(B46="","",INDEX(fuelrates,MATCH(B46,fuels,0)+1,F$3-2017)*F46)</f>
        <v/>
      </c>
      <c r="K46" s="139"/>
      <c r="L46" s="138" t="str">
        <f>IF(B46="","",VLOOKUP(B46,fuelrates,15,FALSE)*F46)</f>
        <v/>
      </c>
      <c r="M46" s="19"/>
      <c r="N46" s="88"/>
      <c r="O46" s="88"/>
      <c r="P46" s="88"/>
      <c r="Q46" s="88"/>
      <c r="R46" s="88"/>
      <c r="S46" s="88"/>
      <c r="T46" s="88"/>
      <c r="U46" s="88"/>
      <c r="V46" s="88"/>
      <c r="W46" s="88"/>
      <c r="X46" s="88"/>
      <c r="Y46" s="88"/>
      <c r="Z46" s="88"/>
    </row>
    <row r="47" spans="1:26" s="6" customFormat="1" ht="5.25" customHeight="1" x14ac:dyDescent="0.2">
      <c r="A47" s="2"/>
      <c r="B47" s="21"/>
      <c r="C47" s="18"/>
      <c r="D47" s="18"/>
      <c r="E47" s="15"/>
      <c r="F47" s="143"/>
      <c r="G47" s="18"/>
      <c r="H47" s="142"/>
      <c r="I47" s="18"/>
      <c r="J47" s="140"/>
      <c r="K47" s="139"/>
      <c r="L47" s="140"/>
      <c r="M47" s="19"/>
      <c r="N47" s="88"/>
      <c r="O47" s="88"/>
      <c r="P47" s="88"/>
      <c r="Q47" s="88"/>
      <c r="R47" s="88"/>
      <c r="S47" s="88"/>
      <c r="T47" s="88"/>
      <c r="U47" s="88"/>
      <c r="V47" s="88"/>
      <c r="W47" s="88"/>
      <c r="X47" s="88"/>
      <c r="Y47" s="88"/>
      <c r="Z47" s="88"/>
    </row>
    <row r="48" spans="1:26" s="6" customFormat="1" ht="12.75" customHeight="1" x14ac:dyDescent="0.2">
      <c r="A48" s="2">
        <v>20</v>
      </c>
      <c r="B48" s="14"/>
      <c r="C48" s="16"/>
      <c r="D48" s="17"/>
      <c r="E48" s="15"/>
      <c r="F48" s="137"/>
      <c r="G48" s="18"/>
      <c r="H48" s="80" t="str">
        <f>IF(B48="", "",VLOOKUP(B48,fuelrates,14,FALSE))</f>
        <v/>
      </c>
      <c r="I48" s="18"/>
      <c r="J48" s="138" t="str">
        <f>IF(B48="","",INDEX(fuelrates,MATCH(B48,fuels,0)+1,F$3-2017)*F48)</f>
        <v/>
      </c>
      <c r="K48" s="139"/>
      <c r="L48" s="138" t="str">
        <f>IF(B48="","",VLOOKUP(B48,fuelrates,15,FALSE)*F48)</f>
        <v/>
      </c>
      <c r="M48" s="19"/>
      <c r="N48" s="88"/>
      <c r="O48" s="88"/>
      <c r="P48" s="88"/>
      <c r="Q48" s="88"/>
      <c r="R48" s="88"/>
      <c r="S48" s="88"/>
      <c r="T48" s="88"/>
      <c r="U48" s="88"/>
      <c r="V48" s="88"/>
      <c r="W48" s="88"/>
      <c r="X48" s="88"/>
      <c r="Y48" s="88"/>
      <c r="Z48" s="88"/>
    </row>
    <row r="49" spans="1:26" s="6" customFormat="1" ht="5.25" customHeight="1" x14ac:dyDescent="0.2">
      <c r="A49" s="2"/>
      <c r="B49" s="22"/>
      <c r="C49" s="18"/>
      <c r="D49" s="18"/>
      <c r="E49" s="15"/>
      <c r="F49" s="24"/>
      <c r="G49" s="18"/>
      <c r="H49" s="18"/>
      <c r="I49" s="18"/>
      <c r="J49" s="139"/>
      <c r="K49" s="139"/>
      <c r="L49" s="139"/>
      <c r="M49" s="19"/>
      <c r="N49" s="88"/>
      <c r="O49" s="88"/>
      <c r="P49" s="90"/>
      <c r="Q49" s="88"/>
      <c r="R49" s="88"/>
      <c r="S49" s="88"/>
      <c r="T49" s="88"/>
      <c r="U49" s="88"/>
      <c r="V49" s="88"/>
      <c r="W49" s="88"/>
      <c r="X49" s="88"/>
      <c r="Y49" s="88"/>
      <c r="Z49" s="88"/>
    </row>
    <row r="50" spans="1:26" s="6" customFormat="1" ht="13.5" customHeight="1" x14ac:dyDescent="0.2">
      <c r="A50" s="18"/>
      <c r="B50" s="22"/>
      <c r="C50" s="18"/>
      <c r="D50" s="18"/>
      <c r="E50" s="15"/>
      <c r="F50" s="24"/>
      <c r="G50" s="18"/>
      <c r="H50" s="25" t="s">
        <v>73</v>
      </c>
      <c r="I50" s="18"/>
      <c r="J50" s="141">
        <f>SUM(J10:J48)</f>
        <v>0</v>
      </c>
      <c r="K50" s="139"/>
      <c r="L50" s="141">
        <f>SUM(L10:L48)</f>
        <v>0</v>
      </c>
      <c r="M50" s="19"/>
      <c r="N50" s="88"/>
      <c r="O50" s="88"/>
      <c r="P50" s="90"/>
      <c r="Q50" s="88"/>
      <c r="R50" s="88"/>
      <c r="S50" s="88"/>
      <c r="T50" s="88"/>
      <c r="U50" s="88"/>
      <c r="V50" s="88"/>
      <c r="W50" s="88"/>
      <c r="X50" s="88"/>
      <c r="Y50" s="88"/>
      <c r="Z50" s="88"/>
    </row>
    <row r="51" spans="1:26" s="6" customFormat="1" ht="5.25" hidden="1" customHeight="1" x14ac:dyDescent="0.2">
      <c r="A51" s="26"/>
      <c r="B51" s="26"/>
      <c r="C51" s="26"/>
      <c r="D51" s="28"/>
      <c r="E51" s="27"/>
      <c r="F51" s="29"/>
      <c r="G51" s="26"/>
      <c r="H51" s="26"/>
      <c r="I51" s="26"/>
      <c r="J51" s="30"/>
      <c r="K51" s="26"/>
      <c r="L51" s="30"/>
      <c r="M51" s="19"/>
      <c r="N51" s="88"/>
      <c r="O51" s="88"/>
      <c r="P51" s="90"/>
      <c r="Q51" s="88"/>
      <c r="R51" s="88"/>
      <c r="S51" s="88"/>
      <c r="T51" s="88"/>
      <c r="U51" s="88"/>
      <c r="V51" s="88"/>
      <c r="W51" s="88"/>
      <c r="X51" s="88"/>
      <c r="Y51" s="88"/>
      <c r="Z51" s="88"/>
    </row>
    <row r="52" spans="1:26" ht="3" customHeight="1" x14ac:dyDescent="0.2">
      <c r="A52" s="31"/>
      <c r="B52" s="18"/>
      <c r="C52" s="18"/>
      <c r="D52" s="18"/>
      <c r="E52" s="18"/>
      <c r="F52" s="24"/>
      <c r="G52" s="18"/>
      <c r="H52" s="18"/>
      <c r="I52" s="18"/>
      <c r="J52" s="18"/>
      <c r="K52" s="18"/>
      <c r="L52" s="18"/>
      <c r="M52" s="19"/>
    </row>
    <row r="53" spans="1:26" s="59" customFormat="1" ht="5.0999999999999996" customHeight="1" x14ac:dyDescent="0.2">
      <c r="A53" s="55"/>
      <c r="B53" s="56"/>
      <c r="C53" s="56"/>
      <c r="D53" s="63"/>
      <c r="E53" s="56"/>
      <c r="F53" s="63"/>
      <c r="G53" s="56"/>
      <c r="H53" s="63"/>
      <c r="I53" s="56"/>
      <c r="J53" s="63"/>
      <c r="K53" s="56"/>
      <c r="L53" s="56"/>
      <c r="M53" s="58"/>
      <c r="N53" s="75"/>
      <c r="O53" s="75"/>
      <c r="P53" s="75"/>
      <c r="Q53" s="75"/>
      <c r="R53" s="75"/>
      <c r="S53" s="75"/>
      <c r="T53" s="75"/>
      <c r="U53" s="75"/>
      <c r="V53" s="75"/>
      <c r="W53" s="75"/>
      <c r="X53" s="75"/>
      <c r="Y53" s="75"/>
      <c r="Z53" s="75"/>
    </row>
    <row r="54" spans="1:26" s="59" customFormat="1" ht="15" customHeight="1" x14ac:dyDescent="0.25">
      <c r="A54" s="130"/>
      <c r="B54" s="130" t="str">
        <f>Introductions!A6</f>
        <v>Legal Authority</v>
      </c>
      <c r="C54" s="130"/>
      <c r="D54" s="130"/>
      <c r="E54" s="130"/>
      <c r="F54" s="130"/>
      <c r="G54" s="130"/>
      <c r="H54" s="130"/>
      <c r="I54" s="130"/>
      <c r="J54" s="130"/>
      <c r="K54" s="130"/>
      <c r="L54" s="130"/>
      <c r="M54" s="131"/>
      <c r="N54" s="75"/>
      <c r="O54" s="75"/>
      <c r="P54" s="75"/>
      <c r="Q54" s="75"/>
      <c r="R54" s="75"/>
      <c r="S54" s="75"/>
      <c r="T54" s="75"/>
      <c r="U54" s="75"/>
      <c r="V54" s="75"/>
      <c r="W54" s="75"/>
      <c r="X54" s="75"/>
      <c r="Y54" s="75"/>
      <c r="Z54" s="75"/>
    </row>
    <row r="55" spans="1:26" s="59" customFormat="1" ht="27.75" customHeight="1" x14ac:dyDescent="0.2">
      <c r="A55" s="55"/>
      <c r="B55" s="177" t="str">
        <f>Introductions!B8</f>
        <v>This workbook is for estimation purposes only and has no legal authority. Facilities should refer to the TIER regulation and standards in determining their true up obligations.</v>
      </c>
      <c r="C55" s="177"/>
      <c r="D55" s="177"/>
      <c r="E55" s="177"/>
      <c r="F55" s="177"/>
      <c r="G55" s="177"/>
      <c r="H55" s="177"/>
      <c r="I55" s="177"/>
      <c r="J55" s="177"/>
      <c r="K55" s="177"/>
      <c r="L55" s="177"/>
      <c r="M55" s="58"/>
      <c r="N55" s="75"/>
      <c r="O55" s="75"/>
      <c r="P55" s="75"/>
      <c r="Q55" s="75"/>
      <c r="R55" s="75"/>
      <c r="S55" s="75"/>
      <c r="T55" s="75"/>
      <c r="U55" s="75"/>
      <c r="V55" s="75"/>
      <c r="W55" s="75"/>
      <c r="X55" s="75"/>
      <c r="Y55" s="75"/>
      <c r="Z55" s="75"/>
    </row>
    <row r="56" spans="1:26" ht="8.25" customHeight="1" thickBot="1" x14ac:dyDescent="0.25">
      <c r="A56" s="33"/>
      <c r="B56" s="34"/>
      <c r="C56" s="34"/>
      <c r="D56" s="34"/>
      <c r="E56" s="34"/>
      <c r="F56" s="34"/>
      <c r="G56" s="34"/>
      <c r="H56" s="34"/>
      <c r="I56" s="34"/>
      <c r="J56" s="34"/>
      <c r="K56" s="34"/>
      <c r="L56" s="34"/>
      <c r="M56" s="35"/>
    </row>
    <row r="57" spans="1:26" s="88" customFormat="1" x14ac:dyDescent="0.2">
      <c r="F57" s="89"/>
      <c r="P57" s="90"/>
    </row>
    <row r="58" spans="1:26" s="88" customFormat="1" x14ac:dyDescent="0.2">
      <c r="F58" s="89"/>
    </row>
    <row r="59" spans="1:26" s="88" customFormat="1" x14ac:dyDescent="0.2">
      <c r="F59" s="89"/>
    </row>
  </sheetData>
  <mergeCells count="1">
    <mergeCell ref="B55:L55"/>
  </mergeCells>
  <dataValidations count="1">
    <dataValidation type="list" allowBlank="1" showInputMessage="1" showErrorMessage="1" prompt="Select the fuel" sqref="B10 B18 B12 B16 B48 B20 B22 B24 B26 B28 B30 B32 B34 B36 B38 B40 B42 B44 B46 B14" xr:uid="{00000000-0002-0000-0300-000000000000}">
      <formula1>fuels</formula1>
    </dataValidation>
  </dataValidations>
  <pageMargins left="0.7" right="0.7" top="0.75" bottom="0.75" header="0.3" footer="0.3"/>
  <pageSetup scale="76" orientation="portrait" r:id="rId1"/>
  <headerFooter alignWithMargins="0">
    <oddFooter>&amp;L_x000D_&amp;1#&amp;"Calibri"&amp;11&amp;K000000 Classification: Public&amp;RTIER_estimation v20.0.xlsx&amp;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Configuration!$G$7:$Q$7</xm:f>
          </x14:formula1>
          <xm:sqref>F3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3:AJ77"/>
  <sheetViews>
    <sheetView workbookViewId="0">
      <selection activeCell="D11" sqref="D11"/>
    </sheetView>
  </sheetViews>
  <sheetFormatPr defaultRowHeight="15" x14ac:dyDescent="0.25"/>
  <cols>
    <col min="3" max="3" width="26" customWidth="1"/>
    <col min="4" max="11" width="9.85546875" bestFit="1" customWidth="1"/>
    <col min="14" max="31" width="8.28515625" customWidth="1"/>
  </cols>
  <sheetData>
    <row r="3" spans="2:36" x14ac:dyDescent="0.25">
      <c r="B3" s="150" t="s">
        <v>168</v>
      </c>
    </row>
    <row r="4" spans="2:36" x14ac:dyDescent="0.25">
      <c r="C4" s="153" t="s">
        <v>105</v>
      </c>
      <c r="D4" s="154">
        <v>0</v>
      </c>
      <c r="E4" s="154">
        <v>0.05</v>
      </c>
      <c r="F4" s="154">
        <v>0.1</v>
      </c>
      <c r="G4" s="154">
        <v>0.11</v>
      </c>
      <c r="H4" s="154">
        <v>0.12</v>
      </c>
      <c r="I4" s="154">
        <v>0.13</v>
      </c>
      <c r="J4" s="154">
        <v>0.14000000000000001</v>
      </c>
      <c r="K4" s="154">
        <v>0.15</v>
      </c>
      <c r="L4" s="154">
        <v>0.16</v>
      </c>
      <c r="M4" s="154">
        <v>0.17</v>
      </c>
      <c r="N4" s="154">
        <v>0.18</v>
      </c>
      <c r="O4" s="154">
        <v>0.19</v>
      </c>
      <c r="P4" s="154">
        <v>0.2</v>
      </c>
      <c r="Q4" s="154">
        <v>0.21</v>
      </c>
      <c r="R4" s="154">
        <v>0.22</v>
      </c>
      <c r="S4" s="154">
        <v>0.23</v>
      </c>
      <c r="T4" s="154">
        <v>0.24</v>
      </c>
      <c r="U4" s="154">
        <v>0.25</v>
      </c>
      <c r="V4" s="154">
        <v>0.26</v>
      </c>
      <c r="W4" s="154">
        <v>0.27</v>
      </c>
      <c r="X4" s="154">
        <v>0.28000000000000003</v>
      </c>
      <c r="Y4" s="154">
        <v>0.28999999999999998</v>
      </c>
      <c r="Z4" s="154">
        <v>0.3</v>
      </c>
      <c r="AA4" s="154">
        <v>0.31</v>
      </c>
      <c r="AB4" s="154">
        <v>0.32</v>
      </c>
      <c r="AC4" s="154">
        <v>0.33</v>
      </c>
      <c r="AD4" s="154">
        <v>0.34</v>
      </c>
      <c r="AE4" s="154">
        <v>0.35</v>
      </c>
      <c r="AF4" s="154">
        <v>0.36</v>
      </c>
      <c r="AG4" s="154">
        <v>0.37</v>
      </c>
      <c r="AH4" s="154">
        <v>0.38</v>
      </c>
      <c r="AI4" s="154">
        <v>0.39</v>
      </c>
      <c r="AJ4" s="154">
        <v>0.4</v>
      </c>
    </row>
    <row r="5" spans="2:36" x14ac:dyDescent="0.25">
      <c r="B5" s="6"/>
      <c r="H5" s="20"/>
      <c r="I5" s="6"/>
    </row>
    <row r="6" spans="2:36" ht="15" customHeight="1" thickBot="1" x14ac:dyDescent="0.3">
      <c r="B6" s="150" t="s">
        <v>169</v>
      </c>
      <c r="H6" s="20"/>
      <c r="I6" s="6"/>
    </row>
    <row r="7" spans="2:36" ht="15.75" thickBot="1" x14ac:dyDescent="0.3">
      <c r="C7" s="113" t="s">
        <v>78</v>
      </c>
      <c r="D7" s="113" t="s">
        <v>170</v>
      </c>
      <c r="E7" s="113" t="s">
        <v>171</v>
      </c>
      <c r="F7" s="113" t="s">
        <v>77</v>
      </c>
      <c r="G7" s="155">
        <v>2020</v>
      </c>
      <c r="H7" s="156">
        <v>2021</v>
      </c>
      <c r="I7" s="156">
        <v>2022</v>
      </c>
      <c r="J7" s="156">
        <v>2023</v>
      </c>
      <c r="K7" s="156">
        <v>2024</v>
      </c>
      <c r="L7" s="156">
        <v>2025</v>
      </c>
      <c r="M7" s="156">
        <v>2026</v>
      </c>
      <c r="N7" s="156">
        <v>2027</v>
      </c>
      <c r="O7" s="156">
        <v>2028</v>
      </c>
      <c r="P7" s="156">
        <v>2029</v>
      </c>
      <c r="Q7" s="156">
        <v>2030</v>
      </c>
    </row>
    <row r="8" spans="2:36" ht="15.75" thickBot="1" x14ac:dyDescent="0.3">
      <c r="C8" s="112" t="s">
        <v>48</v>
      </c>
      <c r="D8" s="112">
        <f>HLOOKUP('LE and Opt-in'!D3,Configuration!G7:Q8,2,FALSE)</f>
        <v>6.173E-2</v>
      </c>
      <c r="E8" s="112">
        <f>I8</f>
        <v>6.2990000000000004E-2</v>
      </c>
      <c r="F8" s="112" t="s">
        <v>79</v>
      </c>
      <c r="G8" s="157">
        <v>6.2990000000000004E-2</v>
      </c>
      <c r="H8" s="153">
        <v>6.2990000000000004E-2</v>
      </c>
      <c r="I8" s="153">
        <v>6.2990000000000004E-2</v>
      </c>
      <c r="J8" s="153">
        <v>6.173E-2</v>
      </c>
      <c r="K8" s="153">
        <v>6.0470000000000003E-2</v>
      </c>
      <c r="L8" s="153">
        <v>5.9209999999999999E-2</v>
      </c>
      <c r="M8" s="153">
        <v>5.7950000000000002E-2</v>
      </c>
      <c r="N8" s="153">
        <v>5.6689999999999997E-2</v>
      </c>
      <c r="O8" s="153">
        <v>5.543E-2</v>
      </c>
      <c r="P8" s="153">
        <v>5.4170000000000003E-2</v>
      </c>
      <c r="Q8" s="153">
        <v>5.2909999999999999E-2</v>
      </c>
    </row>
    <row r="9" spans="2:36" ht="15.75" thickBot="1" x14ac:dyDescent="0.3">
      <c r="C9" s="112" t="s">
        <v>49</v>
      </c>
      <c r="D9" s="112">
        <f>HLOOKUP('LE and Opt-in'!D3,Configuration!G7:Q9,3,FALSE)</f>
        <v>0.36259999999999998</v>
      </c>
      <c r="E9" s="112">
        <f>Be</f>
        <v>0.36259999999999998</v>
      </c>
      <c r="F9" s="112" t="s">
        <v>80</v>
      </c>
      <c r="G9" s="157">
        <v>0.37</v>
      </c>
      <c r="H9" s="153">
        <v>0.37</v>
      </c>
      <c r="I9" s="153">
        <v>0.37</v>
      </c>
      <c r="J9" s="153">
        <v>0.36259999999999998</v>
      </c>
      <c r="K9" s="153">
        <v>0.35520000000000002</v>
      </c>
      <c r="L9" s="153">
        <v>0.3478</v>
      </c>
      <c r="M9" s="153">
        <v>0.34039999999999998</v>
      </c>
      <c r="N9" s="153">
        <v>0.33300000000000002</v>
      </c>
      <c r="O9" s="153">
        <v>0.3256</v>
      </c>
      <c r="P9" s="153">
        <v>0.31819999999999998</v>
      </c>
      <c r="Q9" s="153">
        <v>0.31080000000000002</v>
      </c>
    </row>
    <row r="10" spans="2:36" ht="15.75" thickBot="1" x14ac:dyDescent="0.3">
      <c r="C10" s="112" t="s">
        <v>50</v>
      </c>
      <c r="D10" s="112">
        <f>HLOOKUP('LE and Opt-in'!D3,Configuration!G7:Q10,4,FALSE)</f>
        <v>8.9930000000000003</v>
      </c>
      <c r="E10" s="112">
        <f>I10</f>
        <v>9.0679999999999996</v>
      </c>
      <c r="F10" s="112" t="s">
        <v>81</v>
      </c>
      <c r="G10" s="157">
        <v>9.0679999999999996</v>
      </c>
      <c r="H10" s="153">
        <v>9.0679999999999996</v>
      </c>
      <c r="I10" s="153">
        <v>9.0679999999999996</v>
      </c>
      <c r="J10" s="153">
        <v>8.9930000000000003</v>
      </c>
      <c r="K10" s="153">
        <v>8.9190000000000005</v>
      </c>
      <c r="L10" s="153">
        <v>8.8439999999999994</v>
      </c>
      <c r="M10" s="153">
        <v>8.7690000000000001</v>
      </c>
      <c r="N10" s="153">
        <v>8.6940000000000008</v>
      </c>
      <c r="O10" s="153">
        <v>8.6199999999999992</v>
      </c>
      <c r="P10" s="153">
        <v>8.5449999999999999</v>
      </c>
      <c r="Q10" s="153">
        <v>8.4700000000000006</v>
      </c>
    </row>
    <row r="11" spans="2:36" ht="15.75" thickBot="1" x14ac:dyDescent="0.3">
      <c r="B11" s="6"/>
      <c r="C11" s="112" t="s">
        <v>192</v>
      </c>
      <c r="D11" s="112">
        <f>HLOOKUP(Aggregates!D3,Configuration!G7:Q9,3,FALSE)</f>
        <v>0.36259999999999998</v>
      </c>
      <c r="E11" s="112"/>
      <c r="F11" s="112" t="s">
        <v>80</v>
      </c>
      <c r="H11" s="20"/>
      <c r="I11" s="6"/>
      <c r="K11" s="114"/>
      <c r="L11" s="114"/>
      <c r="M11" s="114"/>
    </row>
    <row r="12" spans="2:36" x14ac:dyDescent="0.25">
      <c r="B12" s="6"/>
      <c r="C12" s="167"/>
      <c r="D12" s="167"/>
      <c r="E12" s="167"/>
      <c r="F12" s="167"/>
      <c r="H12" s="20"/>
      <c r="I12" s="6"/>
      <c r="K12" s="114"/>
      <c r="L12" s="114"/>
      <c r="M12" s="114"/>
    </row>
    <row r="13" spans="2:36" x14ac:dyDescent="0.25">
      <c r="B13" s="150" t="s">
        <v>175</v>
      </c>
      <c r="C13" s="78"/>
      <c r="D13" s="52"/>
      <c r="E13" s="78"/>
      <c r="F13" s="6"/>
      <c r="G13" s="6"/>
      <c r="H13" s="6"/>
      <c r="I13" s="6"/>
    </row>
    <row r="14" spans="2:36" x14ac:dyDescent="0.25">
      <c r="B14" s="6"/>
      <c r="C14" s="183" t="s">
        <v>176</v>
      </c>
      <c r="D14" s="184"/>
      <c r="E14" s="153" t="b">
        <v>0</v>
      </c>
      <c r="F14" s="6"/>
      <c r="G14" s="6"/>
      <c r="H14" s="6"/>
      <c r="I14" s="6"/>
    </row>
    <row r="15" spans="2:36" x14ac:dyDescent="0.25">
      <c r="B15" s="6"/>
      <c r="C15" s="183" t="s">
        <v>177</v>
      </c>
      <c r="D15" s="184"/>
      <c r="E15" s="153" t="b">
        <f>'LE and Opt-in'!D3&gt;2022</f>
        <v>1</v>
      </c>
      <c r="F15" s="6"/>
      <c r="G15" s="6"/>
      <c r="H15" s="6"/>
      <c r="I15" s="6"/>
    </row>
    <row r="16" spans="2:36" x14ac:dyDescent="0.25">
      <c r="B16" s="6"/>
      <c r="C16" s="78"/>
      <c r="D16" s="52"/>
      <c r="E16" s="78"/>
      <c r="F16" s="6"/>
      <c r="G16" s="6"/>
      <c r="H16" s="6"/>
      <c r="I16" s="6"/>
    </row>
    <row r="17" spans="2:17" x14ac:dyDescent="0.25">
      <c r="B17" s="150" t="s">
        <v>178</v>
      </c>
      <c r="C17" s="78"/>
      <c r="D17" s="52"/>
      <c r="E17" s="78"/>
      <c r="F17" s="6"/>
      <c r="G17" s="6"/>
      <c r="H17" s="6"/>
      <c r="I17" s="6"/>
    </row>
    <row r="18" spans="2:17" x14ac:dyDescent="0.25">
      <c r="C18" s="162" t="s">
        <v>1</v>
      </c>
      <c r="D18" s="156">
        <v>2019</v>
      </c>
      <c r="E18" s="156">
        <v>2020</v>
      </c>
      <c r="F18" s="156">
        <v>2021</v>
      </c>
      <c r="G18" s="156">
        <v>2022</v>
      </c>
      <c r="H18" s="156">
        <v>2023</v>
      </c>
      <c r="I18" s="156">
        <v>2024</v>
      </c>
      <c r="J18" s="156">
        <v>2025</v>
      </c>
      <c r="K18" s="156">
        <v>2026</v>
      </c>
      <c r="L18" s="156">
        <v>2027</v>
      </c>
      <c r="M18" s="156">
        <v>2028</v>
      </c>
      <c r="N18" s="156">
        <v>2029</v>
      </c>
      <c r="O18" s="156">
        <v>2030</v>
      </c>
      <c r="P18" s="156" t="s">
        <v>128</v>
      </c>
      <c r="Q18" s="156" t="s">
        <v>124</v>
      </c>
    </row>
    <row r="19" spans="2:17" x14ac:dyDescent="0.25">
      <c r="C19" s="162" t="s">
        <v>27</v>
      </c>
      <c r="D19" s="153"/>
      <c r="E19" s="153">
        <f t="shared" ref="E19:H40" si="0">$O19/$O$42*(D$42*0.25+E$42*0.75)</f>
        <v>6.5854411764705884E-2</v>
      </c>
      <c r="F19" s="153">
        <f t="shared" si="0"/>
        <v>8.9801470588235288E-2</v>
      </c>
      <c r="G19" s="153">
        <f t="shared" si="0"/>
        <v>0.11374852941176471</v>
      </c>
      <c r="H19" s="153">
        <f t="shared" si="0"/>
        <v>0.14667573529411765</v>
      </c>
      <c r="I19" s="153">
        <f t="shared" ref="I19:I40" si="1">E48*0.25+F48*0.75</f>
        <v>0.186725</v>
      </c>
      <c r="J19" s="153">
        <f t="shared" ref="J19:J40" si="2">F48*0.25+G48*0.75</f>
        <v>0.22342499999999998</v>
      </c>
      <c r="K19" s="153">
        <f t="shared" ref="K19:K40" si="3">G48*0.25+H48*0.75</f>
        <v>0.26019999999999999</v>
      </c>
      <c r="L19" s="153">
        <f t="shared" ref="L19:L40" si="4">H48*0.25+I48*0.75</f>
        <v>0.29692499999999999</v>
      </c>
      <c r="M19" s="153">
        <f t="shared" ref="M19:M40" si="5">I48*0.25+J48*0.75</f>
        <v>0.333625</v>
      </c>
      <c r="N19" s="153">
        <f t="shared" ref="N19:N40" si="6">J48*0.25+K48*0.75</f>
        <v>0.37032500000000002</v>
      </c>
      <c r="O19" s="153">
        <f t="shared" ref="O19:O40" si="7">K48*0.25+L48*0.75</f>
        <v>0.40709999999999996</v>
      </c>
      <c r="P19" s="153" t="s">
        <v>110</v>
      </c>
      <c r="Q19" s="153">
        <f t="shared" ref="Q19:Q40" si="8">L48/O$42</f>
        <v>2.4488235294117646E-3</v>
      </c>
    </row>
    <row r="20" spans="2:17" x14ac:dyDescent="0.25">
      <c r="C20" s="162" t="s">
        <v>28</v>
      </c>
      <c r="D20" s="153"/>
      <c r="E20" s="153">
        <f t="shared" si="0"/>
        <v>6.9429411764705892E-2</v>
      </c>
      <c r="F20" s="153">
        <f t="shared" si="0"/>
        <v>9.4676470588235306E-2</v>
      </c>
      <c r="G20" s="153">
        <f t="shared" si="0"/>
        <v>0.11992352941176472</v>
      </c>
      <c r="H20" s="153">
        <f t="shared" si="0"/>
        <v>0.15463823529411766</v>
      </c>
      <c r="I20" s="153">
        <f t="shared" si="1"/>
        <v>0.19682499999999997</v>
      </c>
      <c r="J20" s="153">
        <f t="shared" si="2"/>
        <v>0.2356</v>
      </c>
      <c r="K20" s="153">
        <f t="shared" si="3"/>
        <v>0.27432499999999999</v>
      </c>
      <c r="L20" s="153">
        <f t="shared" si="4"/>
        <v>0.313025</v>
      </c>
      <c r="M20" s="153">
        <f t="shared" si="5"/>
        <v>0.35172500000000001</v>
      </c>
      <c r="N20" s="153">
        <f t="shared" si="6"/>
        <v>0.39042499999999997</v>
      </c>
      <c r="O20" s="153">
        <f t="shared" si="7"/>
        <v>0.42920000000000003</v>
      </c>
      <c r="P20" s="153" t="s">
        <v>110</v>
      </c>
      <c r="Q20" s="153">
        <f t="shared" si="8"/>
        <v>2.5817647058823529E-3</v>
      </c>
    </row>
    <row r="21" spans="2:17" x14ac:dyDescent="0.25">
      <c r="C21" s="162" t="s">
        <v>6</v>
      </c>
      <c r="D21" s="153"/>
      <c r="E21" s="153">
        <f t="shared" si="0"/>
        <v>4.7870220588235299E-2</v>
      </c>
      <c r="F21" s="153">
        <f t="shared" si="0"/>
        <v>6.527757352941177E-2</v>
      </c>
      <c r="G21" s="153">
        <f t="shared" si="0"/>
        <v>8.2684926470588241E-2</v>
      </c>
      <c r="H21" s="153">
        <f t="shared" si="0"/>
        <v>0.10662003676470588</v>
      </c>
      <c r="I21" s="153">
        <f t="shared" si="1"/>
        <v>0.13572500000000001</v>
      </c>
      <c r="J21" s="153">
        <f t="shared" si="2"/>
        <v>0.16242499999999999</v>
      </c>
      <c r="K21" s="153">
        <f t="shared" si="3"/>
        <v>0.18912500000000002</v>
      </c>
      <c r="L21" s="153">
        <f t="shared" si="4"/>
        <v>0.21582499999999999</v>
      </c>
      <c r="M21" s="153">
        <f t="shared" si="5"/>
        <v>0.24252500000000002</v>
      </c>
      <c r="N21" s="153">
        <f t="shared" si="6"/>
        <v>0.26922499999999999</v>
      </c>
      <c r="O21" s="153">
        <f t="shared" si="7"/>
        <v>0.29592499999999999</v>
      </c>
      <c r="P21" s="153" t="s">
        <v>110</v>
      </c>
      <c r="Q21" s="153">
        <f t="shared" si="8"/>
        <v>1.7799999999999999E-3</v>
      </c>
    </row>
    <row r="22" spans="2:17" x14ac:dyDescent="0.25">
      <c r="C22" s="162" t="s">
        <v>29</v>
      </c>
      <c r="D22" s="153"/>
      <c r="E22" s="153">
        <f t="shared" si="0"/>
        <v>85.513272058823517</v>
      </c>
      <c r="F22" s="153">
        <f t="shared" si="0"/>
        <v>116.60900735294116</v>
      </c>
      <c r="G22" s="153">
        <f t="shared" si="0"/>
        <v>147.70474264705879</v>
      </c>
      <c r="H22" s="153">
        <f t="shared" si="0"/>
        <v>190.46137867647056</v>
      </c>
      <c r="I22" s="153">
        <f t="shared" si="1"/>
        <v>242.45499999999998</v>
      </c>
      <c r="J22" s="153">
        <f t="shared" si="2"/>
        <v>290.14750000000004</v>
      </c>
      <c r="K22" s="153">
        <f t="shared" si="3"/>
        <v>337.84499999999997</v>
      </c>
      <c r="L22" s="153">
        <f t="shared" si="4"/>
        <v>385.53749999999997</v>
      </c>
      <c r="M22" s="153">
        <f t="shared" si="5"/>
        <v>433.23500000000001</v>
      </c>
      <c r="N22" s="153">
        <f t="shared" si="6"/>
        <v>480.935</v>
      </c>
      <c r="O22" s="153">
        <f t="shared" si="7"/>
        <v>528.62749999999994</v>
      </c>
      <c r="P22" s="153" t="s">
        <v>111</v>
      </c>
      <c r="Q22" s="153">
        <f t="shared" si="8"/>
        <v>3.1797058823529407</v>
      </c>
    </row>
    <row r="23" spans="2:17" x14ac:dyDescent="0.25">
      <c r="C23" s="162" t="s">
        <v>7</v>
      </c>
      <c r="D23" s="153"/>
      <c r="E23" s="153">
        <f t="shared" si="0"/>
        <v>1.8825367647058822E-2</v>
      </c>
      <c r="F23" s="153">
        <f t="shared" si="0"/>
        <v>2.5670955882352939E-2</v>
      </c>
      <c r="G23" s="153">
        <f t="shared" si="0"/>
        <v>3.2516544117647053E-2</v>
      </c>
      <c r="H23" s="153">
        <f t="shared" si="0"/>
        <v>4.192922794117647E-2</v>
      </c>
      <c r="I23" s="153">
        <f t="shared" si="1"/>
        <v>5.3375000000000006E-2</v>
      </c>
      <c r="J23" s="153">
        <f t="shared" si="2"/>
        <v>6.3875000000000001E-2</v>
      </c>
      <c r="K23" s="153">
        <f t="shared" si="3"/>
        <v>7.4374999999999997E-2</v>
      </c>
      <c r="L23" s="153">
        <f t="shared" si="4"/>
        <v>8.4874999999999992E-2</v>
      </c>
      <c r="M23" s="153">
        <f t="shared" si="5"/>
        <v>9.5375000000000015E-2</v>
      </c>
      <c r="N23" s="153">
        <f t="shared" si="6"/>
        <v>0.105875</v>
      </c>
      <c r="O23" s="153">
        <f t="shared" si="7"/>
        <v>0.11637499999999999</v>
      </c>
      <c r="P23" s="153" t="s">
        <v>112</v>
      </c>
      <c r="Q23" s="153">
        <f t="shared" si="8"/>
        <v>6.9999999999999999E-4</v>
      </c>
    </row>
    <row r="24" spans="2:17" x14ac:dyDescent="0.25">
      <c r="C24" s="162" t="s">
        <v>30</v>
      </c>
      <c r="D24" s="153"/>
      <c r="E24" s="153">
        <f t="shared" si="0"/>
        <v>53.713970588235298</v>
      </c>
      <c r="F24" s="153">
        <f t="shared" si="0"/>
        <v>73.246323529411768</v>
      </c>
      <c r="G24" s="153">
        <f t="shared" si="0"/>
        <v>92.778676470588238</v>
      </c>
      <c r="H24" s="153">
        <f t="shared" si="0"/>
        <v>119.63566176470589</v>
      </c>
      <c r="I24" s="153">
        <f t="shared" si="1"/>
        <v>152.29000000000002</v>
      </c>
      <c r="J24" s="153">
        <f t="shared" si="2"/>
        <v>182.25</v>
      </c>
      <c r="K24" s="153">
        <f t="shared" si="3"/>
        <v>212.20999999999998</v>
      </c>
      <c r="L24" s="153">
        <f t="shared" si="4"/>
        <v>242.17000000000002</v>
      </c>
      <c r="M24" s="153">
        <f t="shared" si="5"/>
        <v>272.13</v>
      </c>
      <c r="N24" s="153">
        <f t="shared" si="6"/>
        <v>302.09000000000003</v>
      </c>
      <c r="O24" s="153">
        <f t="shared" si="7"/>
        <v>332.05</v>
      </c>
      <c r="P24" s="153" t="s">
        <v>111</v>
      </c>
      <c r="Q24" s="153">
        <f t="shared" si="8"/>
        <v>1.9972941176470589</v>
      </c>
    </row>
    <row r="25" spans="2:17" x14ac:dyDescent="0.25">
      <c r="C25" s="162" t="s">
        <v>8</v>
      </c>
      <c r="D25" s="153"/>
      <c r="E25" s="153">
        <f t="shared" si="0"/>
        <v>2.7398897058823531E-2</v>
      </c>
      <c r="F25" s="153">
        <f t="shared" si="0"/>
        <v>3.7362132352941183E-2</v>
      </c>
      <c r="G25" s="153">
        <f t="shared" si="0"/>
        <v>4.732536764705883E-2</v>
      </c>
      <c r="H25" s="153">
        <f t="shared" si="0"/>
        <v>6.1024816176470591E-2</v>
      </c>
      <c r="I25" s="153">
        <f t="shared" si="1"/>
        <v>7.7674999999999994E-2</v>
      </c>
      <c r="J25" s="153">
        <f t="shared" si="2"/>
        <v>9.2975000000000002E-2</v>
      </c>
      <c r="K25" s="153">
        <f t="shared" si="3"/>
        <v>0.10827500000000001</v>
      </c>
      <c r="L25" s="153">
        <f t="shared" si="4"/>
        <v>0.1235</v>
      </c>
      <c r="M25" s="153">
        <f t="shared" si="5"/>
        <v>0.13877500000000001</v>
      </c>
      <c r="N25" s="153">
        <f t="shared" si="6"/>
        <v>0.15407500000000002</v>
      </c>
      <c r="O25" s="153">
        <f t="shared" si="7"/>
        <v>0.169375</v>
      </c>
      <c r="P25" s="153" t="s">
        <v>110</v>
      </c>
      <c r="Q25" s="153">
        <f t="shared" si="8"/>
        <v>1.0188235294117647E-3</v>
      </c>
    </row>
    <row r="26" spans="2:17" x14ac:dyDescent="0.25">
      <c r="C26" s="162" t="s">
        <v>9</v>
      </c>
      <c r="D26" s="153"/>
      <c r="E26" s="153">
        <f t="shared" si="0"/>
        <v>4.4740073529411763E-2</v>
      </c>
      <c r="F26" s="153">
        <f t="shared" si="0"/>
        <v>6.1009191176470585E-2</v>
      </c>
      <c r="G26" s="153">
        <f t="shared" si="0"/>
        <v>7.7278308823529415E-2</v>
      </c>
      <c r="H26" s="153">
        <f t="shared" si="0"/>
        <v>9.9648345588235293E-2</v>
      </c>
      <c r="I26" s="153">
        <f t="shared" si="1"/>
        <v>0.12684999999999999</v>
      </c>
      <c r="J26" s="153">
        <f t="shared" si="2"/>
        <v>0.15184999999999998</v>
      </c>
      <c r="K26" s="153">
        <f t="shared" si="3"/>
        <v>0.17677499999999999</v>
      </c>
      <c r="L26" s="153">
        <f t="shared" si="4"/>
        <v>0.20174999999999998</v>
      </c>
      <c r="M26" s="153">
        <f t="shared" si="5"/>
        <v>0.22667499999999999</v>
      </c>
      <c r="N26" s="153">
        <f t="shared" si="6"/>
        <v>0.25165000000000004</v>
      </c>
      <c r="O26" s="153">
        <f t="shared" si="7"/>
        <v>0.27657500000000002</v>
      </c>
      <c r="P26" s="153" t="s">
        <v>110</v>
      </c>
      <c r="Q26" s="153">
        <f t="shared" si="8"/>
        <v>1.6635294117647058E-3</v>
      </c>
    </row>
    <row r="27" spans="2:17" x14ac:dyDescent="0.25">
      <c r="C27" s="162" t="s">
        <v>31</v>
      </c>
      <c r="D27" s="153"/>
      <c r="E27" s="153">
        <f t="shared" si="0"/>
        <v>5.9209926470588231E-2</v>
      </c>
      <c r="F27" s="153">
        <f t="shared" si="0"/>
        <v>8.0740808823529409E-2</v>
      </c>
      <c r="G27" s="153">
        <f t="shared" si="0"/>
        <v>0.10227169117647059</v>
      </c>
      <c r="H27" s="153">
        <f t="shared" si="0"/>
        <v>0.13187665441176469</v>
      </c>
      <c r="I27" s="153">
        <f t="shared" si="1"/>
        <v>0.16785</v>
      </c>
      <c r="J27" s="153">
        <f t="shared" si="2"/>
        <v>0.20085</v>
      </c>
      <c r="K27" s="153">
        <f t="shared" si="3"/>
        <v>0.23392499999999999</v>
      </c>
      <c r="L27" s="153">
        <f t="shared" si="4"/>
        <v>0.26695000000000002</v>
      </c>
      <c r="M27" s="153">
        <f t="shared" si="5"/>
        <v>0.29994999999999994</v>
      </c>
      <c r="N27" s="153">
        <f t="shared" si="6"/>
        <v>0.33295000000000002</v>
      </c>
      <c r="O27" s="153">
        <f t="shared" si="7"/>
        <v>0.36602499999999999</v>
      </c>
      <c r="P27" s="153" t="s">
        <v>110</v>
      </c>
      <c r="Q27" s="153">
        <f t="shared" si="8"/>
        <v>2.2017647058823532E-3</v>
      </c>
    </row>
    <row r="28" spans="2:17" x14ac:dyDescent="0.25">
      <c r="C28" s="162" t="s">
        <v>10</v>
      </c>
      <c r="D28" s="153"/>
      <c r="E28" s="153">
        <f t="shared" si="0"/>
        <v>8.5727205882352941E-2</v>
      </c>
      <c r="F28" s="153">
        <f t="shared" si="0"/>
        <v>0.11690073529411765</v>
      </c>
      <c r="G28" s="153">
        <f t="shared" si="0"/>
        <v>0.14807426470588236</v>
      </c>
      <c r="H28" s="153">
        <f t="shared" si="0"/>
        <v>0.19093786764705883</v>
      </c>
      <c r="I28" s="153">
        <f t="shared" si="1"/>
        <v>0.24304999999999999</v>
      </c>
      <c r="J28" s="153">
        <f t="shared" si="2"/>
        <v>0.29085000000000005</v>
      </c>
      <c r="K28" s="153">
        <f t="shared" si="3"/>
        <v>0.33865000000000001</v>
      </c>
      <c r="L28" s="153">
        <f t="shared" si="4"/>
        <v>0.38644999999999996</v>
      </c>
      <c r="M28" s="153">
        <f t="shared" si="5"/>
        <v>0.43425000000000002</v>
      </c>
      <c r="N28" s="153">
        <f t="shared" si="6"/>
        <v>0.48212499999999997</v>
      </c>
      <c r="O28" s="153">
        <f t="shared" si="7"/>
        <v>0.52995000000000003</v>
      </c>
      <c r="P28" s="153" t="s">
        <v>110</v>
      </c>
      <c r="Q28" s="153">
        <f t="shared" si="8"/>
        <v>3.1876470588235299E-3</v>
      </c>
    </row>
    <row r="29" spans="2:17" x14ac:dyDescent="0.25">
      <c r="C29" s="162" t="s">
        <v>11</v>
      </c>
      <c r="D29" s="153"/>
      <c r="E29" s="153">
        <f t="shared" si="0"/>
        <v>60.000551470588228</v>
      </c>
      <c r="F29" s="153">
        <f t="shared" si="0"/>
        <v>81.818933823529406</v>
      </c>
      <c r="G29" s="153">
        <f t="shared" si="0"/>
        <v>103.63731617647058</v>
      </c>
      <c r="H29" s="153">
        <f t="shared" si="0"/>
        <v>133.6375919117647</v>
      </c>
      <c r="I29" s="153">
        <f t="shared" si="1"/>
        <v>170.11499999999998</v>
      </c>
      <c r="J29" s="153">
        <f t="shared" si="2"/>
        <v>203.58249999999998</v>
      </c>
      <c r="K29" s="153">
        <f t="shared" si="3"/>
        <v>237.04500000000002</v>
      </c>
      <c r="L29" s="153">
        <f t="shared" si="4"/>
        <v>270.51249999999999</v>
      </c>
      <c r="M29" s="153">
        <f t="shared" si="5"/>
        <v>303.98250000000002</v>
      </c>
      <c r="N29" s="153">
        <f t="shared" si="6"/>
        <v>337.44500000000005</v>
      </c>
      <c r="O29" s="153">
        <f t="shared" si="7"/>
        <v>370.91249999999997</v>
      </c>
      <c r="P29" s="153" t="s">
        <v>111</v>
      </c>
      <c r="Q29" s="153">
        <f t="shared" si="8"/>
        <v>2.2310588235294118</v>
      </c>
    </row>
    <row r="30" spans="2:17" x14ac:dyDescent="0.25">
      <c r="C30" s="162" t="s">
        <v>12</v>
      </c>
      <c r="D30" s="153"/>
      <c r="E30" s="153">
        <f t="shared" si="0"/>
        <v>6.9429411764705892E-2</v>
      </c>
      <c r="F30" s="153">
        <f t="shared" si="0"/>
        <v>9.4676470588235306E-2</v>
      </c>
      <c r="G30" s="153">
        <f t="shared" si="0"/>
        <v>0.11992352941176472</v>
      </c>
      <c r="H30" s="153">
        <f t="shared" si="0"/>
        <v>0.15463823529411766</v>
      </c>
      <c r="I30" s="153">
        <f t="shared" si="1"/>
        <v>0.19682499999999997</v>
      </c>
      <c r="J30" s="153">
        <f t="shared" si="2"/>
        <v>0.2356</v>
      </c>
      <c r="K30" s="153">
        <f t="shared" si="3"/>
        <v>0.27432499999999999</v>
      </c>
      <c r="L30" s="153">
        <f t="shared" si="4"/>
        <v>0.313025</v>
      </c>
      <c r="M30" s="153">
        <f t="shared" si="5"/>
        <v>0.35172500000000001</v>
      </c>
      <c r="N30" s="153">
        <f t="shared" si="6"/>
        <v>0.39042499999999997</v>
      </c>
      <c r="O30" s="153">
        <f t="shared" si="7"/>
        <v>0.42920000000000003</v>
      </c>
      <c r="P30" s="153" t="s">
        <v>110</v>
      </c>
      <c r="Q30" s="153">
        <f t="shared" si="8"/>
        <v>2.5817647058823529E-3</v>
      </c>
    </row>
    <row r="31" spans="2:17" x14ac:dyDescent="0.25">
      <c r="C31" s="162" t="s">
        <v>32</v>
      </c>
      <c r="D31" s="153"/>
      <c r="E31" s="153">
        <f t="shared" si="0"/>
        <v>7.190036764705883E-2</v>
      </c>
      <c r="F31" s="153">
        <f t="shared" si="0"/>
        <v>9.8045955882352959E-2</v>
      </c>
      <c r="G31" s="153">
        <f t="shared" si="0"/>
        <v>0.12419154411764707</v>
      </c>
      <c r="H31" s="153">
        <f t="shared" si="0"/>
        <v>0.16014172794117648</v>
      </c>
      <c r="I31" s="153">
        <f t="shared" si="1"/>
        <v>0.20387500000000003</v>
      </c>
      <c r="J31" s="153">
        <f t="shared" si="2"/>
        <v>0.243975</v>
      </c>
      <c r="K31" s="153">
        <f t="shared" si="3"/>
        <v>0.28407499999999997</v>
      </c>
      <c r="L31" s="153">
        <f t="shared" si="4"/>
        <v>0.32417499999999999</v>
      </c>
      <c r="M31" s="153">
        <f t="shared" si="5"/>
        <v>0.36427500000000002</v>
      </c>
      <c r="N31" s="153">
        <f t="shared" si="6"/>
        <v>0.40437499999999998</v>
      </c>
      <c r="O31" s="153">
        <f t="shared" si="7"/>
        <v>0.44447500000000006</v>
      </c>
      <c r="P31" s="153" t="s">
        <v>110</v>
      </c>
      <c r="Q31" s="153">
        <f t="shared" si="8"/>
        <v>2.6735294117647061E-3</v>
      </c>
    </row>
    <row r="32" spans="2:17" x14ac:dyDescent="0.25">
      <c r="C32" s="162" t="s">
        <v>13</v>
      </c>
      <c r="D32" s="153"/>
      <c r="E32" s="153">
        <f t="shared" si="0"/>
        <v>47.666397058823534</v>
      </c>
      <c r="F32" s="153">
        <f t="shared" si="0"/>
        <v>64.999632352941177</v>
      </c>
      <c r="G32" s="153">
        <f t="shared" si="0"/>
        <v>82.332867647058833</v>
      </c>
      <c r="H32" s="153">
        <f t="shared" si="0"/>
        <v>106.16606617647059</v>
      </c>
      <c r="I32" s="153">
        <f t="shared" si="1"/>
        <v>135.1525</v>
      </c>
      <c r="J32" s="153">
        <f t="shared" si="2"/>
        <v>161.73500000000001</v>
      </c>
      <c r="K32" s="153">
        <f t="shared" si="3"/>
        <v>188.32249999999999</v>
      </c>
      <c r="L32" s="153">
        <f t="shared" si="4"/>
        <v>214.91250000000002</v>
      </c>
      <c r="M32" s="153">
        <f t="shared" si="5"/>
        <v>241.495</v>
      </c>
      <c r="N32" s="153">
        <f t="shared" si="6"/>
        <v>268.08249999999998</v>
      </c>
      <c r="O32" s="153">
        <f t="shared" si="7"/>
        <v>294.66500000000002</v>
      </c>
      <c r="P32" s="153" t="s">
        <v>111</v>
      </c>
      <c r="Q32" s="153">
        <f t="shared" si="8"/>
        <v>1.7724117647058824</v>
      </c>
    </row>
    <row r="33" spans="2:18" x14ac:dyDescent="0.25">
      <c r="C33" s="162" t="s">
        <v>113</v>
      </c>
      <c r="D33" s="153"/>
      <c r="E33" s="153">
        <f t="shared" si="0"/>
        <v>5.1255147058823523E-2</v>
      </c>
      <c r="F33" s="153">
        <f t="shared" si="0"/>
        <v>6.9893382352941166E-2</v>
      </c>
      <c r="G33" s="153">
        <f t="shared" si="0"/>
        <v>8.8531617647058816E-2</v>
      </c>
      <c r="H33" s="153">
        <f t="shared" si="0"/>
        <v>0.11415919117647058</v>
      </c>
      <c r="I33" s="153">
        <f t="shared" si="1"/>
        <v>0.14535000000000001</v>
      </c>
      <c r="J33" s="153">
        <f t="shared" si="2"/>
        <v>0.17394999999999999</v>
      </c>
      <c r="K33" s="153">
        <f t="shared" si="3"/>
        <v>0.20255000000000001</v>
      </c>
      <c r="L33" s="153">
        <f t="shared" si="4"/>
        <v>0.23115000000000002</v>
      </c>
      <c r="M33" s="153">
        <f t="shared" si="5"/>
        <v>0.25975000000000004</v>
      </c>
      <c r="N33" s="153">
        <f t="shared" si="6"/>
        <v>0.288275</v>
      </c>
      <c r="O33" s="153">
        <f t="shared" si="7"/>
        <v>0.31684999999999997</v>
      </c>
      <c r="P33" s="153" t="s">
        <v>112</v>
      </c>
      <c r="Q33" s="153">
        <f t="shared" si="8"/>
        <v>1.9058823529411765E-3</v>
      </c>
    </row>
    <row r="34" spans="2:18" x14ac:dyDescent="0.25">
      <c r="C34" s="162" t="s">
        <v>14</v>
      </c>
      <c r="D34" s="153"/>
      <c r="E34" s="153">
        <f t="shared" si="0"/>
        <v>2.9534191176470593E-2</v>
      </c>
      <c r="F34" s="153">
        <f t="shared" si="0"/>
        <v>4.0273897058823532E-2</v>
      </c>
      <c r="G34" s="153">
        <f t="shared" si="0"/>
        <v>5.1013602941176475E-2</v>
      </c>
      <c r="H34" s="153">
        <f t="shared" si="0"/>
        <v>6.5780698529411777E-2</v>
      </c>
      <c r="I34" s="153">
        <f t="shared" si="1"/>
        <v>8.3700000000000011E-2</v>
      </c>
      <c r="J34" s="153">
        <f t="shared" si="2"/>
        <v>0.100175</v>
      </c>
      <c r="K34" s="153">
        <f t="shared" si="3"/>
        <v>0.116675</v>
      </c>
      <c r="L34" s="153">
        <f t="shared" si="4"/>
        <v>0.13317500000000002</v>
      </c>
      <c r="M34" s="153">
        <f t="shared" si="5"/>
        <v>0.14960000000000001</v>
      </c>
      <c r="N34" s="153">
        <f t="shared" si="6"/>
        <v>0.16607499999999997</v>
      </c>
      <c r="O34" s="153">
        <f t="shared" si="7"/>
        <v>0.18257500000000002</v>
      </c>
      <c r="P34" s="153" t="s">
        <v>110</v>
      </c>
      <c r="Q34" s="153">
        <f t="shared" si="8"/>
        <v>1.098235294117647E-3</v>
      </c>
    </row>
    <row r="35" spans="2:18" x14ac:dyDescent="0.25">
      <c r="C35" s="162" t="s">
        <v>15</v>
      </c>
      <c r="D35" s="153"/>
      <c r="E35" s="153">
        <f t="shared" si="0"/>
        <v>6.0621323529411762E-2</v>
      </c>
      <c r="F35" s="153">
        <f t="shared" si="0"/>
        <v>8.266544117647058E-2</v>
      </c>
      <c r="G35" s="153">
        <f t="shared" si="0"/>
        <v>0.10470955882352941</v>
      </c>
      <c r="H35" s="153">
        <f t="shared" si="0"/>
        <v>0.13502022058823529</v>
      </c>
      <c r="I35" s="153">
        <f t="shared" si="1"/>
        <v>0.17184999999999997</v>
      </c>
      <c r="J35" s="153">
        <f t="shared" si="2"/>
        <v>0.20572500000000002</v>
      </c>
      <c r="K35" s="153">
        <f t="shared" si="3"/>
        <v>0.23954999999999999</v>
      </c>
      <c r="L35" s="153">
        <f t="shared" si="4"/>
        <v>0.27334999999999998</v>
      </c>
      <c r="M35" s="153">
        <f t="shared" si="5"/>
        <v>0.30714999999999998</v>
      </c>
      <c r="N35" s="153">
        <f t="shared" si="6"/>
        <v>0.34094999999999998</v>
      </c>
      <c r="O35" s="153">
        <f t="shared" si="7"/>
        <v>0.37474999999999997</v>
      </c>
      <c r="P35" s="153" t="s">
        <v>110</v>
      </c>
      <c r="Q35" s="153">
        <f t="shared" si="8"/>
        <v>2.2541176470588235E-3</v>
      </c>
    </row>
    <row r="36" spans="2:18" x14ac:dyDescent="0.25">
      <c r="C36" s="162" t="s">
        <v>123</v>
      </c>
      <c r="D36" s="153"/>
      <c r="E36" s="153">
        <f t="shared" si="0"/>
        <v>6.8422426470588243E-2</v>
      </c>
      <c r="F36" s="153">
        <f t="shared" si="0"/>
        <v>9.3303308823529413E-2</v>
      </c>
      <c r="G36" s="153">
        <f t="shared" si="0"/>
        <v>0.1181841911764706</v>
      </c>
      <c r="H36" s="153">
        <f t="shared" si="0"/>
        <v>0.15239540441176472</v>
      </c>
      <c r="I36" s="153">
        <f t="shared" si="1"/>
        <v>0.19397499999999998</v>
      </c>
      <c r="J36" s="153">
        <f t="shared" si="2"/>
        <v>0.23215</v>
      </c>
      <c r="K36" s="153">
        <f t="shared" si="3"/>
        <v>0.27034999999999998</v>
      </c>
      <c r="L36" s="153">
        <f t="shared" si="4"/>
        <v>0.308475</v>
      </c>
      <c r="M36" s="153">
        <f t="shared" si="5"/>
        <v>0.34665000000000001</v>
      </c>
      <c r="N36" s="153">
        <f t="shared" si="6"/>
        <v>0.38484999999999997</v>
      </c>
      <c r="O36" s="153">
        <f t="shared" si="7"/>
        <v>0.42297499999999999</v>
      </c>
      <c r="P36" s="153" t="s">
        <v>112</v>
      </c>
      <c r="Q36" s="153">
        <f t="shared" si="8"/>
        <v>2.5441176470588234E-3</v>
      </c>
    </row>
    <row r="37" spans="2:18" x14ac:dyDescent="0.25">
      <c r="C37" s="162" t="s">
        <v>33</v>
      </c>
      <c r="D37" s="153"/>
      <c r="E37" s="153">
        <f t="shared" si="0"/>
        <v>0.10145073529411765</v>
      </c>
      <c r="F37" s="153">
        <f t="shared" si="0"/>
        <v>0.13834191176470589</v>
      </c>
      <c r="G37" s="153">
        <f t="shared" si="0"/>
        <v>0.17523308823529413</v>
      </c>
      <c r="H37" s="153">
        <f t="shared" si="0"/>
        <v>0.22595845588235294</v>
      </c>
      <c r="I37" s="153">
        <f t="shared" si="1"/>
        <v>0.28765000000000002</v>
      </c>
      <c r="J37" s="153">
        <f t="shared" si="2"/>
        <v>0.34425</v>
      </c>
      <c r="K37" s="153">
        <f t="shared" si="3"/>
        <v>0.40077499999999999</v>
      </c>
      <c r="L37" s="153">
        <f t="shared" si="4"/>
        <v>0.45734999999999998</v>
      </c>
      <c r="M37" s="153">
        <f t="shared" si="5"/>
        <v>0.51395000000000002</v>
      </c>
      <c r="N37" s="153">
        <f t="shared" si="6"/>
        <v>0.57055</v>
      </c>
      <c r="O37" s="153">
        <f t="shared" si="7"/>
        <v>0.62714999999999999</v>
      </c>
      <c r="P37" s="153" t="s">
        <v>110</v>
      </c>
      <c r="Q37" s="153">
        <f t="shared" si="8"/>
        <v>3.7723529411764706E-3</v>
      </c>
    </row>
    <row r="38" spans="2:18" x14ac:dyDescent="0.25">
      <c r="C38" s="162" t="s">
        <v>34</v>
      </c>
      <c r="D38" s="153"/>
      <c r="E38" s="153">
        <f t="shared" si="0"/>
        <v>4.7870220588235299E-2</v>
      </c>
      <c r="F38" s="153">
        <f t="shared" si="0"/>
        <v>6.527757352941177E-2</v>
      </c>
      <c r="G38" s="153">
        <f t="shared" si="0"/>
        <v>8.2684926470588241E-2</v>
      </c>
      <c r="H38" s="153">
        <f t="shared" si="0"/>
        <v>0.10662003676470588</v>
      </c>
      <c r="I38" s="153">
        <f t="shared" si="1"/>
        <v>0.13572500000000001</v>
      </c>
      <c r="J38" s="153">
        <f t="shared" si="2"/>
        <v>0.16242499999999999</v>
      </c>
      <c r="K38" s="153">
        <f t="shared" si="3"/>
        <v>0.18912500000000002</v>
      </c>
      <c r="L38" s="153">
        <f t="shared" si="4"/>
        <v>0.21582499999999999</v>
      </c>
      <c r="M38" s="153">
        <f t="shared" si="5"/>
        <v>0.24252500000000002</v>
      </c>
      <c r="N38" s="153">
        <f t="shared" si="6"/>
        <v>0.26922499999999999</v>
      </c>
      <c r="O38" s="153">
        <f t="shared" si="7"/>
        <v>0.29592499999999999</v>
      </c>
      <c r="P38" s="153" t="s">
        <v>110</v>
      </c>
      <c r="Q38" s="153">
        <f t="shared" si="8"/>
        <v>1.7799999999999999E-3</v>
      </c>
    </row>
    <row r="39" spans="2:18" x14ac:dyDescent="0.25">
      <c r="C39" s="162" t="s">
        <v>17</v>
      </c>
      <c r="D39" s="153"/>
      <c r="E39" s="153">
        <f t="shared" si="0"/>
        <v>4.1622058823529408E-2</v>
      </c>
      <c r="F39" s="153">
        <f t="shared" si="0"/>
        <v>5.675735294117646E-2</v>
      </c>
      <c r="G39" s="153">
        <f t="shared" si="0"/>
        <v>7.1892647058823519E-2</v>
      </c>
      <c r="H39" s="153">
        <f t="shared" si="0"/>
        <v>9.270367647058822E-2</v>
      </c>
      <c r="I39" s="153">
        <f t="shared" si="1"/>
        <v>0.11799999999999999</v>
      </c>
      <c r="J39" s="153">
        <f t="shared" si="2"/>
        <v>0.14119999999999999</v>
      </c>
      <c r="K39" s="153">
        <f t="shared" si="3"/>
        <v>0.16447500000000001</v>
      </c>
      <c r="L39" s="153">
        <f t="shared" si="4"/>
        <v>0.18770000000000001</v>
      </c>
      <c r="M39" s="153">
        <f t="shared" si="5"/>
        <v>0.2109</v>
      </c>
      <c r="N39" s="153">
        <f t="shared" si="6"/>
        <v>0.2341</v>
      </c>
      <c r="O39" s="153">
        <f t="shared" si="7"/>
        <v>0.25729999999999997</v>
      </c>
      <c r="P39" s="153" t="s">
        <v>110</v>
      </c>
      <c r="Q39" s="153">
        <f t="shared" si="8"/>
        <v>1.5476470588235295E-3</v>
      </c>
    </row>
    <row r="40" spans="2:18" x14ac:dyDescent="0.25">
      <c r="C40" s="162" t="s">
        <v>35</v>
      </c>
      <c r="D40" s="153"/>
      <c r="E40" s="153">
        <f t="shared" si="0"/>
        <v>5.7741911764705875E-2</v>
      </c>
      <c r="F40" s="153">
        <f t="shared" si="0"/>
        <v>7.8738970588235285E-2</v>
      </c>
      <c r="G40" s="153">
        <f t="shared" si="0"/>
        <v>9.9736029411764696E-2</v>
      </c>
      <c r="H40" s="153">
        <f t="shared" si="0"/>
        <v>0.12860698529411763</v>
      </c>
      <c r="I40" s="153">
        <f t="shared" si="1"/>
        <v>0.16375000000000001</v>
      </c>
      <c r="J40" s="153">
        <f t="shared" si="2"/>
        <v>0.19595000000000001</v>
      </c>
      <c r="K40" s="153">
        <f t="shared" si="3"/>
        <v>0.22814999999999999</v>
      </c>
      <c r="L40" s="153">
        <f t="shared" si="4"/>
        <v>0.26035000000000003</v>
      </c>
      <c r="M40" s="153">
        <f t="shared" si="5"/>
        <v>0.29254999999999998</v>
      </c>
      <c r="N40" s="153">
        <f t="shared" si="6"/>
        <v>0.32474999999999998</v>
      </c>
      <c r="O40" s="153">
        <f t="shared" si="7"/>
        <v>0.35694999999999999</v>
      </c>
      <c r="P40" s="153" t="s">
        <v>112</v>
      </c>
      <c r="Q40" s="153">
        <f t="shared" si="8"/>
        <v>2.1470588235294116E-3</v>
      </c>
    </row>
    <row r="41" spans="2:18" x14ac:dyDescent="0.25">
      <c r="C41" s="162"/>
      <c r="D41" s="153"/>
      <c r="E41" s="153"/>
      <c r="F41" s="153"/>
      <c r="G41" s="153"/>
      <c r="H41" s="153"/>
      <c r="I41" s="153"/>
      <c r="J41" s="153"/>
      <c r="K41" s="153"/>
      <c r="L41" s="153"/>
      <c r="M41" s="153"/>
      <c r="N41" s="153"/>
      <c r="O41" s="153"/>
      <c r="P41" s="153"/>
      <c r="Q41" s="153"/>
    </row>
    <row r="42" spans="2:18" x14ac:dyDescent="0.25">
      <c r="C42" s="162" t="s">
        <v>102</v>
      </c>
      <c r="D42" s="153">
        <v>20</v>
      </c>
      <c r="E42" s="153">
        <v>30</v>
      </c>
      <c r="F42" s="153">
        <v>40</v>
      </c>
      <c r="G42" s="153">
        <v>50</v>
      </c>
      <c r="H42" s="153">
        <v>65</v>
      </c>
      <c r="I42" s="153">
        <v>80</v>
      </c>
      <c r="J42" s="153">
        <v>95</v>
      </c>
      <c r="K42" s="153">
        <v>110</v>
      </c>
      <c r="L42" s="153">
        <v>125</v>
      </c>
      <c r="M42" s="153">
        <v>140</v>
      </c>
      <c r="N42" s="153">
        <v>155</v>
      </c>
      <c r="O42" s="153">
        <v>170</v>
      </c>
      <c r="P42" s="153" t="s">
        <v>103</v>
      </c>
      <c r="Q42" s="153"/>
    </row>
    <row r="43" spans="2:18" ht="15.75" thickBot="1" x14ac:dyDescent="0.3">
      <c r="D43" s="158"/>
      <c r="E43" s="158"/>
      <c r="F43" s="158"/>
      <c r="G43" s="158"/>
      <c r="H43" s="158"/>
      <c r="I43" s="158"/>
      <c r="J43" s="158"/>
      <c r="K43" s="158"/>
      <c r="L43" s="158"/>
      <c r="M43" s="158"/>
      <c r="N43" s="158"/>
      <c r="O43" s="158"/>
      <c r="P43" s="158"/>
      <c r="Q43" s="158"/>
      <c r="R43" s="158"/>
    </row>
    <row r="44" spans="2:18" ht="15.75" thickBot="1" x14ac:dyDescent="0.3">
      <c r="B44" s="150" t="s">
        <v>179</v>
      </c>
      <c r="D44" s="149"/>
      <c r="E44" s="149"/>
      <c r="F44" s="149"/>
    </row>
    <row r="45" spans="2:18" x14ac:dyDescent="0.25">
      <c r="B45" s="150"/>
      <c r="C45" s="150" t="s">
        <v>180</v>
      </c>
      <c r="D45" s="136" t="s">
        <v>82</v>
      </c>
    </row>
    <row r="46" spans="2:18" x14ac:dyDescent="0.25">
      <c r="B46" s="150"/>
      <c r="C46" s="150" t="s">
        <v>127</v>
      </c>
    </row>
    <row r="47" spans="2:18" ht="15.75" customHeight="1" x14ac:dyDescent="0.25">
      <c r="C47" s="162" t="s">
        <v>1</v>
      </c>
      <c r="D47" s="156" t="s">
        <v>181</v>
      </c>
      <c r="E47" s="156" t="s">
        <v>115</v>
      </c>
      <c r="F47" s="156" t="s">
        <v>116</v>
      </c>
      <c r="G47" s="156" t="s">
        <v>117</v>
      </c>
      <c r="H47" s="156" t="s">
        <v>118</v>
      </c>
      <c r="I47" s="156" t="s">
        <v>119</v>
      </c>
      <c r="J47" s="156" t="s">
        <v>120</v>
      </c>
      <c r="K47" s="156" t="s">
        <v>121</v>
      </c>
      <c r="L47" s="156" t="s">
        <v>122</v>
      </c>
    </row>
    <row r="48" spans="2:18" x14ac:dyDescent="0.25">
      <c r="C48" s="162" t="s">
        <v>27</v>
      </c>
      <c r="D48" s="153" t="s">
        <v>110</v>
      </c>
      <c r="E48" s="153">
        <v>0.15920000000000001</v>
      </c>
      <c r="F48" s="153">
        <v>0.19589999999999999</v>
      </c>
      <c r="G48" s="153">
        <v>0.2326</v>
      </c>
      <c r="H48" s="153">
        <v>0.26939999999999997</v>
      </c>
      <c r="I48" s="153">
        <v>0.30609999999999998</v>
      </c>
      <c r="J48" s="153">
        <v>0.34279999999999999</v>
      </c>
      <c r="K48" s="153">
        <v>0.3795</v>
      </c>
      <c r="L48" s="153">
        <v>0.4163</v>
      </c>
    </row>
    <row r="49" spans="3:12" x14ac:dyDescent="0.25">
      <c r="C49" s="162" t="s">
        <v>28</v>
      </c>
      <c r="D49" s="153" t="s">
        <v>110</v>
      </c>
      <c r="E49" s="153">
        <v>0.1678</v>
      </c>
      <c r="F49" s="153">
        <v>0.20649999999999999</v>
      </c>
      <c r="G49" s="153">
        <v>0.24529999999999999</v>
      </c>
      <c r="H49" s="153">
        <v>0.28399999999999997</v>
      </c>
      <c r="I49" s="153">
        <v>0.32269999999999999</v>
      </c>
      <c r="J49" s="153">
        <v>0.3614</v>
      </c>
      <c r="K49" s="153">
        <v>0.40010000000000001</v>
      </c>
      <c r="L49" s="153">
        <v>0.43890000000000001</v>
      </c>
    </row>
    <row r="50" spans="3:12" x14ac:dyDescent="0.25">
      <c r="C50" s="162" t="s">
        <v>6</v>
      </c>
      <c r="D50" s="153" t="s">
        <v>110</v>
      </c>
      <c r="E50" s="153">
        <v>0.1157</v>
      </c>
      <c r="F50" s="153">
        <v>0.1424</v>
      </c>
      <c r="G50" s="153">
        <v>0.1691</v>
      </c>
      <c r="H50" s="153">
        <v>0.1958</v>
      </c>
      <c r="I50" s="153">
        <v>0.2225</v>
      </c>
      <c r="J50" s="153">
        <v>0.2492</v>
      </c>
      <c r="K50" s="153">
        <v>0.27589999999999998</v>
      </c>
      <c r="L50" s="153">
        <v>0.30259999999999998</v>
      </c>
    </row>
    <row r="51" spans="3:12" x14ac:dyDescent="0.25">
      <c r="C51" s="162" t="s">
        <v>29</v>
      </c>
      <c r="D51" s="153" t="s">
        <v>111</v>
      </c>
      <c r="E51" s="153">
        <v>206.68</v>
      </c>
      <c r="F51" s="153">
        <v>254.38</v>
      </c>
      <c r="G51" s="153">
        <v>302.07</v>
      </c>
      <c r="H51" s="153">
        <v>349.77</v>
      </c>
      <c r="I51" s="153">
        <v>397.46</v>
      </c>
      <c r="J51" s="153">
        <v>445.16</v>
      </c>
      <c r="K51" s="153">
        <v>492.86</v>
      </c>
      <c r="L51" s="153">
        <v>540.54999999999995</v>
      </c>
    </row>
    <row r="52" spans="3:12" x14ac:dyDescent="0.25">
      <c r="C52" s="162" t="s">
        <v>7</v>
      </c>
      <c r="D52" s="153" t="s">
        <v>112</v>
      </c>
      <c r="E52" s="153">
        <v>4.5499999999999999E-2</v>
      </c>
      <c r="F52" s="153">
        <v>5.6000000000000001E-2</v>
      </c>
      <c r="G52" s="153">
        <v>6.6500000000000004E-2</v>
      </c>
      <c r="H52" s="153">
        <v>7.6999999999999999E-2</v>
      </c>
      <c r="I52" s="153">
        <v>8.7499999999999994E-2</v>
      </c>
      <c r="J52" s="153">
        <v>9.8000000000000004E-2</v>
      </c>
      <c r="K52" s="153">
        <v>0.1085</v>
      </c>
      <c r="L52" s="153">
        <v>0.11899999999999999</v>
      </c>
    </row>
    <row r="53" spans="3:12" x14ac:dyDescent="0.25">
      <c r="C53" s="162" t="s">
        <v>30</v>
      </c>
      <c r="D53" s="153" t="s">
        <v>111</v>
      </c>
      <c r="E53" s="153">
        <v>129.82</v>
      </c>
      <c r="F53" s="153">
        <v>159.78</v>
      </c>
      <c r="G53" s="153">
        <v>189.74</v>
      </c>
      <c r="H53" s="153">
        <v>219.7</v>
      </c>
      <c r="I53" s="153">
        <v>249.66</v>
      </c>
      <c r="J53" s="153">
        <v>279.62</v>
      </c>
      <c r="K53" s="153">
        <v>309.58</v>
      </c>
      <c r="L53" s="153">
        <v>339.54</v>
      </c>
    </row>
    <row r="54" spans="3:12" x14ac:dyDescent="0.25">
      <c r="C54" s="162" t="s">
        <v>8</v>
      </c>
      <c r="D54" s="153" t="s">
        <v>110</v>
      </c>
      <c r="E54" s="153">
        <v>6.6199999999999995E-2</v>
      </c>
      <c r="F54" s="153">
        <v>8.1500000000000003E-2</v>
      </c>
      <c r="G54" s="153">
        <v>9.6799999999999997E-2</v>
      </c>
      <c r="H54" s="153">
        <v>0.11210000000000001</v>
      </c>
      <c r="I54" s="153">
        <v>0.1273</v>
      </c>
      <c r="J54" s="153">
        <v>0.1426</v>
      </c>
      <c r="K54" s="153">
        <v>0.15790000000000001</v>
      </c>
      <c r="L54" s="153">
        <v>0.17319999999999999</v>
      </c>
    </row>
    <row r="55" spans="3:12" x14ac:dyDescent="0.25">
      <c r="C55" s="162" t="s">
        <v>9</v>
      </c>
      <c r="D55" s="153" t="s">
        <v>110</v>
      </c>
      <c r="E55" s="153">
        <v>0.1081</v>
      </c>
      <c r="F55" s="153">
        <v>0.1331</v>
      </c>
      <c r="G55" s="153">
        <v>0.15809999999999999</v>
      </c>
      <c r="H55" s="153">
        <v>0.183</v>
      </c>
      <c r="I55" s="153">
        <v>0.20799999999999999</v>
      </c>
      <c r="J55" s="153">
        <v>0.2329</v>
      </c>
      <c r="K55" s="153">
        <v>0.25790000000000002</v>
      </c>
      <c r="L55" s="153">
        <v>0.2828</v>
      </c>
    </row>
    <row r="56" spans="3:12" x14ac:dyDescent="0.25">
      <c r="C56" s="162" t="s">
        <v>31</v>
      </c>
      <c r="D56" s="153" t="s">
        <v>110</v>
      </c>
      <c r="E56" s="153">
        <v>0.1431</v>
      </c>
      <c r="F56" s="153">
        <v>0.17610000000000001</v>
      </c>
      <c r="G56" s="153">
        <v>0.20910000000000001</v>
      </c>
      <c r="H56" s="153">
        <v>0.2422</v>
      </c>
      <c r="I56" s="153">
        <v>0.2752</v>
      </c>
      <c r="J56" s="153">
        <v>0.30819999999999997</v>
      </c>
      <c r="K56" s="153">
        <v>0.3412</v>
      </c>
      <c r="L56" s="153">
        <v>0.37430000000000002</v>
      </c>
    </row>
    <row r="57" spans="3:12" x14ac:dyDescent="0.25">
      <c r="C57" s="162" t="s">
        <v>10</v>
      </c>
      <c r="D57" s="153" t="s">
        <v>110</v>
      </c>
      <c r="E57" s="153">
        <v>0.2072</v>
      </c>
      <c r="F57" s="153">
        <v>0.255</v>
      </c>
      <c r="G57" s="153">
        <v>0.30280000000000001</v>
      </c>
      <c r="H57" s="153">
        <v>0.35060000000000002</v>
      </c>
      <c r="I57" s="153">
        <v>0.39839999999999998</v>
      </c>
      <c r="J57" s="153">
        <v>0.44619999999999999</v>
      </c>
      <c r="K57" s="153">
        <v>0.49409999999999998</v>
      </c>
      <c r="L57" s="153">
        <v>0.54190000000000005</v>
      </c>
    </row>
    <row r="58" spans="3:12" x14ac:dyDescent="0.25">
      <c r="C58" s="162" t="s">
        <v>11</v>
      </c>
      <c r="D58" s="153" t="s">
        <v>111</v>
      </c>
      <c r="E58" s="153">
        <v>145.02000000000001</v>
      </c>
      <c r="F58" s="153">
        <v>178.48</v>
      </c>
      <c r="G58" s="153">
        <v>211.95</v>
      </c>
      <c r="H58" s="153">
        <v>245.41</v>
      </c>
      <c r="I58" s="153">
        <v>278.88</v>
      </c>
      <c r="J58" s="153">
        <v>312.35000000000002</v>
      </c>
      <c r="K58" s="153">
        <v>345.81</v>
      </c>
      <c r="L58" s="153">
        <v>379.28</v>
      </c>
    </row>
    <row r="59" spans="3:12" x14ac:dyDescent="0.25">
      <c r="C59" s="162" t="s">
        <v>12</v>
      </c>
      <c r="D59" s="153" t="s">
        <v>110</v>
      </c>
      <c r="E59" s="153">
        <v>0.1678</v>
      </c>
      <c r="F59" s="153">
        <v>0.20649999999999999</v>
      </c>
      <c r="G59" s="153">
        <v>0.24529999999999999</v>
      </c>
      <c r="H59" s="153">
        <v>0.28399999999999997</v>
      </c>
      <c r="I59" s="153">
        <v>0.32269999999999999</v>
      </c>
      <c r="J59" s="153">
        <v>0.3614</v>
      </c>
      <c r="K59" s="153">
        <v>0.40010000000000001</v>
      </c>
      <c r="L59" s="153">
        <v>0.43890000000000001</v>
      </c>
    </row>
    <row r="60" spans="3:12" x14ac:dyDescent="0.25">
      <c r="C60" s="162" t="s">
        <v>32</v>
      </c>
      <c r="D60" s="153" t="s">
        <v>110</v>
      </c>
      <c r="E60" s="153">
        <v>0.17380000000000001</v>
      </c>
      <c r="F60" s="153">
        <v>0.21390000000000001</v>
      </c>
      <c r="G60" s="153">
        <v>0.254</v>
      </c>
      <c r="H60" s="153">
        <v>0.29409999999999997</v>
      </c>
      <c r="I60" s="153">
        <v>0.3342</v>
      </c>
      <c r="J60" s="153">
        <v>0.37430000000000002</v>
      </c>
      <c r="K60" s="153">
        <v>0.41439999999999999</v>
      </c>
      <c r="L60" s="153">
        <v>0.45450000000000002</v>
      </c>
    </row>
    <row r="61" spans="3:12" x14ac:dyDescent="0.25">
      <c r="C61" s="162" t="s">
        <v>13</v>
      </c>
      <c r="D61" s="153" t="s">
        <v>111</v>
      </c>
      <c r="E61" s="153">
        <v>115.21</v>
      </c>
      <c r="F61" s="153">
        <v>141.80000000000001</v>
      </c>
      <c r="G61" s="153">
        <v>168.38</v>
      </c>
      <c r="H61" s="153">
        <v>194.97</v>
      </c>
      <c r="I61" s="153">
        <v>221.56</v>
      </c>
      <c r="J61" s="153">
        <v>248.14</v>
      </c>
      <c r="K61" s="153">
        <v>274.73</v>
      </c>
      <c r="L61" s="153">
        <v>301.31</v>
      </c>
    </row>
    <row r="62" spans="3:12" x14ac:dyDescent="0.25">
      <c r="C62" s="162" t="s">
        <v>113</v>
      </c>
      <c r="D62" s="153" t="s">
        <v>112</v>
      </c>
      <c r="E62" s="153">
        <v>0.1239</v>
      </c>
      <c r="F62" s="153">
        <v>0.1525</v>
      </c>
      <c r="G62" s="153">
        <v>0.18110000000000001</v>
      </c>
      <c r="H62" s="153">
        <v>0.2097</v>
      </c>
      <c r="I62" s="153">
        <v>0.23830000000000001</v>
      </c>
      <c r="J62" s="153">
        <v>0.26690000000000003</v>
      </c>
      <c r="K62" s="153">
        <v>0.2954</v>
      </c>
      <c r="L62" s="153">
        <v>0.32400000000000001</v>
      </c>
    </row>
    <row r="63" spans="3:12" x14ac:dyDescent="0.25">
      <c r="C63" s="162" t="s">
        <v>14</v>
      </c>
      <c r="D63" s="153" t="s">
        <v>110</v>
      </c>
      <c r="E63" s="153">
        <v>7.1400000000000005E-2</v>
      </c>
      <c r="F63" s="153">
        <v>8.7800000000000003E-2</v>
      </c>
      <c r="G63" s="153">
        <v>0.1043</v>
      </c>
      <c r="H63" s="153">
        <v>0.1208</v>
      </c>
      <c r="I63" s="153">
        <v>0.13730000000000001</v>
      </c>
      <c r="J63" s="153">
        <v>0.1537</v>
      </c>
      <c r="K63" s="153">
        <v>0.17019999999999999</v>
      </c>
      <c r="L63" s="153">
        <v>0.1867</v>
      </c>
    </row>
    <row r="64" spans="3:12" x14ac:dyDescent="0.25">
      <c r="C64" s="162" t="s">
        <v>15</v>
      </c>
      <c r="D64" s="153" t="s">
        <v>110</v>
      </c>
      <c r="E64" s="153">
        <v>0.14649999999999999</v>
      </c>
      <c r="F64" s="153">
        <v>0.18029999999999999</v>
      </c>
      <c r="G64" s="153">
        <v>0.2142</v>
      </c>
      <c r="H64" s="153">
        <v>0.248</v>
      </c>
      <c r="I64" s="153">
        <v>0.28179999999999999</v>
      </c>
      <c r="J64" s="153">
        <v>0.31559999999999999</v>
      </c>
      <c r="K64" s="153">
        <v>0.34939999999999999</v>
      </c>
      <c r="L64" s="153">
        <v>0.38319999999999999</v>
      </c>
    </row>
    <row r="65" spans="2:14" x14ac:dyDescent="0.25">
      <c r="C65" s="162" t="s">
        <v>114</v>
      </c>
      <c r="D65" s="153" t="s">
        <v>112</v>
      </c>
      <c r="E65" s="153">
        <v>0.16539999999999999</v>
      </c>
      <c r="F65" s="153">
        <v>0.20349999999999999</v>
      </c>
      <c r="G65" s="153">
        <v>0.2417</v>
      </c>
      <c r="H65" s="153">
        <v>0.27989999999999998</v>
      </c>
      <c r="I65" s="153">
        <v>0.318</v>
      </c>
      <c r="J65" s="153">
        <v>0.35620000000000002</v>
      </c>
      <c r="K65" s="153">
        <v>0.39439999999999997</v>
      </c>
      <c r="L65" s="153">
        <v>0.4325</v>
      </c>
    </row>
    <row r="66" spans="2:14" x14ac:dyDescent="0.25">
      <c r="C66" s="162" t="s">
        <v>33</v>
      </c>
      <c r="D66" s="153" t="s">
        <v>110</v>
      </c>
      <c r="E66" s="153">
        <v>0.2452</v>
      </c>
      <c r="F66" s="153">
        <v>0.30180000000000001</v>
      </c>
      <c r="G66" s="153">
        <v>0.3584</v>
      </c>
      <c r="H66" s="153">
        <v>0.41489999999999999</v>
      </c>
      <c r="I66" s="153">
        <v>0.47149999999999997</v>
      </c>
      <c r="J66" s="153">
        <v>0.52810000000000001</v>
      </c>
      <c r="K66" s="153">
        <v>0.5847</v>
      </c>
      <c r="L66" s="153">
        <v>0.64129999999999998</v>
      </c>
    </row>
    <row r="67" spans="2:14" x14ac:dyDescent="0.25">
      <c r="C67" s="162" t="s">
        <v>34</v>
      </c>
      <c r="D67" s="153" t="s">
        <v>110</v>
      </c>
      <c r="E67" s="153">
        <v>0.1157</v>
      </c>
      <c r="F67" s="153">
        <v>0.1424</v>
      </c>
      <c r="G67" s="153">
        <v>0.1691</v>
      </c>
      <c r="H67" s="153">
        <v>0.1958</v>
      </c>
      <c r="I67" s="153">
        <v>0.2225</v>
      </c>
      <c r="J67" s="153">
        <v>0.2492</v>
      </c>
      <c r="K67" s="153">
        <v>0.27589999999999998</v>
      </c>
      <c r="L67" s="153">
        <v>0.30259999999999998</v>
      </c>
    </row>
    <row r="68" spans="2:14" x14ac:dyDescent="0.25">
      <c r="C68" s="162" t="s">
        <v>17</v>
      </c>
      <c r="D68" s="153" t="s">
        <v>110</v>
      </c>
      <c r="E68" s="153">
        <v>0.10059999999999999</v>
      </c>
      <c r="F68" s="153">
        <v>0.12379999999999999</v>
      </c>
      <c r="G68" s="153">
        <v>0.14699999999999999</v>
      </c>
      <c r="H68" s="153">
        <v>0.17030000000000001</v>
      </c>
      <c r="I68" s="153">
        <v>0.19350000000000001</v>
      </c>
      <c r="J68" s="153">
        <v>0.2167</v>
      </c>
      <c r="K68" s="153">
        <v>0.2399</v>
      </c>
      <c r="L68" s="153">
        <v>0.2631</v>
      </c>
    </row>
    <row r="69" spans="2:14" x14ac:dyDescent="0.25">
      <c r="C69" s="162" t="s">
        <v>35</v>
      </c>
      <c r="D69" s="153" t="s">
        <v>112</v>
      </c>
      <c r="E69" s="153">
        <v>0.1396</v>
      </c>
      <c r="F69" s="153">
        <v>0.17180000000000001</v>
      </c>
      <c r="G69" s="153">
        <v>0.20399999999999999</v>
      </c>
      <c r="H69" s="153">
        <v>0.23619999999999999</v>
      </c>
      <c r="I69" s="153">
        <v>0.26840000000000003</v>
      </c>
      <c r="J69" s="153">
        <v>0.30059999999999998</v>
      </c>
      <c r="K69" s="153">
        <v>0.33279999999999998</v>
      </c>
      <c r="L69" s="153">
        <v>0.36499999999999999</v>
      </c>
    </row>
    <row r="71" spans="2:14" x14ac:dyDescent="0.25">
      <c r="B71" s="150" t="s">
        <v>183</v>
      </c>
    </row>
    <row r="72" spans="2:14" x14ac:dyDescent="0.25">
      <c r="C72" s="164" t="s">
        <v>101</v>
      </c>
      <c r="D72" s="150">
        <v>2020</v>
      </c>
      <c r="E72" s="150">
        <v>2021</v>
      </c>
      <c r="F72" s="150">
        <v>2022</v>
      </c>
      <c r="G72" s="150">
        <v>2023</v>
      </c>
      <c r="H72" s="150">
        <v>2024</v>
      </c>
      <c r="I72" s="150">
        <v>2025</v>
      </c>
      <c r="J72" s="150">
        <v>2026</v>
      </c>
      <c r="K72" s="150">
        <v>2027</v>
      </c>
      <c r="L72" s="150">
        <v>2028</v>
      </c>
      <c r="M72" s="150">
        <v>2029</v>
      </c>
      <c r="N72" s="150">
        <v>2030</v>
      </c>
    </row>
    <row r="73" spans="2:14" x14ac:dyDescent="0.25">
      <c r="C73" s="165" t="s">
        <v>184</v>
      </c>
      <c r="D73" s="163">
        <v>0.6</v>
      </c>
      <c r="E73" s="163">
        <v>0.6</v>
      </c>
      <c r="F73" s="163">
        <v>0.6</v>
      </c>
      <c r="G73" s="163">
        <v>0.6</v>
      </c>
      <c r="H73" s="163">
        <v>0.7</v>
      </c>
      <c r="I73" s="163">
        <v>0.8</v>
      </c>
      <c r="J73" s="163">
        <v>0.9</v>
      </c>
      <c r="K73" s="163">
        <v>0.9</v>
      </c>
      <c r="L73" s="163">
        <v>0.9</v>
      </c>
      <c r="M73" s="163">
        <v>0.9</v>
      </c>
      <c r="N73" s="163">
        <v>0.9</v>
      </c>
    </row>
    <row r="74" spans="2:14" x14ac:dyDescent="0.25">
      <c r="D74" s="163"/>
      <c r="H74" s="163"/>
    </row>
    <row r="75" spans="2:14" x14ac:dyDescent="0.25">
      <c r="C75" t="s">
        <v>186</v>
      </c>
      <c r="D75" s="166">
        <f>HLOOKUP('LE and Opt-in'!D3,Configuration!D72:N73,2,FALSE)*100</f>
        <v>60</v>
      </c>
      <c r="H75" s="163"/>
    </row>
    <row r="76" spans="2:14" x14ac:dyDescent="0.25">
      <c r="C76" t="s">
        <v>187</v>
      </c>
      <c r="D76" s="166">
        <f>HLOOKUP(Aggregates!D3,Configuration!D72:N73,2,FALSE)*100</f>
        <v>60</v>
      </c>
    </row>
    <row r="77" spans="2:14" x14ac:dyDescent="0.25">
      <c r="D77" s="163"/>
    </row>
  </sheetData>
  <mergeCells count="2">
    <mergeCell ref="C15:D15"/>
    <mergeCell ref="C14:D14"/>
  </mergeCells>
  <hyperlinks>
    <hyperlink ref="D45" r:id="rId1" xr:uid="{00000000-0004-0000-0400-000000000000}"/>
  </hyperlinks>
  <pageMargins left="0.7" right="0.7" top="0.75" bottom="0.75" header="0.3" footer="0.3"/>
  <pageSetup orientation="portrait" r:id="rId2"/>
  <headerFooter>
    <oddFooter>&amp;L_x000D_&amp;1#&amp;"Calibri"&amp;11&amp;K000000 Classification: 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112"/>
  <sheetViews>
    <sheetView workbookViewId="0">
      <selection activeCell="S25" sqref="S25"/>
    </sheetView>
  </sheetViews>
  <sheetFormatPr defaultColWidth="8.85546875" defaultRowHeight="11.25" x14ac:dyDescent="0.2"/>
  <cols>
    <col min="1" max="1" width="2.7109375" style="32" customWidth="1"/>
    <col min="2" max="2" width="30.5703125" style="32" customWidth="1"/>
    <col min="3" max="3" width="47" style="32" customWidth="1"/>
    <col min="4" max="4" width="2.7109375" style="32" customWidth="1"/>
    <col min="5" max="5" width="9.85546875" style="32" customWidth="1"/>
    <col min="6" max="6" width="8" style="32" customWidth="1"/>
    <col min="7" max="13" width="10.85546875" style="36" customWidth="1"/>
    <col min="14" max="14" width="1.7109375" style="32" customWidth="1"/>
    <col min="15" max="15" width="9.5703125" style="88" customWidth="1"/>
    <col min="16" max="16" width="9.28515625" style="88" customWidth="1"/>
    <col min="17" max="17" width="9.28515625" style="90" customWidth="1"/>
    <col min="18" max="18" width="9.28515625" style="88" customWidth="1"/>
    <col min="19" max="19" width="15.42578125" style="88" customWidth="1"/>
    <col min="20" max="32" width="9.28515625" style="88" customWidth="1"/>
    <col min="33" max="33" width="9.28515625" style="88"/>
    <col min="34" max="16384" width="8.85546875" style="32"/>
  </cols>
  <sheetData>
    <row r="1" spans="1:33" s="1" customFormat="1" ht="15" customHeight="1" x14ac:dyDescent="0.25">
      <c r="A1" s="130" t="s">
        <v>85</v>
      </c>
      <c r="B1" s="130"/>
      <c r="C1" s="130"/>
      <c r="D1" s="130"/>
      <c r="E1" s="130"/>
      <c r="F1" s="130"/>
      <c r="G1" s="130"/>
      <c r="H1" s="130"/>
      <c r="I1" s="130"/>
      <c r="J1" s="130"/>
      <c r="K1" s="130"/>
      <c r="L1" s="130"/>
      <c r="M1" s="130"/>
      <c r="N1" s="131"/>
      <c r="O1" s="97"/>
      <c r="P1" s="97"/>
      <c r="Q1" s="110"/>
      <c r="R1" s="97"/>
      <c r="S1" s="97"/>
      <c r="T1" s="97"/>
      <c r="U1" s="97"/>
      <c r="V1" s="97"/>
      <c r="W1" s="97"/>
      <c r="X1" s="97"/>
      <c r="Y1" s="97"/>
      <c r="Z1" s="97"/>
      <c r="AA1" s="97"/>
      <c r="AB1" s="97"/>
      <c r="AC1" s="97"/>
      <c r="AD1" s="97"/>
      <c r="AE1" s="97"/>
      <c r="AF1" s="97"/>
      <c r="AG1" s="97"/>
    </row>
    <row r="2" spans="1:33" s="6" customFormat="1" ht="4.5" customHeight="1" x14ac:dyDescent="0.2">
      <c r="A2" s="2"/>
      <c r="B2" s="3"/>
      <c r="C2" s="4"/>
      <c r="D2" s="4"/>
      <c r="E2" s="4"/>
      <c r="F2" s="4"/>
      <c r="G2" s="4"/>
      <c r="H2" s="4"/>
      <c r="I2" s="4"/>
      <c r="J2" s="4"/>
      <c r="K2" s="4"/>
      <c r="L2" s="4"/>
      <c r="M2" s="4"/>
      <c r="N2" s="5"/>
      <c r="O2" s="88"/>
      <c r="P2" s="88"/>
      <c r="Q2" s="90"/>
      <c r="R2" s="88"/>
      <c r="S2" s="88"/>
      <c r="T2" s="88"/>
      <c r="U2" s="88"/>
      <c r="V2" s="88"/>
      <c r="W2" s="88"/>
      <c r="X2" s="88"/>
      <c r="Y2" s="88"/>
      <c r="Z2" s="88"/>
      <c r="AA2" s="88"/>
      <c r="AB2" s="88"/>
      <c r="AC2" s="88"/>
      <c r="AD2" s="88"/>
      <c r="AE2" s="88"/>
      <c r="AF2" s="88"/>
      <c r="AG2" s="88"/>
    </row>
    <row r="3" spans="1:33" s="6" customFormat="1" ht="17.25" customHeight="1" x14ac:dyDescent="0.25">
      <c r="A3" s="2"/>
      <c r="B3" s="3"/>
      <c r="C3" s="115"/>
      <c r="D3" s="115"/>
      <c r="E3" s="187" t="s">
        <v>166</v>
      </c>
      <c r="F3" s="187"/>
      <c r="G3" s="187"/>
      <c r="H3" s="187"/>
      <c r="I3" s="187"/>
      <c r="J3" s="187"/>
      <c r="K3" s="187"/>
      <c r="L3" s="187"/>
      <c r="M3" s="187"/>
      <c r="N3" s="5"/>
      <c r="O3" s="88"/>
      <c r="P3" s="88"/>
      <c r="Q3" s="90"/>
      <c r="R3" s="88"/>
      <c r="S3" s="88"/>
      <c r="T3" s="88"/>
      <c r="U3" s="88"/>
      <c r="V3" s="88"/>
      <c r="W3" s="88"/>
      <c r="X3" s="88"/>
      <c r="Y3" s="88"/>
      <c r="Z3" s="88"/>
      <c r="AA3" s="88"/>
      <c r="AB3" s="88"/>
      <c r="AC3" s="88"/>
      <c r="AD3" s="88"/>
      <c r="AE3" s="88"/>
      <c r="AF3" s="88"/>
      <c r="AG3" s="88"/>
    </row>
    <row r="4" spans="1:33" s="13" customFormat="1" ht="14.25" customHeight="1" x14ac:dyDescent="0.25">
      <c r="A4" s="8"/>
      <c r="B4" s="127" t="s">
        <v>51</v>
      </c>
      <c r="C4" s="127" t="s">
        <v>165</v>
      </c>
      <c r="D4" s="128"/>
      <c r="E4" s="127">
        <v>2022</v>
      </c>
      <c r="F4" s="127">
        <v>2023</v>
      </c>
      <c r="G4" s="127">
        <v>2024</v>
      </c>
      <c r="H4" s="127">
        <v>2025</v>
      </c>
      <c r="I4" s="127">
        <v>2026</v>
      </c>
      <c r="J4" s="127">
        <v>2027</v>
      </c>
      <c r="K4" s="127">
        <v>2028</v>
      </c>
      <c r="L4" s="127">
        <v>2029</v>
      </c>
      <c r="M4" s="127">
        <v>2030</v>
      </c>
      <c r="N4" s="12"/>
      <c r="O4" s="98"/>
      <c r="P4" s="98"/>
      <c r="Q4" s="111"/>
      <c r="R4" s="98"/>
      <c r="S4" s="98"/>
      <c r="T4" s="98"/>
      <c r="U4" s="98"/>
      <c r="V4" s="98"/>
      <c r="W4" s="98"/>
      <c r="X4" s="98"/>
      <c r="Y4" s="98"/>
      <c r="Z4" s="98"/>
      <c r="AA4" s="98"/>
      <c r="AB4" s="98"/>
      <c r="AC4" s="98"/>
      <c r="AD4" s="98"/>
      <c r="AE4" s="98"/>
      <c r="AF4" s="98"/>
      <c r="AG4" s="98"/>
    </row>
    <row r="5" spans="1:33" s="6" customFormat="1" ht="15" customHeight="1" x14ac:dyDescent="0.2">
      <c r="A5" s="2"/>
      <c r="B5" s="121" t="s">
        <v>136</v>
      </c>
      <c r="C5" s="122" t="s">
        <v>150</v>
      </c>
      <c r="D5" s="119"/>
      <c r="E5" s="145">
        <v>1.7669999999999999</v>
      </c>
      <c r="F5" s="145" t="s">
        <v>109</v>
      </c>
      <c r="G5" s="145" t="s">
        <v>109</v>
      </c>
      <c r="H5" s="145" t="s">
        <v>109</v>
      </c>
      <c r="I5" s="145" t="s">
        <v>109</v>
      </c>
      <c r="J5" s="145" t="s">
        <v>109</v>
      </c>
      <c r="K5" s="145" t="s">
        <v>109</v>
      </c>
      <c r="L5" s="145" t="s">
        <v>109</v>
      </c>
      <c r="M5" s="145" t="s">
        <v>109</v>
      </c>
      <c r="N5" s="19"/>
      <c r="O5" s="88"/>
      <c r="P5" s="88"/>
      <c r="Q5" s="88"/>
      <c r="R5" s="88"/>
      <c r="S5" s="88"/>
      <c r="T5" s="88"/>
      <c r="U5" s="88"/>
      <c r="V5" s="88"/>
      <c r="W5" s="88"/>
      <c r="X5" s="88"/>
      <c r="Y5" s="88"/>
      <c r="Z5" s="88"/>
      <c r="AA5" s="108"/>
      <c r="AB5" s="108"/>
      <c r="AC5" s="88"/>
      <c r="AD5" s="88"/>
      <c r="AE5" s="88"/>
      <c r="AF5" s="88"/>
      <c r="AG5" s="88"/>
    </row>
    <row r="6" spans="1:33" s="6" customFormat="1" ht="5.25" customHeight="1" x14ac:dyDescent="0.2">
      <c r="A6" s="2"/>
      <c r="B6" s="123"/>
      <c r="C6" s="124"/>
      <c r="D6" s="120"/>
      <c r="E6" s="146"/>
      <c r="F6" s="146"/>
      <c r="G6" s="146"/>
      <c r="H6" s="146"/>
      <c r="I6" s="146"/>
      <c r="J6" s="146"/>
      <c r="K6" s="146"/>
      <c r="L6" s="146"/>
      <c r="M6" s="146"/>
      <c r="N6" s="19"/>
      <c r="O6" s="88"/>
      <c r="P6" s="88"/>
      <c r="Q6" s="88"/>
      <c r="R6" s="88"/>
      <c r="S6" s="88"/>
      <c r="T6" s="88"/>
      <c r="U6" s="88"/>
      <c r="V6" s="88"/>
      <c r="W6" s="88"/>
      <c r="X6" s="88"/>
      <c r="Y6" s="88"/>
      <c r="Z6" s="88"/>
      <c r="AA6" s="88"/>
      <c r="AB6" s="108"/>
      <c r="AC6" s="88"/>
      <c r="AD6" s="88"/>
      <c r="AE6" s="88"/>
      <c r="AF6" s="88"/>
      <c r="AG6" s="88"/>
    </row>
    <row r="7" spans="1:33" s="6" customFormat="1" ht="12" customHeight="1" x14ac:dyDescent="0.2">
      <c r="A7" s="2"/>
      <c r="B7" s="121" t="s">
        <v>137</v>
      </c>
      <c r="C7" s="122" t="s">
        <v>150</v>
      </c>
      <c r="D7" s="119"/>
      <c r="E7" s="145">
        <v>0.15260000000000001</v>
      </c>
      <c r="F7" s="145" t="s">
        <v>109</v>
      </c>
      <c r="G7" s="145" t="s">
        <v>109</v>
      </c>
      <c r="H7" s="145" t="s">
        <v>109</v>
      </c>
      <c r="I7" s="145" t="s">
        <v>109</v>
      </c>
      <c r="J7" s="145" t="s">
        <v>109</v>
      </c>
      <c r="K7" s="145" t="s">
        <v>109</v>
      </c>
      <c r="L7" s="145" t="s">
        <v>109</v>
      </c>
      <c r="M7" s="145" t="s">
        <v>109</v>
      </c>
      <c r="N7" s="19"/>
      <c r="O7" s="88"/>
      <c r="P7" s="88"/>
      <c r="Q7" s="88"/>
      <c r="R7" s="88"/>
      <c r="S7" s="88"/>
      <c r="T7" s="88"/>
      <c r="U7" s="88"/>
      <c r="V7" s="88"/>
      <c r="W7" s="88"/>
      <c r="X7" s="88"/>
      <c r="Y7" s="88"/>
      <c r="Z7" s="88"/>
      <c r="AA7" s="88"/>
      <c r="AB7" s="108"/>
      <c r="AC7" s="88"/>
      <c r="AD7" s="88"/>
      <c r="AE7" s="88"/>
      <c r="AF7" s="88"/>
      <c r="AG7" s="88"/>
    </row>
    <row r="8" spans="1:33" s="6" customFormat="1" ht="5.25" customHeight="1" x14ac:dyDescent="0.2">
      <c r="A8" s="2"/>
      <c r="B8" s="123"/>
      <c r="C8" s="124"/>
      <c r="D8" s="120"/>
      <c r="E8" s="146"/>
      <c r="F8" s="146"/>
      <c r="G8" s="146"/>
      <c r="H8" s="146"/>
      <c r="I8" s="146"/>
      <c r="J8" s="146"/>
      <c r="K8" s="146"/>
      <c r="L8" s="146"/>
      <c r="M8" s="146"/>
      <c r="N8" s="19"/>
      <c r="O8" s="88"/>
      <c r="P8" s="88"/>
      <c r="Q8" s="88"/>
      <c r="R8" s="88"/>
      <c r="S8" s="88"/>
      <c r="T8" s="88"/>
      <c r="U8" s="88"/>
      <c r="V8" s="88"/>
      <c r="W8" s="88"/>
      <c r="X8" s="88"/>
      <c r="Y8" s="88"/>
      <c r="Z8" s="88"/>
      <c r="AA8" s="88"/>
      <c r="AB8" s="108"/>
      <c r="AC8" s="88"/>
      <c r="AD8" s="88"/>
      <c r="AE8" s="88"/>
      <c r="AF8" s="88"/>
      <c r="AG8" s="88"/>
    </row>
    <row r="9" spans="1:33" s="6" customFormat="1" ht="12" customHeight="1" x14ac:dyDescent="0.2">
      <c r="A9" s="2"/>
      <c r="B9" s="121" t="s">
        <v>138</v>
      </c>
      <c r="C9" s="122" t="s">
        <v>150</v>
      </c>
      <c r="D9" s="119"/>
      <c r="E9" s="145">
        <v>7.0529999999999995E-2</v>
      </c>
      <c r="F9" s="145" t="s">
        <v>109</v>
      </c>
      <c r="G9" s="145" t="s">
        <v>109</v>
      </c>
      <c r="H9" s="145" t="s">
        <v>109</v>
      </c>
      <c r="I9" s="145" t="s">
        <v>109</v>
      </c>
      <c r="J9" s="145" t="s">
        <v>109</v>
      </c>
      <c r="K9" s="145" t="s">
        <v>109</v>
      </c>
      <c r="L9" s="145" t="s">
        <v>109</v>
      </c>
      <c r="M9" s="145" t="s">
        <v>109</v>
      </c>
      <c r="N9" s="19"/>
      <c r="O9" s="88"/>
      <c r="P9" s="88"/>
      <c r="Q9" s="88"/>
      <c r="R9" s="88"/>
      <c r="S9" s="88"/>
      <c r="T9" s="88"/>
      <c r="U9" s="88"/>
      <c r="V9" s="88"/>
      <c r="W9" s="88"/>
      <c r="X9" s="88"/>
      <c r="Y9" s="88"/>
      <c r="Z9" s="88"/>
      <c r="AA9" s="88"/>
      <c r="AB9" s="108"/>
      <c r="AC9" s="88"/>
      <c r="AD9" s="88"/>
      <c r="AE9" s="88"/>
      <c r="AF9" s="88"/>
      <c r="AG9" s="88"/>
    </row>
    <row r="10" spans="1:33" s="6" customFormat="1" ht="5.25" customHeight="1" x14ac:dyDescent="0.2">
      <c r="A10" s="2"/>
      <c r="B10" s="123"/>
      <c r="C10" s="124"/>
      <c r="D10" s="120"/>
      <c r="E10" s="146"/>
      <c r="F10" s="146"/>
      <c r="G10" s="146"/>
      <c r="H10" s="146"/>
      <c r="I10" s="146"/>
      <c r="J10" s="146"/>
      <c r="K10" s="146"/>
      <c r="L10" s="146"/>
      <c r="M10" s="146"/>
      <c r="N10" s="19"/>
      <c r="O10" s="88"/>
      <c r="P10" s="88"/>
      <c r="Q10" s="88"/>
      <c r="R10" s="88"/>
      <c r="S10" s="88"/>
      <c r="T10" s="88"/>
      <c r="U10" s="88"/>
      <c r="V10" s="88"/>
      <c r="W10" s="88"/>
      <c r="X10" s="88"/>
      <c r="Y10" s="88"/>
      <c r="Z10" s="88"/>
      <c r="AA10" s="88"/>
      <c r="AB10" s="88"/>
      <c r="AC10" s="88"/>
      <c r="AD10" s="88"/>
      <c r="AE10" s="88"/>
      <c r="AF10" s="88"/>
      <c r="AG10" s="88"/>
    </row>
    <row r="11" spans="1:33" s="6" customFormat="1" ht="12" customHeight="1" x14ac:dyDescent="0.2">
      <c r="A11" s="2"/>
      <c r="B11" s="121" t="s">
        <v>139</v>
      </c>
      <c r="C11" s="122" t="s">
        <v>150</v>
      </c>
      <c r="D11" s="119"/>
      <c r="E11" s="145">
        <v>0.77569999999999995</v>
      </c>
      <c r="F11" s="145" t="s">
        <v>109</v>
      </c>
      <c r="G11" s="145" t="s">
        <v>109</v>
      </c>
      <c r="H11" s="145" t="s">
        <v>109</v>
      </c>
      <c r="I11" s="145" t="s">
        <v>109</v>
      </c>
      <c r="J11" s="145" t="s">
        <v>109</v>
      </c>
      <c r="K11" s="145" t="s">
        <v>109</v>
      </c>
      <c r="L11" s="145" t="s">
        <v>109</v>
      </c>
      <c r="M11" s="145" t="s">
        <v>109</v>
      </c>
      <c r="N11" s="19"/>
      <c r="O11" s="88"/>
      <c r="P11" s="88"/>
      <c r="Q11" s="88"/>
      <c r="R11" s="88"/>
      <c r="S11" s="88"/>
      <c r="T11" s="88"/>
      <c r="U11" s="88"/>
      <c r="V11" s="88"/>
      <c r="W11" s="88"/>
      <c r="X11" s="88"/>
      <c r="Y11" s="88"/>
      <c r="Z11" s="88"/>
      <c r="AA11" s="88"/>
      <c r="AB11" s="108"/>
      <c r="AC11" s="88"/>
      <c r="AD11" s="88"/>
      <c r="AE11" s="88"/>
      <c r="AF11" s="88"/>
      <c r="AG11" s="88"/>
    </row>
    <row r="12" spans="1:33" s="6" customFormat="1" ht="5.25" customHeight="1" x14ac:dyDescent="0.2">
      <c r="A12" s="2"/>
      <c r="B12" s="123"/>
      <c r="C12" s="124"/>
      <c r="D12" s="120"/>
      <c r="E12" s="146"/>
      <c r="F12" s="146"/>
      <c r="G12" s="146"/>
      <c r="H12" s="146"/>
      <c r="I12" s="146"/>
      <c r="J12" s="146"/>
      <c r="K12" s="146"/>
      <c r="L12" s="146"/>
      <c r="M12" s="146"/>
      <c r="N12" s="19"/>
      <c r="O12" s="88"/>
      <c r="P12" s="88"/>
      <c r="Q12" s="88"/>
      <c r="R12" s="88"/>
      <c r="S12" s="88"/>
      <c r="T12" s="88"/>
      <c r="U12" s="88"/>
      <c r="V12" s="88"/>
      <c r="W12" s="88"/>
      <c r="X12" s="88"/>
      <c r="Y12" s="88"/>
      <c r="Z12" s="88"/>
      <c r="AA12" s="88"/>
      <c r="AB12" s="108"/>
      <c r="AC12" s="88"/>
      <c r="AD12" s="88"/>
      <c r="AE12" s="88"/>
      <c r="AF12" s="88"/>
      <c r="AG12" s="88"/>
    </row>
    <row r="13" spans="1:33" s="6" customFormat="1" ht="12" customHeight="1" x14ac:dyDescent="0.2">
      <c r="A13" s="2"/>
      <c r="B13" s="121" t="s">
        <v>140</v>
      </c>
      <c r="C13" s="122" t="s">
        <v>151</v>
      </c>
      <c r="D13" s="119"/>
      <c r="E13" s="145">
        <v>0.37</v>
      </c>
      <c r="F13" s="145">
        <f>Configuration!J9</f>
        <v>0.36259999999999998</v>
      </c>
      <c r="G13" s="145">
        <f>Configuration!K9</f>
        <v>0.35520000000000002</v>
      </c>
      <c r="H13" s="145">
        <f>Configuration!L9</f>
        <v>0.3478</v>
      </c>
      <c r="I13" s="145">
        <f>Configuration!M9</f>
        <v>0.34039999999999998</v>
      </c>
      <c r="J13" s="145">
        <f>Configuration!N9</f>
        <v>0.33300000000000002</v>
      </c>
      <c r="K13" s="145">
        <f>Configuration!O9</f>
        <v>0.3256</v>
      </c>
      <c r="L13" s="145">
        <f>Configuration!P9</f>
        <v>0.31819999999999998</v>
      </c>
      <c r="M13" s="145">
        <f>Configuration!Q9</f>
        <v>0.31080000000000002</v>
      </c>
      <c r="N13" s="19"/>
      <c r="O13" s="88"/>
      <c r="P13" s="88"/>
      <c r="Q13" s="88"/>
      <c r="R13" s="88"/>
      <c r="S13" s="88"/>
      <c r="T13" s="88"/>
      <c r="U13" s="88"/>
      <c r="V13" s="88"/>
      <c r="W13" s="88"/>
      <c r="X13" s="88"/>
      <c r="Y13" s="88"/>
      <c r="Z13" s="88"/>
      <c r="AA13" s="88"/>
      <c r="AB13" s="108"/>
      <c r="AC13" s="88"/>
      <c r="AD13" s="88"/>
      <c r="AE13" s="88"/>
      <c r="AF13" s="88"/>
      <c r="AG13" s="88"/>
    </row>
    <row r="14" spans="1:33" s="6" customFormat="1" ht="4.5" customHeight="1" x14ac:dyDescent="0.2">
      <c r="A14" s="2"/>
      <c r="B14" s="123"/>
      <c r="C14" s="124"/>
      <c r="D14" s="120"/>
      <c r="E14" s="146"/>
      <c r="F14" s="146"/>
      <c r="G14" s="146"/>
      <c r="H14" s="146"/>
      <c r="I14" s="146"/>
      <c r="J14" s="146"/>
      <c r="K14" s="146"/>
      <c r="L14" s="146"/>
      <c r="M14" s="146"/>
      <c r="N14" s="19"/>
      <c r="O14" s="88"/>
      <c r="P14" s="88"/>
      <c r="Q14" s="88"/>
      <c r="R14" s="88"/>
      <c r="S14" s="88"/>
      <c r="T14" s="88"/>
      <c r="U14" s="88"/>
      <c r="V14" s="88"/>
      <c r="W14" s="88"/>
      <c r="X14" s="88"/>
      <c r="Y14" s="88"/>
      <c r="Z14" s="88"/>
      <c r="AA14" s="88"/>
      <c r="AB14" s="108"/>
      <c r="AC14" s="88"/>
      <c r="AD14" s="88"/>
      <c r="AE14" s="88"/>
      <c r="AF14" s="88"/>
      <c r="AG14" s="88"/>
    </row>
    <row r="15" spans="1:33" s="6" customFormat="1" ht="12" customHeight="1" x14ac:dyDescent="0.2">
      <c r="A15" s="2"/>
      <c r="B15" s="121" t="s">
        <v>141</v>
      </c>
      <c r="C15" s="122" t="s">
        <v>150</v>
      </c>
      <c r="D15" s="119"/>
      <c r="E15" s="145">
        <v>0.50229999999999997</v>
      </c>
      <c r="F15" s="145" t="s">
        <v>109</v>
      </c>
      <c r="G15" s="145" t="s">
        <v>109</v>
      </c>
      <c r="H15" s="145" t="s">
        <v>109</v>
      </c>
      <c r="I15" s="145" t="s">
        <v>109</v>
      </c>
      <c r="J15" s="145" t="s">
        <v>109</v>
      </c>
      <c r="K15" s="145" t="s">
        <v>109</v>
      </c>
      <c r="L15" s="145" t="s">
        <v>109</v>
      </c>
      <c r="M15" s="145" t="s">
        <v>109</v>
      </c>
      <c r="N15" s="19"/>
      <c r="O15" s="88"/>
      <c r="P15" s="88"/>
      <c r="Q15" s="88"/>
      <c r="R15" s="88"/>
      <c r="S15" s="88"/>
      <c r="T15" s="88"/>
      <c r="U15" s="88"/>
      <c r="V15" s="88"/>
      <c r="W15" s="88"/>
      <c r="X15" s="88"/>
      <c r="Y15" s="88"/>
      <c r="Z15" s="88"/>
      <c r="AA15" s="88"/>
      <c r="AB15" s="108"/>
      <c r="AC15" s="88"/>
      <c r="AD15" s="88"/>
      <c r="AE15" s="88"/>
      <c r="AF15" s="88"/>
      <c r="AG15" s="88"/>
    </row>
    <row r="16" spans="1:33" s="6" customFormat="1" ht="6" customHeight="1" x14ac:dyDescent="0.2">
      <c r="A16" s="2"/>
      <c r="B16" s="123"/>
      <c r="C16" s="124"/>
      <c r="D16" s="120"/>
      <c r="E16" s="146"/>
      <c r="F16" s="146"/>
      <c r="G16" s="146"/>
      <c r="H16" s="146"/>
      <c r="I16" s="146"/>
      <c r="J16" s="146"/>
      <c r="K16" s="146"/>
      <c r="L16" s="146"/>
      <c r="M16" s="146"/>
      <c r="N16" s="19"/>
      <c r="O16" s="88"/>
      <c r="P16" s="88"/>
      <c r="Q16" s="88"/>
      <c r="R16" s="88"/>
      <c r="S16" s="88"/>
      <c r="T16" s="88"/>
      <c r="U16" s="88"/>
      <c r="V16" s="88"/>
      <c r="W16" s="88"/>
      <c r="X16" s="88"/>
      <c r="Y16" s="88"/>
      <c r="Z16" s="88"/>
      <c r="AA16" s="88"/>
      <c r="AB16" s="108"/>
      <c r="AC16" s="88"/>
      <c r="AD16" s="88"/>
      <c r="AE16" s="88"/>
      <c r="AF16" s="88"/>
      <c r="AG16" s="88"/>
    </row>
    <row r="17" spans="1:33" s="6" customFormat="1" ht="12" customHeight="1" x14ac:dyDescent="0.2">
      <c r="A17" s="2"/>
      <c r="B17" s="121" t="s">
        <v>142</v>
      </c>
      <c r="C17" s="122" t="s">
        <v>152</v>
      </c>
      <c r="D17" s="119"/>
      <c r="E17" s="145">
        <v>0.4793</v>
      </c>
      <c r="F17" s="145"/>
      <c r="G17" s="145"/>
      <c r="H17" s="145"/>
      <c r="I17" s="145"/>
      <c r="J17" s="145"/>
      <c r="K17" s="145"/>
      <c r="L17" s="145"/>
      <c r="M17" s="145"/>
      <c r="N17" s="19"/>
      <c r="O17" s="88"/>
      <c r="P17" s="88"/>
      <c r="Q17" s="88"/>
      <c r="R17" s="88"/>
      <c r="S17" s="88"/>
      <c r="T17" s="88"/>
      <c r="U17" s="88"/>
      <c r="V17" s="88"/>
      <c r="W17" s="88"/>
      <c r="X17" s="88"/>
      <c r="Y17" s="88"/>
      <c r="Z17" s="88"/>
      <c r="AA17" s="88"/>
      <c r="AB17" s="108"/>
      <c r="AC17" s="88"/>
      <c r="AD17" s="88"/>
      <c r="AE17" s="88"/>
      <c r="AF17" s="88"/>
      <c r="AG17" s="88"/>
    </row>
    <row r="18" spans="1:33" s="6" customFormat="1" ht="5.25" customHeight="1" x14ac:dyDescent="0.2">
      <c r="A18" s="2"/>
      <c r="B18" s="123"/>
      <c r="C18" s="124"/>
      <c r="D18" s="120"/>
      <c r="E18" s="146"/>
      <c r="F18" s="146"/>
      <c r="G18" s="146"/>
      <c r="H18" s="146"/>
      <c r="I18" s="146"/>
      <c r="J18" s="146"/>
      <c r="K18" s="146"/>
      <c r="L18" s="146"/>
      <c r="M18" s="146"/>
      <c r="N18" s="19"/>
      <c r="O18" s="88"/>
      <c r="P18" s="88"/>
      <c r="Q18" s="88"/>
      <c r="R18" s="88"/>
      <c r="S18" s="88"/>
      <c r="T18" s="88"/>
      <c r="U18" s="88"/>
      <c r="V18" s="88"/>
      <c r="W18" s="88"/>
      <c r="X18" s="88"/>
      <c r="Y18" s="88"/>
      <c r="Z18" s="88"/>
      <c r="AA18" s="88"/>
      <c r="AB18" s="108"/>
      <c r="AC18" s="88"/>
      <c r="AD18" s="88"/>
      <c r="AE18" s="88"/>
      <c r="AF18" s="88"/>
      <c r="AG18" s="88"/>
    </row>
    <row r="19" spans="1:33" s="6" customFormat="1" ht="12" customHeight="1" x14ac:dyDescent="0.2">
      <c r="A19" s="2"/>
      <c r="B19" s="121" t="s">
        <v>143</v>
      </c>
      <c r="C19" s="122" t="s">
        <v>150</v>
      </c>
      <c r="D19" s="119"/>
      <c r="E19" s="145">
        <v>0.4819</v>
      </c>
      <c r="F19" s="145" t="s">
        <v>109</v>
      </c>
      <c r="G19" s="145" t="s">
        <v>109</v>
      </c>
      <c r="H19" s="145" t="s">
        <v>109</v>
      </c>
      <c r="I19" s="145" t="s">
        <v>109</v>
      </c>
      <c r="J19" s="145" t="s">
        <v>109</v>
      </c>
      <c r="K19" s="145" t="s">
        <v>109</v>
      </c>
      <c r="L19" s="145" t="s">
        <v>109</v>
      </c>
      <c r="M19" s="145" t="s">
        <v>109</v>
      </c>
      <c r="N19" s="19"/>
      <c r="O19" s="88"/>
      <c r="P19" s="88"/>
      <c r="Q19" s="88"/>
      <c r="R19" s="88"/>
      <c r="S19" s="88"/>
      <c r="T19" s="88"/>
      <c r="U19" s="88"/>
      <c r="V19" s="88"/>
      <c r="W19" s="88"/>
      <c r="X19" s="88"/>
      <c r="Y19" s="88"/>
      <c r="Z19" s="88"/>
      <c r="AA19" s="88"/>
      <c r="AB19" s="108"/>
      <c r="AC19" s="88"/>
      <c r="AD19" s="88"/>
      <c r="AE19" s="88"/>
      <c r="AF19" s="88"/>
      <c r="AG19" s="88"/>
    </row>
    <row r="20" spans="1:33" s="6" customFormat="1" ht="5.25" customHeight="1" x14ac:dyDescent="0.2">
      <c r="A20" s="2"/>
      <c r="B20" s="125"/>
      <c r="C20" s="126"/>
      <c r="D20" s="120"/>
      <c r="E20" s="147"/>
      <c r="F20" s="147"/>
      <c r="G20" s="147"/>
      <c r="H20" s="147"/>
      <c r="I20" s="147"/>
      <c r="J20" s="147"/>
      <c r="K20" s="147"/>
      <c r="L20" s="147"/>
      <c r="M20" s="147"/>
      <c r="N20" s="19"/>
      <c r="O20" s="88"/>
      <c r="P20" s="88"/>
      <c r="Q20" s="88"/>
      <c r="R20" s="88"/>
      <c r="S20" s="88"/>
      <c r="T20" s="88"/>
      <c r="U20" s="88"/>
      <c r="V20" s="88"/>
      <c r="W20" s="88"/>
      <c r="X20" s="88"/>
      <c r="Y20" s="88"/>
      <c r="Z20" s="88"/>
      <c r="AA20" s="88"/>
      <c r="AB20" s="108"/>
      <c r="AC20" s="88"/>
      <c r="AD20" s="88"/>
      <c r="AE20" s="88"/>
      <c r="AF20" s="88"/>
      <c r="AG20" s="88"/>
    </row>
    <row r="21" spans="1:33" s="6" customFormat="1" ht="12" customHeight="1" x14ac:dyDescent="0.2">
      <c r="A21" s="2"/>
      <c r="B21" s="121" t="s">
        <v>144</v>
      </c>
      <c r="C21" s="122" t="s">
        <v>150</v>
      </c>
      <c r="D21" s="119"/>
      <c r="E21" s="145">
        <v>9.0679999999999996</v>
      </c>
      <c r="F21" s="145">
        <f>Configuration!J10</f>
        <v>8.9930000000000003</v>
      </c>
      <c r="G21" s="145">
        <f>Configuration!K10</f>
        <v>8.9190000000000005</v>
      </c>
      <c r="H21" s="145">
        <f>Configuration!L10</f>
        <v>8.8439999999999994</v>
      </c>
      <c r="I21" s="145">
        <f>Configuration!M10</f>
        <v>8.7690000000000001</v>
      </c>
      <c r="J21" s="145">
        <f>Configuration!N10</f>
        <v>8.6940000000000008</v>
      </c>
      <c r="K21" s="145">
        <f>Configuration!O10</f>
        <v>8.6199999999999992</v>
      </c>
      <c r="L21" s="145">
        <f>Configuration!P10</f>
        <v>8.5449999999999999</v>
      </c>
      <c r="M21" s="145">
        <f>Configuration!Q10</f>
        <v>8.4700000000000006</v>
      </c>
      <c r="N21" s="19"/>
      <c r="O21" s="88"/>
      <c r="P21" s="88"/>
      <c r="Q21" s="88"/>
      <c r="R21" s="88"/>
      <c r="S21" s="88"/>
      <c r="T21" s="88"/>
      <c r="U21" s="88"/>
      <c r="V21" s="88"/>
      <c r="W21" s="88"/>
      <c r="X21" s="88"/>
      <c r="Y21" s="88"/>
      <c r="Z21" s="88"/>
      <c r="AA21" s="88"/>
      <c r="AB21" s="108"/>
      <c r="AC21" s="88"/>
      <c r="AD21" s="88"/>
      <c r="AE21" s="88"/>
      <c r="AF21" s="88"/>
      <c r="AG21" s="88"/>
    </row>
    <row r="22" spans="1:33" s="6" customFormat="1" ht="5.25" customHeight="1" x14ac:dyDescent="0.2">
      <c r="A22" s="2"/>
      <c r="B22" s="123"/>
      <c r="C22" s="124"/>
      <c r="D22" s="120"/>
      <c r="E22" s="146"/>
      <c r="F22" s="146"/>
      <c r="G22" s="146"/>
      <c r="H22" s="146"/>
      <c r="I22" s="146"/>
      <c r="J22" s="146"/>
      <c r="K22" s="146"/>
      <c r="L22" s="146"/>
      <c r="M22" s="146"/>
      <c r="N22" s="19"/>
      <c r="O22" s="88"/>
      <c r="P22" s="88"/>
      <c r="Q22" s="88"/>
      <c r="R22" s="88"/>
      <c r="S22" s="88"/>
      <c r="T22" s="88"/>
      <c r="U22" s="88"/>
      <c r="V22" s="88"/>
      <c r="W22" s="88"/>
      <c r="X22" s="88"/>
      <c r="Y22" s="88"/>
      <c r="Z22" s="88"/>
      <c r="AA22" s="88"/>
      <c r="AB22" s="108"/>
      <c r="AC22" s="88"/>
      <c r="AD22" s="88"/>
      <c r="AE22" s="88"/>
      <c r="AF22" s="88"/>
      <c r="AG22" s="88"/>
    </row>
    <row r="23" spans="1:33" s="6" customFormat="1" ht="12" customHeight="1" x14ac:dyDescent="0.2">
      <c r="A23" s="2"/>
      <c r="B23" s="121" t="s">
        <v>145</v>
      </c>
      <c r="C23" s="122" t="s">
        <v>153</v>
      </c>
      <c r="D23" s="119"/>
      <c r="E23" s="145">
        <v>6.2990000000000004E-2</v>
      </c>
      <c r="F23" s="145">
        <f>Configuration!J8</f>
        <v>6.173E-2</v>
      </c>
      <c r="G23" s="145">
        <f>Configuration!K8</f>
        <v>6.0470000000000003E-2</v>
      </c>
      <c r="H23" s="145">
        <f>Configuration!L8</f>
        <v>5.9209999999999999E-2</v>
      </c>
      <c r="I23" s="145">
        <f>Configuration!M8</f>
        <v>5.7950000000000002E-2</v>
      </c>
      <c r="J23" s="145">
        <f>Configuration!N8</f>
        <v>5.6689999999999997E-2</v>
      </c>
      <c r="K23" s="145">
        <f>Configuration!O8</f>
        <v>5.543E-2</v>
      </c>
      <c r="L23" s="145">
        <f>Configuration!P8</f>
        <v>5.4170000000000003E-2</v>
      </c>
      <c r="M23" s="145">
        <f>Configuration!Q8</f>
        <v>5.2909999999999999E-2</v>
      </c>
      <c r="N23" s="19"/>
      <c r="O23" s="88"/>
      <c r="P23" s="88"/>
      <c r="Q23" s="88"/>
      <c r="R23" s="88"/>
      <c r="S23" s="88"/>
      <c r="T23" s="88"/>
      <c r="U23" s="88"/>
      <c r="V23" s="88"/>
      <c r="W23" s="88"/>
      <c r="X23" s="88"/>
      <c r="Y23" s="88"/>
      <c r="Z23" s="88"/>
      <c r="AA23" s="88"/>
      <c r="AB23" s="108"/>
      <c r="AC23" s="88"/>
      <c r="AD23" s="88"/>
      <c r="AE23" s="88"/>
      <c r="AF23" s="88"/>
      <c r="AG23" s="88"/>
    </row>
    <row r="24" spans="1:33" s="6" customFormat="1" ht="5.25" customHeight="1" x14ac:dyDescent="0.2">
      <c r="A24" s="2"/>
      <c r="B24" s="123"/>
      <c r="C24" s="124"/>
      <c r="D24" s="120"/>
      <c r="E24" s="146"/>
      <c r="F24" s="146"/>
      <c r="G24" s="146"/>
      <c r="H24" s="146"/>
      <c r="I24" s="146"/>
      <c r="J24" s="146"/>
      <c r="K24" s="146"/>
      <c r="L24" s="146"/>
      <c r="M24" s="146"/>
      <c r="N24" s="19"/>
      <c r="O24" s="88"/>
      <c r="P24" s="88"/>
      <c r="Q24" s="88"/>
      <c r="R24" s="88"/>
      <c r="S24" s="88"/>
      <c r="T24" s="88"/>
      <c r="U24" s="88"/>
      <c r="V24" s="88"/>
      <c r="W24" s="88"/>
      <c r="X24" s="88"/>
      <c r="Y24" s="88"/>
      <c r="Z24" s="88"/>
      <c r="AA24" s="88"/>
      <c r="AB24" s="108"/>
      <c r="AC24" s="88"/>
      <c r="AD24" s="88"/>
      <c r="AE24" s="88"/>
      <c r="AF24" s="88"/>
      <c r="AG24" s="88"/>
    </row>
    <row r="25" spans="1:33" s="6" customFormat="1" ht="12" customHeight="1" x14ac:dyDescent="0.2">
      <c r="A25" s="2"/>
      <c r="B25" s="121" t="s">
        <v>146</v>
      </c>
      <c r="C25" s="122" t="s">
        <v>154</v>
      </c>
      <c r="D25" s="119"/>
      <c r="E25" s="145">
        <v>0.65820000000000001</v>
      </c>
      <c r="F25" s="145" t="s">
        <v>109</v>
      </c>
      <c r="G25" s="145" t="s">
        <v>109</v>
      </c>
      <c r="H25" s="145" t="s">
        <v>109</v>
      </c>
      <c r="I25" s="145" t="s">
        <v>109</v>
      </c>
      <c r="J25" s="145" t="s">
        <v>109</v>
      </c>
      <c r="K25" s="145" t="s">
        <v>109</v>
      </c>
      <c r="L25" s="145" t="s">
        <v>109</v>
      </c>
      <c r="M25" s="145" t="s">
        <v>109</v>
      </c>
      <c r="N25" s="19"/>
      <c r="O25" s="88"/>
      <c r="P25" s="88"/>
      <c r="Q25" s="88"/>
      <c r="R25" s="88"/>
      <c r="S25" s="88"/>
      <c r="T25" s="88"/>
      <c r="U25" s="88"/>
      <c r="V25" s="88"/>
      <c r="W25" s="88"/>
      <c r="X25" s="88"/>
      <c r="Y25" s="88"/>
      <c r="Z25" s="88"/>
      <c r="AA25" s="88"/>
      <c r="AB25" s="108"/>
      <c r="AC25" s="88"/>
      <c r="AD25" s="88"/>
      <c r="AE25" s="88"/>
      <c r="AF25" s="88"/>
      <c r="AG25" s="88"/>
    </row>
    <row r="26" spans="1:33" s="6" customFormat="1" ht="5.25" customHeight="1" x14ac:dyDescent="0.2">
      <c r="A26" s="2"/>
      <c r="B26" s="123"/>
      <c r="C26" s="124"/>
      <c r="D26" s="120"/>
      <c r="E26" s="146"/>
      <c r="F26" s="146"/>
      <c r="G26" s="146"/>
      <c r="H26" s="146"/>
      <c r="I26" s="146"/>
      <c r="J26" s="146"/>
      <c r="K26" s="146"/>
      <c r="L26" s="146"/>
      <c r="M26" s="146"/>
      <c r="N26" s="19"/>
      <c r="O26" s="88"/>
      <c r="P26" s="88"/>
      <c r="Q26" s="88"/>
      <c r="R26" s="88"/>
      <c r="S26" s="88"/>
      <c r="T26" s="88"/>
      <c r="U26" s="88"/>
      <c r="V26" s="88"/>
      <c r="W26" s="88"/>
      <c r="X26" s="88"/>
      <c r="Y26" s="88"/>
      <c r="Z26" s="88"/>
      <c r="AA26" s="88"/>
      <c r="AB26" s="108"/>
      <c r="AC26" s="88"/>
      <c r="AD26" s="88"/>
      <c r="AE26" s="88"/>
      <c r="AF26" s="88"/>
      <c r="AG26" s="88"/>
    </row>
    <row r="27" spans="1:33" s="6" customFormat="1" ht="12" customHeight="1" x14ac:dyDescent="0.2">
      <c r="A27" s="2"/>
      <c r="B27" s="121" t="s">
        <v>147</v>
      </c>
      <c r="C27" s="122" t="s">
        <v>155</v>
      </c>
      <c r="D27" s="119"/>
      <c r="E27" s="145">
        <v>0.2974</v>
      </c>
      <c r="F27" s="145" t="s">
        <v>109</v>
      </c>
      <c r="G27" s="145" t="s">
        <v>109</v>
      </c>
      <c r="H27" s="145" t="s">
        <v>109</v>
      </c>
      <c r="I27" s="145" t="s">
        <v>109</v>
      </c>
      <c r="J27" s="145" t="s">
        <v>109</v>
      </c>
      <c r="K27" s="145" t="s">
        <v>109</v>
      </c>
      <c r="L27" s="145" t="s">
        <v>109</v>
      </c>
      <c r="M27" s="145" t="s">
        <v>109</v>
      </c>
      <c r="N27" s="19"/>
      <c r="O27" s="88"/>
      <c r="P27" s="88"/>
      <c r="Q27" s="88"/>
      <c r="R27" s="88"/>
      <c r="S27" s="88"/>
      <c r="T27" s="88"/>
      <c r="U27" s="88"/>
      <c r="V27" s="88"/>
      <c r="W27" s="88"/>
      <c r="X27" s="88"/>
      <c r="Y27" s="88"/>
      <c r="Z27" s="88"/>
      <c r="AA27" s="88"/>
      <c r="AB27" s="108"/>
      <c r="AC27" s="88"/>
      <c r="AD27" s="88"/>
      <c r="AE27" s="88"/>
      <c r="AF27" s="88"/>
      <c r="AG27" s="88"/>
    </row>
    <row r="28" spans="1:33" s="6" customFormat="1" ht="5.25" customHeight="1" x14ac:dyDescent="0.2">
      <c r="A28" s="2"/>
      <c r="B28" s="123"/>
      <c r="C28" s="124"/>
      <c r="D28" s="120"/>
      <c r="E28" s="146"/>
      <c r="F28" s="146"/>
      <c r="G28" s="146"/>
      <c r="H28" s="146"/>
      <c r="I28" s="146"/>
      <c r="J28" s="146"/>
      <c r="K28" s="146"/>
      <c r="L28" s="146"/>
      <c r="M28" s="146"/>
      <c r="N28" s="19"/>
      <c r="O28" s="88"/>
      <c r="P28" s="88"/>
      <c r="Q28" s="88"/>
      <c r="R28" s="88"/>
      <c r="S28" s="88"/>
      <c r="T28" s="88"/>
      <c r="U28" s="88"/>
      <c r="V28" s="88"/>
      <c r="W28" s="88"/>
      <c r="X28" s="88"/>
      <c r="Y28" s="88"/>
      <c r="Z28" s="88"/>
      <c r="AA28" s="88"/>
      <c r="AB28" s="88"/>
      <c r="AC28" s="88"/>
      <c r="AD28" s="88"/>
      <c r="AE28" s="88"/>
      <c r="AF28" s="88"/>
      <c r="AG28" s="88"/>
    </row>
    <row r="29" spans="1:33" s="6" customFormat="1" ht="12" customHeight="1" x14ac:dyDescent="0.2">
      <c r="A29" s="2"/>
      <c r="B29" s="121" t="s">
        <v>148</v>
      </c>
      <c r="C29" s="122" t="s">
        <v>155</v>
      </c>
      <c r="D29" s="119"/>
      <c r="E29" s="145">
        <v>0.19489999999999999</v>
      </c>
      <c r="F29" s="145" t="s">
        <v>109</v>
      </c>
      <c r="G29" s="145" t="s">
        <v>109</v>
      </c>
      <c r="H29" s="145" t="s">
        <v>109</v>
      </c>
      <c r="I29" s="145" t="s">
        <v>109</v>
      </c>
      <c r="J29" s="145" t="s">
        <v>109</v>
      </c>
      <c r="K29" s="145" t="s">
        <v>109</v>
      </c>
      <c r="L29" s="145" t="s">
        <v>109</v>
      </c>
      <c r="M29" s="145" t="s">
        <v>109</v>
      </c>
      <c r="N29" s="19"/>
      <c r="O29" s="88"/>
      <c r="P29" s="88"/>
      <c r="Q29" s="88"/>
      <c r="R29" s="88"/>
      <c r="S29" s="88"/>
      <c r="T29" s="88"/>
      <c r="U29" s="88"/>
      <c r="V29" s="88"/>
      <c r="W29" s="88"/>
      <c r="X29" s="88"/>
      <c r="Y29" s="88"/>
      <c r="Z29" s="88"/>
      <c r="AA29" s="88"/>
      <c r="AB29" s="88"/>
      <c r="AC29" s="88"/>
      <c r="AD29" s="88"/>
      <c r="AE29" s="88"/>
      <c r="AF29" s="88"/>
      <c r="AG29" s="88"/>
    </row>
    <row r="30" spans="1:33" s="6" customFormat="1" ht="5.25" customHeight="1" x14ac:dyDescent="0.2">
      <c r="A30" s="2"/>
      <c r="B30" s="123"/>
      <c r="C30" s="124"/>
      <c r="D30" s="120"/>
      <c r="E30" s="146"/>
      <c r="F30" s="146"/>
      <c r="G30" s="146"/>
      <c r="H30" s="146"/>
      <c r="I30" s="146"/>
      <c r="J30" s="146"/>
      <c r="K30" s="146"/>
      <c r="L30" s="146"/>
      <c r="M30" s="146"/>
      <c r="N30" s="19"/>
      <c r="O30" s="88"/>
      <c r="P30" s="88"/>
      <c r="Q30" s="88"/>
      <c r="R30" s="88"/>
      <c r="S30" s="88"/>
      <c r="T30" s="88"/>
      <c r="U30" s="88"/>
      <c r="V30" s="88"/>
      <c r="W30" s="88"/>
      <c r="X30" s="88"/>
      <c r="Y30" s="88"/>
      <c r="Z30" s="88"/>
      <c r="AA30" s="88"/>
      <c r="AB30" s="88"/>
      <c r="AC30" s="88"/>
      <c r="AD30" s="88"/>
      <c r="AE30" s="88"/>
      <c r="AF30" s="88"/>
      <c r="AG30" s="88"/>
    </row>
    <row r="31" spans="1:33" s="6" customFormat="1" ht="12" customHeight="1" x14ac:dyDescent="0.2">
      <c r="A31" s="2"/>
      <c r="B31" s="121" t="s">
        <v>149</v>
      </c>
      <c r="C31" s="122" t="s">
        <v>152</v>
      </c>
      <c r="D31" s="119"/>
      <c r="E31" s="145">
        <v>0.46439999999999998</v>
      </c>
      <c r="F31" s="145"/>
      <c r="G31" s="145"/>
      <c r="H31" s="145"/>
      <c r="I31" s="145"/>
      <c r="J31" s="145"/>
      <c r="K31" s="145"/>
      <c r="L31" s="145"/>
      <c r="M31" s="145"/>
      <c r="N31" s="19"/>
      <c r="O31" s="88"/>
      <c r="P31" s="88"/>
      <c r="Q31" s="88"/>
      <c r="R31" s="88"/>
      <c r="S31" s="88"/>
      <c r="T31" s="88"/>
      <c r="U31" s="88"/>
      <c r="V31" s="88"/>
      <c r="W31" s="88"/>
      <c r="X31" s="88"/>
      <c r="Y31" s="88"/>
      <c r="Z31" s="88"/>
      <c r="AA31" s="88"/>
      <c r="AB31" s="88"/>
      <c r="AC31" s="88"/>
      <c r="AD31" s="88"/>
      <c r="AE31" s="88"/>
      <c r="AF31" s="88"/>
      <c r="AG31" s="88"/>
    </row>
    <row r="32" spans="1:33" s="6" customFormat="1" ht="5.25" customHeight="1" x14ac:dyDescent="0.2">
      <c r="A32" s="2"/>
      <c r="B32" s="123"/>
      <c r="C32" s="124"/>
      <c r="D32" s="120"/>
      <c r="E32" s="146"/>
      <c r="F32" s="146"/>
      <c r="G32" s="146"/>
      <c r="H32" s="146"/>
      <c r="I32" s="146"/>
      <c r="J32" s="146"/>
      <c r="K32" s="146"/>
      <c r="L32" s="146"/>
      <c r="M32" s="146"/>
      <c r="N32" s="19"/>
      <c r="O32" s="88"/>
      <c r="P32" s="88"/>
      <c r="Q32" s="88"/>
      <c r="R32" s="88"/>
      <c r="S32" s="88"/>
      <c r="T32" s="88"/>
      <c r="U32" s="88"/>
      <c r="V32" s="88"/>
      <c r="W32" s="88"/>
      <c r="X32" s="88"/>
      <c r="Y32" s="88"/>
      <c r="Z32" s="88"/>
      <c r="AA32" s="88"/>
      <c r="AB32" s="88"/>
      <c r="AC32" s="88"/>
      <c r="AD32" s="88"/>
      <c r="AE32" s="88"/>
      <c r="AF32" s="88"/>
      <c r="AG32" s="88"/>
    </row>
    <row r="33" spans="1:33" s="6" customFormat="1" ht="12" customHeight="1" x14ac:dyDescent="0.2">
      <c r="A33" s="2"/>
      <c r="B33" s="121" t="s">
        <v>199</v>
      </c>
      <c r="C33" s="122" t="s">
        <v>152</v>
      </c>
      <c r="D33" s="119"/>
      <c r="E33" s="145"/>
      <c r="F33" s="145" t="s">
        <v>109</v>
      </c>
      <c r="G33" s="145" t="s">
        <v>109</v>
      </c>
      <c r="H33" s="145" t="s">
        <v>109</v>
      </c>
      <c r="I33" s="145" t="s">
        <v>109</v>
      </c>
      <c r="J33" s="145" t="s">
        <v>109</v>
      </c>
      <c r="K33" s="145" t="s">
        <v>109</v>
      </c>
      <c r="L33" s="145" t="s">
        <v>109</v>
      </c>
      <c r="M33" s="145" t="s">
        <v>109</v>
      </c>
      <c r="N33" s="19"/>
      <c r="O33" s="88"/>
      <c r="P33" s="88"/>
      <c r="Q33" s="88"/>
      <c r="R33" s="88"/>
      <c r="S33" s="88"/>
      <c r="T33" s="88"/>
      <c r="U33" s="88"/>
      <c r="V33" s="88"/>
      <c r="W33" s="88"/>
      <c r="X33" s="88"/>
      <c r="Y33" s="88"/>
      <c r="Z33" s="88"/>
      <c r="AA33" s="88"/>
      <c r="AB33" s="88"/>
      <c r="AC33" s="88"/>
      <c r="AD33" s="88"/>
      <c r="AE33" s="88"/>
      <c r="AF33" s="88"/>
      <c r="AG33" s="88"/>
    </row>
    <row r="34" spans="1:33" s="6" customFormat="1" ht="5.25" customHeight="1" x14ac:dyDescent="0.2">
      <c r="A34" s="2"/>
      <c r="B34" s="123"/>
      <c r="C34" s="124"/>
      <c r="D34" s="120"/>
      <c r="E34" s="146"/>
      <c r="F34" s="146"/>
      <c r="G34" s="146"/>
      <c r="H34" s="146"/>
      <c r="I34" s="146"/>
      <c r="J34" s="146"/>
      <c r="K34" s="146"/>
      <c r="L34" s="146"/>
      <c r="M34" s="146"/>
      <c r="N34" s="19"/>
      <c r="O34" s="88"/>
      <c r="P34" s="88"/>
      <c r="Q34" s="88"/>
      <c r="R34" s="88"/>
      <c r="S34" s="88"/>
      <c r="T34" s="88"/>
      <c r="U34" s="88"/>
      <c r="V34" s="88"/>
      <c r="W34" s="88"/>
      <c r="X34" s="88"/>
      <c r="Y34" s="88"/>
      <c r="Z34" s="88"/>
      <c r="AA34" s="88"/>
      <c r="AB34" s="88"/>
      <c r="AC34" s="88"/>
      <c r="AD34" s="88"/>
      <c r="AE34" s="88"/>
      <c r="AF34" s="88"/>
      <c r="AG34" s="88"/>
    </row>
    <row r="35" spans="1:33" s="6" customFormat="1" ht="12" customHeight="1" x14ac:dyDescent="0.2">
      <c r="A35" s="2"/>
      <c r="B35" s="121" t="s">
        <v>156</v>
      </c>
      <c r="C35" s="122" t="s">
        <v>157</v>
      </c>
      <c r="D35" s="119"/>
      <c r="E35" s="145">
        <v>2.0419999999999998</v>
      </c>
      <c r="F35" s="145" t="s">
        <v>109</v>
      </c>
      <c r="G35" s="145" t="s">
        <v>109</v>
      </c>
      <c r="H35" s="145" t="s">
        <v>109</v>
      </c>
      <c r="I35" s="145" t="s">
        <v>109</v>
      </c>
      <c r="J35" s="145" t="s">
        <v>109</v>
      </c>
      <c r="K35" s="145" t="s">
        <v>109</v>
      </c>
      <c r="L35" s="145" t="s">
        <v>109</v>
      </c>
      <c r="M35" s="145" t="s">
        <v>109</v>
      </c>
      <c r="N35" s="19"/>
      <c r="O35" s="88"/>
      <c r="P35" s="88"/>
      <c r="Q35" s="88"/>
      <c r="R35" s="88"/>
      <c r="S35" s="88"/>
      <c r="T35" s="88"/>
      <c r="U35" s="88"/>
      <c r="V35" s="88"/>
      <c r="W35" s="88"/>
      <c r="X35" s="88"/>
      <c r="Y35" s="88"/>
      <c r="Z35" s="88"/>
      <c r="AA35" s="88"/>
      <c r="AB35" s="88"/>
      <c r="AC35" s="88"/>
      <c r="AD35" s="88"/>
      <c r="AE35" s="88"/>
      <c r="AF35" s="88"/>
      <c r="AG35" s="88"/>
    </row>
    <row r="36" spans="1:33" s="6" customFormat="1" ht="5.25" customHeight="1" x14ac:dyDescent="0.2">
      <c r="A36" s="2"/>
      <c r="B36" s="123"/>
      <c r="C36" s="124"/>
      <c r="D36" s="120"/>
      <c r="E36" s="146"/>
      <c r="F36" s="146"/>
      <c r="G36" s="146"/>
      <c r="H36" s="146"/>
      <c r="I36" s="146"/>
      <c r="J36" s="146"/>
      <c r="K36" s="146"/>
      <c r="L36" s="146"/>
      <c r="M36" s="146"/>
      <c r="N36" s="19"/>
      <c r="O36" s="88"/>
      <c r="P36" s="88"/>
      <c r="Q36" s="88"/>
      <c r="R36" s="88"/>
      <c r="S36" s="88"/>
      <c r="T36" s="88"/>
      <c r="U36" s="88"/>
      <c r="V36" s="88"/>
      <c r="W36" s="88"/>
      <c r="X36" s="88"/>
      <c r="Y36" s="88"/>
      <c r="Z36" s="88"/>
      <c r="AA36" s="88"/>
      <c r="AB36" s="88"/>
      <c r="AC36" s="88"/>
      <c r="AD36" s="88"/>
      <c r="AE36" s="88"/>
      <c r="AF36" s="88"/>
      <c r="AG36" s="88"/>
    </row>
    <row r="37" spans="1:33" s="6" customFormat="1" ht="12" customHeight="1" x14ac:dyDescent="0.2">
      <c r="A37" s="2"/>
      <c r="B37" s="121" t="s">
        <v>158</v>
      </c>
      <c r="C37" s="122" t="s">
        <v>159</v>
      </c>
      <c r="D37" s="119"/>
      <c r="E37" s="145">
        <v>2.8740000000000001</v>
      </c>
      <c r="F37" s="145" t="s">
        <v>109</v>
      </c>
      <c r="G37" s="145" t="s">
        <v>109</v>
      </c>
      <c r="H37" s="145" t="s">
        <v>109</v>
      </c>
      <c r="I37" s="145" t="s">
        <v>109</v>
      </c>
      <c r="J37" s="145" t="s">
        <v>109</v>
      </c>
      <c r="K37" s="145" t="s">
        <v>109</v>
      </c>
      <c r="L37" s="145" t="s">
        <v>109</v>
      </c>
      <c r="M37" s="145" t="s">
        <v>109</v>
      </c>
      <c r="N37" s="19"/>
      <c r="O37" s="88"/>
      <c r="P37" s="88"/>
      <c r="Q37" s="88"/>
      <c r="R37" s="88"/>
      <c r="S37" s="88"/>
      <c r="T37" s="88"/>
      <c r="U37" s="88"/>
      <c r="V37" s="88"/>
      <c r="W37" s="88"/>
      <c r="X37" s="88"/>
      <c r="Y37" s="88"/>
      <c r="Z37" s="88"/>
      <c r="AA37" s="88"/>
      <c r="AB37" s="88"/>
      <c r="AC37" s="88"/>
      <c r="AD37" s="88"/>
      <c r="AE37" s="88"/>
      <c r="AF37" s="88"/>
      <c r="AG37" s="88"/>
    </row>
    <row r="38" spans="1:33" s="6" customFormat="1" ht="5.25" customHeight="1" x14ac:dyDescent="0.2">
      <c r="A38" s="2"/>
      <c r="B38" s="123"/>
      <c r="C38" s="124"/>
      <c r="D38" s="120"/>
      <c r="E38" s="146"/>
      <c r="F38" s="146"/>
      <c r="G38" s="146"/>
      <c r="H38" s="146"/>
      <c r="I38" s="146"/>
      <c r="J38" s="146"/>
      <c r="K38" s="146"/>
      <c r="L38" s="146"/>
      <c r="M38" s="146"/>
      <c r="N38" s="19"/>
      <c r="O38" s="88"/>
      <c r="P38" s="88"/>
      <c r="Q38" s="88"/>
      <c r="R38" s="88"/>
      <c r="S38" s="88"/>
      <c r="T38" s="88"/>
      <c r="U38" s="88"/>
      <c r="V38" s="88"/>
      <c r="W38" s="88"/>
      <c r="X38" s="88"/>
      <c r="Y38" s="88"/>
      <c r="Z38" s="88"/>
      <c r="AA38" s="88"/>
      <c r="AB38" s="88"/>
      <c r="AC38" s="88"/>
      <c r="AD38" s="88"/>
      <c r="AE38" s="88"/>
      <c r="AF38" s="88"/>
      <c r="AG38" s="88"/>
    </row>
    <row r="39" spans="1:33" s="6" customFormat="1" ht="12" customHeight="1" x14ac:dyDescent="0.2">
      <c r="A39" s="2"/>
      <c r="B39" s="121" t="s">
        <v>160</v>
      </c>
      <c r="C39" s="122" t="s">
        <v>150</v>
      </c>
      <c r="D39" s="119"/>
      <c r="E39" s="145">
        <v>0.11409999999999999</v>
      </c>
      <c r="F39" s="145" t="s">
        <v>109</v>
      </c>
      <c r="G39" s="145" t="s">
        <v>109</v>
      </c>
      <c r="H39" s="145" t="s">
        <v>109</v>
      </c>
      <c r="I39" s="145" t="s">
        <v>109</v>
      </c>
      <c r="J39" s="145" t="s">
        <v>109</v>
      </c>
      <c r="K39" s="145" t="s">
        <v>109</v>
      </c>
      <c r="L39" s="145" t="s">
        <v>109</v>
      </c>
      <c r="M39" s="145" t="s">
        <v>109</v>
      </c>
      <c r="N39" s="19"/>
      <c r="O39" s="88"/>
      <c r="P39" s="88"/>
      <c r="Q39" s="88"/>
      <c r="R39" s="88"/>
      <c r="S39" s="88"/>
      <c r="T39" s="88"/>
      <c r="U39" s="88"/>
      <c r="V39" s="88"/>
      <c r="W39" s="88"/>
      <c r="X39" s="88"/>
      <c r="Y39" s="88"/>
      <c r="Z39" s="88"/>
      <c r="AA39" s="88"/>
      <c r="AB39" s="88"/>
      <c r="AC39" s="88"/>
      <c r="AD39" s="88"/>
      <c r="AE39" s="88"/>
      <c r="AF39" s="88"/>
      <c r="AG39" s="88"/>
    </row>
    <row r="40" spans="1:33" s="6" customFormat="1" ht="5.25" customHeight="1" x14ac:dyDescent="0.2">
      <c r="A40" s="2"/>
      <c r="B40" s="123"/>
      <c r="C40" s="124"/>
      <c r="D40" s="120"/>
      <c r="E40" s="146"/>
      <c r="F40" s="146"/>
      <c r="G40" s="146"/>
      <c r="H40" s="146"/>
      <c r="I40" s="146"/>
      <c r="J40" s="146"/>
      <c r="K40" s="146"/>
      <c r="L40" s="146"/>
      <c r="M40" s="146"/>
      <c r="N40" s="19"/>
      <c r="O40" s="88"/>
      <c r="P40" s="88"/>
      <c r="Q40" s="88"/>
      <c r="R40" s="88"/>
      <c r="S40" s="88"/>
      <c r="T40" s="88"/>
      <c r="U40" s="88"/>
      <c r="V40" s="88"/>
      <c r="W40" s="88"/>
      <c r="X40" s="88"/>
      <c r="Y40" s="88"/>
      <c r="Z40" s="88"/>
      <c r="AA40" s="88"/>
      <c r="AB40" s="88"/>
      <c r="AC40" s="88"/>
      <c r="AD40" s="88"/>
      <c r="AE40" s="88"/>
      <c r="AF40" s="88"/>
      <c r="AG40" s="88"/>
    </row>
    <row r="41" spans="1:33" s="6" customFormat="1" ht="12" customHeight="1" x14ac:dyDescent="0.2">
      <c r="A41" s="2"/>
      <c r="B41" s="121" t="s">
        <v>161</v>
      </c>
      <c r="C41" s="122" t="s">
        <v>164</v>
      </c>
      <c r="D41" s="119"/>
      <c r="E41" s="145">
        <v>1.402E-3</v>
      </c>
      <c r="F41" s="145" t="s">
        <v>109</v>
      </c>
      <c r="G41" s="145" t="s">
        <v>109</v>
      </c>
      <c r="H41" s="145" t="s">
        <v>109</v>
      </c>
      <c r="I41" s="145" t="s">
        <v>109</v>
      </c>
      <c r="J41" s="145" t="s">
        <v>109</v>
      </c>
      <c r="K41" s="145" t="s">
        <v>109</v>
      </c>
      <c r="L41" s="145" t="s">
        <v>109</v>
      </c>
      <c r="M41" s="145" t="s">
        <v>109</v>
      </c>
      <c r="N41" s="19"/>
      <c r="O41" s="88"/>
      <c r="P41" s="88"/>
      <c r="Q41" s="88"/>
      <c r="R41" s="88"/>
      <c r="S41" s="88"/>
      <c r="T41" s="88"/>
      <c r="U41" s="88"/>
      <c r="V41" s="88"/>
      <c r="W41" s="88"/>
      <c r="X41" s="88"/>
      <c r="Y41" s="88"/>
      <c r="Z41" s="88"/>
      <c r="AA41" s="88"/>
      <c r="AB41" s="88"/>
      <c r="AC41" s="88"/>
      <c r="AD41" s="88"/>
      <c r="AE41" s="88"/>
      <c r="AF41" s="88"/>
      <c r="AG41" s="88"/>
    </row>
    <row r="42" spans="1:33" s="6" customFormat="1" ht="5.25" customHeight="1" x14ac:dyDescent="0.2">
      <c r="A42" s="2"/>
      <c r="B42" s="123"/>
      <c r="C42" s="124"/>
      <c r="D42" s="120"/>
      <c r="E42" s="146"/>
      <c r="F42" s="146"/>
      <c r="G42" s="146"/>
      <c r="H42" s="146"/>
      <c r="I42" s="146"/>
      <c r="J42" s="146"/>
      <c r="K42" s="146"/>
      <c r="L42" s="146"/>
      <c r="M42" s="146"/>
      <c r="N42" s="19"/>
      <c r="O42" s="88"/>
      <c r="P42" s="88"/>
      <c r="Q42" s="88"/>
      <c r="R42" s="88"/>
      <c r="S42" s="88"/>
      <c r="T42" s="88"/>
      <c r="U42" s="88"/>
      <c r="V42" s="88"/>
      <c r="W42" s="88"/>
      <c r="X42" s="88"/>
      <c r="Y42" s="88"/>
      <c r="Z42" s="88"/>
      <c r="AA42" s="88"/>
      <c r="AB42" s="88"/>
      <c r="AC42" s="88"/>
      <c r="AD42" s="88"/>
      <c r="AE42" s="88"/>
      <c r="AF42" s="88"/>
      <c r="AG42" s="88"/>
    </row>
    <row r="43" spans="1:33" s="6" customFormat="1" ht="12" customHeight="1" x14ac:dyDescent="0.2">
      <c r="A43" s="2"/>
      <c r="B43" s="121" t="s">
        <v>162</v>
      </c>
      <c r="C43" s="122" t="s">
        <v>150</v>
      </c>
      <c r="D43" s="119"/>
      <c r="E43" s="145">
        <v>0.24929999999999999</v>
      </c>
      <c r="F43" s="145" t="s">
        <v>109</v>
      </c>
      <c r="G43" s="145" t="s">
        <v>109</v>
      </c>
      <c r="H43" s="145" t="s">
        <v>109</v>
      </c>
      <c r="I43" s="145" t="s">
        <v>109</v>
      </c>
      <c r="J43" s="145" t="s">
        <v>109</v>
      </c>
      <c r="K43" s="145" t="s">
        <v>109</v>
      </c>
      <c r="L43" s="145" t="s">
        <v>109</v>
      </c>
      <c r="M43" s="145" t="s">
        <v>109</v>
      </c>
      <c r="N43" s="19"/>
      <c r="O43" s="88"/>
      <c r="P43" s="88"/>
      <c r="Q43" s="88"/>
      <c r="R43" s="88"/>
      <c r="S43" s="88"/>
      <c r="T43" s="88"/>
      <c r="U43" s="88"/>
      <c r="V43" s="88"/>
      <c r="W43" s="88"/>
      <c r="X43" s="88"/>
      <c r="Y43" s="88"/>
      <c r="Z43" s="88"/>
      <c r="AA43" s="88"/>
      <c r="AB43" s="88"/>
      <c r="AC43" s="88"/>
      <c r="AD43" s="88"/>
      <c r="AE43" s="88"/>
      <c r="AF43" s="88"/>
      <c r="AG43" s="88"/>
    </row>
    <row r="44" spans="1:33" s="6" customFormat="1" ht="5.25" customHeight="1" x14ac:dyDescent="0.2">
      <c r="A44" s="2"/>
      <c r="B44" s="123"/>
      <c r="C44" s="124"/>
      <c r="D44" s="120"/>
      <c r="E44" s="146"/>
      <c r="F44" s="146"/>
      <c r="G44" s="146"/>
      <c r="H44" s="146"/>
      <c r="I44" s="146"/>
      <c r="J44" s="146"/>
      <c r="K44" s="146"/>
      <c r="L44" s="146"/>
      <c r="M44" s="146"/>
      <c r="N44" s="19"/>
      <c r="O44" s="88"/>
      <c r="P44" s="88"/>
      <c r="Q44" s="88"/>
      <c r="R44" s="88"/>
      <c r="S44" s="88"/>
      <c r="T44" s="88"/>
      <c r="U44" s="88"/>
      <c r="V44" s="88"/>
      <c r="W44" s="88"/>
      <c r="X44" s="88"/>
      <c r="Y44" s="88"/>
      <c r="Z44" s="88"/>
      <c r="AA44" s="88"/>
      <c r="AB44" s="88"/>
      <c r="AC44" s="88"/>
      <c r="AD44" s="88"/>
      <c r="AE44" s="88"/>
      <c r="AF44" s="88"/>
      <c r="AG44" s="88"/>
    </row>
    <row r="45" spans="1:33" s="6" customFormat="1" ht="12" customHeight="1" x14ac:dyDescent="0.2">
      <c r="A45" s="2"/>
      <c r="B45" s="121" t="s">
        <v>163</v>
      </c>
      <c r="C45" s="122" t="s">
        <v>150</v>
      </c>
      <c r="D45" s="119"/>
      <c r="E45" s="145">
        <v>1.189E-2</v>
      </c>
      <c r="F45" s="145" t="s">
        <v>109</v>
      </c>
      <c r="G45" s="145" t="s">
        <v>109</v>
      </c>
      <c r="H45" s="145" t="s">
        <v>109</v>
      </c>
      <c r="I45" s="145" t="s">
        <v>109</v>
      </c>
      <c r="J45" s="145" t="s">
        <v>109</v>
      </c>
      <c r="K45" s="145" t="s">
        <v>109</v>
      </c>
      <c r="L45" s="145" t="s">
        <v>109</v>
      </c>
      <c r="M45" s="145" t="s">
        <v>109</v>
      </c>
      <c r="N45" s="19"/>
      <c r="O45" s="88"/>
      <c r="P45" s="88"/>
      <c r="Q45" s="88"/>
      <c r="R45" s="88"/>
      <c r="S45" s="88"/>
      <c r="T45" s="88"/>
      <c r="U45" s="88"/>
      <c r="V45" s="88"/>
      <c r="W45" s="88"/>
      <c r="X45" s="88"/>
      <c r="Y45" s="88"/>
      <c r="Z45" s="88"/>
      <c r="AA45" s="88"/>
      <c r="AB45" s="88"/>
      <c r="AC45" s="88"/>
      <c r="AD45" s="88"/>
      <c r="AE45" s="88"/>
      <c r="AF45" s="88"/>
      <c r="AG45" s="88"/>
    </row>
    <row r="46" spans="1:33" s="6" customFormat="1" ht="4.5" customHeight="1" x14ac:dyDescent="0.2">
      <c r="A46" s="18"/>
      <c r="B46" s="118"/>
      <c r="C46" s="117"/>
      <c r="D46" s="117"/>
      <c r="E46" s="116"/>
      <c r="F46" s="117"/>
      <c r="G46" s="116"/>
      <c r="H46" s="116"/>
      <c r="I46" s="116"/>
      <c r="J46" s="116"/>
      <c r="K46" s="116"/>
      <c r="L46" s="116"/>
      <c r="M46" s="116"/>
      <c r="N46" s="19"/>
      <c r="O46" s="88"/>
      <c r="P46" s="88"/>
      <c r="Q46" s="88"/>
      <c r="R46" s="88"/>
      <c r="S46" s="88"/>
      <c r="T46" s="88"/>
      <c r="U46" s="88"/>
      <c r="V46" s="88"/>
      <c r="W46" s="88"/>
      <c r="X46" s="88"/>
      <c r="Y46" s="88"/>
      <c r="Z46" s="88"/>
      <c r="AA46" s="88"/>
      <c r="AB46" s="88"/>
      <c r="AC46" s="88"/>
      <c r="AD46" s="88"/>
      <c r="AE46" s="88"/>
      <c r="AF46" s="88"/>
      <c r="AG46" s="88"/>
    </row>
    <row r="47" spans="1:33" s="6" customFormat="1" ht="18.75" customHeight="1" x14ac:dyDescent="0.2">
      <c r="A47" s="7" t="s">
        <v>167</v>
      </c>
      <c r="B47" s="3"/>
      <c r="C47" s="4"/>
      <c r="D47" s="4"/>
      <c r="E47" s="4"/>
      <c r="F47" s="4"/>
      <c r="G47" s="4"/>
      <c r="H47" s="4"/>
      <c r="I47" s="4"/>
      <c r="J47" s="4"/>
      <c r="K47" s="4"/>
      <c r="L47" s="4"/>
      <c r="M47" s="4"/>
      <c r="N47" s="5"/>
      <c r="O47" s="88"/>
      <c r="P47" s="88"/>
      <c r="Q47" s="90"/>
      <c r="R47" s="88"/>
      <c r="S47" s="88"/>
      <c r="T47" s="88"/>
      <c r="U47" s="88"/>
      <c r="V47" s="88"/>
      <c r="W47" s="88"/>
      <c r="X47" s="88"/>
      <c r="Y47" s="88"/>
      <c r="Z47" s="88"/>
      <c r="AA47" s="88"/>
      <c r="AB47" s="88"/>
      <c r="AC47" s="88"/>
      <c r="AD47" s="88"/>
      <c r="AE47" s="88"/>
      <c r="AF47" s="88"/>
      <c r="AG47" s="88"/>
    </row>
    <row r="48" spans="1:33" s="59" customFormat="1" ht="5.0999999999999996" customHeight="1" x14ac:dyDescent="0.2">
      <c r="A48" s="55"/>
      <c r="B48" s="56"/>
      <c r="C48" s="56"/>
      <c r="D48" s="56"/>
      <c r="E48" s="63"/>
      <c r="F48" s="56"/>
      <c r="G48" s="63"/>
      <c r="H48" s="63"/>
      <c r="I48" s="63"/>
      <c r="J48" s="63"/>
      <c r="K48" s="63"/>
      <c r="L48" s="63"/>
      <c r="M48" s="63"/>
      <c r="N48" s="58"/>
      <c r="O48" s="75"/>
      <c r="P48" s="75"/>
      <c r="Q48" s="75"/>
      <c r="R48" s="75"/>
      <c r="S48" s="75"/>
      <c r="T48" s="75"/>
      <c r="U48" s="75"/>
      <c r="V48" s="88"/>
      <c r="W48" s="88"/>
      <c r="X48" s="88"/>
      <c r="Y48" s="88"/>
      <c r="Z48" s="88"/>
      <c r="AA48" s="88"/>
      <c r="AB48" s="88"/>
      <c r="AC48" s="75"/>
      <c r="AD48" s="75"/>
      <c r="AE48" s="75"/>
      <c r="AF48" s="75"/>
      <c r="AG48" s="75"/>
    </row>
    <row r="49" spans="1:33" s="59" customFormat="1" ht="15" customHeight="1" x14ac:dyDescent="0.25">
      <c r="A49" s="130"/>
      <c r="B49" s="185" t="str">
        <f>Introductions!A6</f>
        <v>Legal Authority</v>
      </c>
      <c r="C49" s="185"/>
      <c r="D49" s="185"/>
      <c r="E49" s="185"/>
      <c r="F49" s="185"/>
      <c r="G49" s="185"/>
      <c r="H49" s="151"/>
      <c r="I49" s="151"/>
      <c r="J49" s="151"/>
      <c r="K49" s="151"/>
      <c r="L49" s="151"/>
      <c r="M49" s="151"/>
      <c r="N49" s="131"/>
      <c r="O49" s="75"/>
      <c r="P49" s="75"/>
      <c r="Q49" s="75"/>
      <c r="R49" s="75"/>
      <c r="S49" s="75"/>
      <c r="T49" s="75"/>
      <c r="U49" s="75"/>
      <c r="V49" s="88"/>
      <c r="W49" s="88"/>
      <c r="X49" s="88"/>
      <c r="Y49" s="88"/>
      <c r="Z49" s="88"/>
      <c r="AA49" s="88"/>
      <c r="AB49" s="88"/>
      <c r="AC49" s="75"/>
      <c r="AD49" s="75"/>
      <c r="AE49" s="75"/>
      <c r="AF49" s="75"/>
      <c r="AG49" s="75"/>
    </row>
    <row r="50" spans="1:33" s="59" customFormat="1" ht="15.75" customHeight="1" x14ac:dyDescent="0.2">
      <c r="A50" s="55"/>
      <c r="B50" s="186" t="str">
        <f>Introductions!B8</f>
        <v>This workbook is for estimation purposes only and has no legal authority. Facilities should refer to the TIER regulation and standards in determining their true up obligations.</v>
      </c>
      <c r="C50" s="186"/>
      <c r="D50" s="186"/>
      <c r="E50" s="186"/>
      <c r="F50" s="186"/>
      <c r="G50" s="186"/>
      <c r="H50" s="186"/>
      <c r="I50" s="186"/>
      <c r="J50" s="186"/>
      <c r="K50" s="186"/>
      <c r="L50" s="186"/>
      <c r="M50" s="186"/>
      <c r="N50" s="58"/>
      <c r="O50" s="75"/>
      <c r="P50" s="75"/>
      <c r="Q50" s="75"/>
      <c r="R50" s="75"/>
      <c r="S50" s="75"/>
      <c r="T50" s="75"/>
      <c r="U50" s="75"/>
      <c r="V50" s="88"/>
      <c r="W50" s="88"/>
      <c r="X50" s="88"/>
      <c r="Y50" s="88"/>
      <c r="Z50" s="88"/>
      <c r="AA50" s="88"/>
      <c r="AB50" s="88"/>
      <c r="AC50" s="75"/>
      <c r="AD50" s="75"/>
      <c r="AE50" s="75"/>
      <c r="AF50" s="75"/>
      <c r="AG50" s="75"/>
    </row>
    <row r="51" spans="1:33" ht="6" customHeight="1" thickBot="1" x14ac:dyDescent="0.25">
      <c r="A51" s="33"/>
      <c r="B51" s="34"/>
      <c r="C51" s="34"/>
      <c r="D51" s="34"/>
      <c r="E51" s="34"/>
      <c r="F51" s="34"/>
      <c r="G51" s="34"/>
      <c r="H51" s="34"/>
      <c r="I51" s="34"/>
      <c r="J51" s="34"/>
      <c r="K51" s="34"/>
      <c r="L51" s="34"/>
      <c r="M51" s="34"/>
      <c r="N51" s="35"/>
    </row>
    <row r="52" spans="1:33" s="88" customFormat="1" x14ac:dyDescent="0.2">
      <c r="G52" s="89"/>
      <c r="H52" s="89"/>
      <c r="I52" s="89"/>
      <c r="J52" s="89"/>
      <c r="K52" s="89"/>
      <c r="L52" s="89"/>
      <c r="M52" s="89"/>
      <c r="Q52" s="90"/>
    </row>
    <row r="53" spans="1:33" s="88" customFormat="1" x14ac:dyDescent="0.2">
      <c r="G53" s="89"/>
      <c r="H53" s="89"/>
      <c r="I53" s="89"/>
      <c r="J53" s="89"/>
      <c r="K53" s="89"/>
      <c r="L53" s="89"/>
      <c r="M53" s="89"/>
    </row>
    <row r="54" spans="1:33" s="88" customFormat="1" x14ac:dyDescent="0.2">
      <c r="G54" s="89"/>
      <c r="H54" s="89"/>
      <c r="I54" s="89"/>
      <c r="J54" s="89"/>
      <c r="K54" s="89"/>
      <c r="L54" s="89"/>
      <c r="M54" s="89"/>
    </row>
    <row r="55" spans="1:33" s="88" customFormat="1" ht="15" x14ac:dyDescent="0.25">
      <c r="G55" s="89"/>
      <c r="H55" s="89"/>
      <c r="I55" s="89"/>
      <c r="J55" s="89"/>
      <c r="K55" s="89"/>
      <c r="L55" s="89"/>
      <c r="M55" s="89"/>
      <c r="T55" s="82"/>
    </row>
    <row r="56" spans="1:33" s="88" customFormat="1" ht="15" x14ac:dyDescent="0.2">
      <c r="G56" s="89"/>
      <c r="H56" s="89"/>
      <c r="I56" s="89"/>
      <c r="J56" s="89"/>
      <c r="K56" s="89"/>
      <c r="L56" s="89"/>
      <c r="M56" s="89"/>
      <c r="T56" s="91"/>
    </row>
    <row r="57" spans="1:33" s="88" customFormat="1" ht="14.25" x14ac:dyDescent="0.2">
      <c r="G57" s="89"/>
      <c r="H57" s="89"/>
      <c r="I57" s="89"/>
      <c r="J57" s="89"/>
      <c r="K57" s="89"/>
      <c r="L57" s="89"/>
      <c r="M57" s="89"/>
      <c r="T57" s="92"/>
      <c r="U57" s="107"/>
    </row>
    <row r="58" spans="1:33" s="88" customFormat="1" ht="14.25" x14ac:dyDescent="0.2">
      <c r="G58" s="89"/>
      <c r="H58" s="89"/>
      <c r="I58" s="89"/>
      <c r="J58" s="89"/>
      <c r="K58" s="89"/>
      <c r="L58" s="89"/>
      <c r="M58" s="89"/>
      <c r="T58" s="92"/>
      <c r="U58" s="107"/>
    </row>
    <row r="59" spans="1:33" s="88" customFormat="1" ht="14.25" x14ac:dyDescent="0.2">
      <c r="G59" s="89"/>
      <c r="H59" s="89"/>
      <c r="I59" s="89"/>
      <c r="J59" s="89"/>
      <c r="K59" s="89"/>
      <c r="L59" s="89"/>
      <c r="M59" s="89"/>
      <c r="T59" s="92"/>
      <c r="U59" s="107"/>
    </row>
    <row r="60" spans="1:33" s="88" customFormat="1" ht="14.25" x14ac:dyDescent="0.2">
      <c r="G60" s="89"/>
      <c r="H60" s="89"/>
      <c r="I60" s="89"/>
      <c r="J60" s="89"/>
      <c r="K60" s="89"/>
      <c r="L60" s="89"/>
      <c r="M60" s="89"/>
      <c r="T60" s="92"/>
      <c r="U60" s="107"/>
    </row>
    <row r="61" spans="1:33" s="88" customFormat="1" ht="14.25" x14ac:dyDescent="0.2">
      <c r="G61" s="89"/>
      <c r="H61" s="89"/>
      <c r="I61" s="89"/>
      <c r="J61" s="89"/>
      <c r="K61" s="89"/>
      <c r="L61" s="89"/>
      <c r="M61" s="89"/>
      <c r="T61" s="92"/>
      <c r="U61" s="107"/>
    </row>
    <row r="62" spans="1:33" s="88" customFormat="1" ht="14.25" x14ac:dyDescent="0.2">
      <c r="G62" s="89"/>
      <c r="H62" s="89"/>
      <c r="I62" s="89"/>
      <c r="J62" s="89"/>
      <c r="K62" s="89"/>
      <c r="L62" s="89"/>
      <c r="M62" s="89"/>
      <c r="T62" s="92"/>
      <c r="U62" s="107"/>
    </row>
    <row r="63" spans="1:33" s="88" customFormat="1" ht="14.25" x14ac:dyDescent="0.2">
      <c r="G63" s="89"/>
      <c r="H63" s="89"/>
      <c r="I63" s="89"/>
      <c r="J63" s="89"/>
      <c r="K63" s="89"/>
      <c r="L63" s="89"/>
      <c r="M63" s="89"/>
      <c r="T63" s="92"/>
      <c r="U63" s="107"/>
    </row>
    <row r="64" spans="1:33" s="88" customFormat="1" ht="14.25" x14ac:dyDescent="0.2">
      <c r="G64" s="89"/>
      <c r="H64" s="89"/>
      <c r="I64" s="89"/>
      <c r="J64" s="89"/>
      <c r="K64" s="89"/>
      <c r="L64" s="89"/>
      <c r="M64" s="89"/>
      <c r="T64" s="92"/>
      <c r="U64" s="107"/>
    </row>
    <row r="65" spans="7:21" s="88" customFormat="1" ht="14.25" x14ac:dyDescent="0.2">
      <c r="G65" s="89"/>
      <c r="H65" s="89"/>
      <c r="I65" s="89"/>
      <c r="J65" s="89"/>
      <c r="K65" s="89"/>
      <c r="L65" s="89"/>
      <c r="M65" s="89"/>
      <c r="T65" s="92"/>
      <c r="U65" s="107"/>
    </row>
    <row r="66" spans="7:21" s="88" customFormat="1" ht="14.25" x14ac:dyDescent="0.2">
      <c r="G66" s="89"/>
      <c r="H66" s="89"/>
      <c r="I66" s="89"/>
      <c r="J66" s="89"/>
      <c r="K66" s="89"/>
      <c r="L66" s="89"/>
      <c r="M66" s="89"/>
      <c r="T66" s="92"/>
      <c r="U66" s="107"/>
    </row>
    <row r="67" spans="7:21" s="88" customFormat="1" ht="14.25" x14ac:dyDescent="0.2">
      <c r="G67" s="89"/>
      <c r="H67" s="89"/>
      <c r="I67" s="89"/>
      <c r="J67" s="89"/>
      <c r="K67" s="89"/>
      <c r="L67" s="89"/>
      <c r="M67" s="89"/>
      <c r="T67" s="92"/>
      <c r="U67" s="107"/>
    </row>
    <row r="68" spans="7:21" s="88" customFormat="1" ht="14.25" x14ac:dyDescent="0.2">
      <c r="G68" s="89"/>
      <c r="H68" s="89"/>
      <c r="I68" s="89"/>
      <c r="J68" s="89"/>
      <c r="K68" s="89"/>
      <c r="L68" s="89"/>
      <c r="M68" s="89"/>
      <c r="T68" s="92"/>
      <c r="U68" s="107"/>
    </row>
    <row r="69" spans="7:21" s="88" customFormat="1" ht="14.25" x14ac:dyDescent="0.2">
      <c r="G69" s="89"/>
      <c r="H69" s="89"/>
      <c r="I69" s="89"/>
      <c r="J69" s="89"/>
      <c r="K69" s="89"/>
      <c r="L69" s="89"/>
      <c r="M69" s="89"/>
      <c r="T69" s="92"/>
      <c r="U69" s="107"/>
    </row>
    <row r="70" spans="7:21" s="88" customFormat="1" ht="14.25" x14ac:dyDescent="0.2">
      <c r="G70" s="89"/>
      <c r="H70" s="89"/>
      <c r="I70" s="89"/>
      <c r="J70" s="89"/>
      <c r="K70" s="89"/>
      <c r="L70" s="89"/>
      <c r="M70" s="89"/>
      <c r="T70" s="92"/>
      <c r="U70" s="107"/>
    </row>
    <row r="71" spans="7:21" s="88" customFormat="1" ht="14.25" x14ac:dyDescent="0.2">
      <c r="G71" s="89"/>
      <c r="H71" s="89"/>
      <c r="I71" s="89"/>
      <c r="J71" s="89"/>
      <c r="K71" s="89"/>
      <c r="L71" s="89"/>
      <c r="M71" s="89"/>
      <c r="T71" s="92"/>
      <c r="U71" s="107"/>
    </row>
    <row r="72" spans="7:21" s="88" customFormat="1" ht="14.25" x14ac:dyDescent="0.2">
      <c r="G72" s="89"/>
      <c r="H72" s="89"/>
      <c r="I72" s="89"/>
      <c r="J72" s="89"/>
      <c r="K72" s="89"/>
      <c r="L72" s="89"/>
      <c r="M72" s="89"/>
      <c r="T72" s="92"/>
      <c r="U72" s="107"/>
    </row>
    <row r="73" spans="7:21" s="88" customFormat="1" ht="14.25" x14ac:dyDescent="0.2">
      <c r="G73" s="89"/>
      <c r="H73" s="89"/>
      <c r="I73" s="89"/>
      <c r="J73" s="89"/>
      <c r="K73" s="89"/>
      <c r="L73" s="89"/>
      <c r="M73" s="89"/>
      <c r="T73" s="92"/>
      <c r="U73" s="107"/>
    </row>
    <row r="74" spans="7:21" s="88" customFormat="1" ht="14.25" x14ac:dyDescent="0.2">
      <c r="G74" s="89"/>
      <c r="H74" s="89"/>
      <c r="I74" s="89"/>
      <c r="J74" s="89"/>
      <c r="K74" s="89"/>
      <c r="L74" s="89"/>
      <c r="M74" s="89"/>
      <c r="T74" s="92"/>
      <c r="U74" s="107"/>
    </row>
    <row r="75" spans="7:21" s="88" customFormat="1" ht="14.25" x14ac:dyDescent="0.2">
      <c r="G75" s="89"/>
      <c r="H75" s="89"/>
      <c r="I75" s="89"/>
      <c r="J75" s="89"/>
      <c r="K75" s="89"/>
      <c r="L75" s="89"/>
      <c r="M75" s="89"/>
      <c r="T75" s="92"/>
      <c r="U75" s="107"/>
    </row>
    <row r="76" spans="7:21" s="88" customFormat="1" ht="14.25" x14ac:dyDescent="0.2">
      <c r="G76" s="89"/>
      <c r="H76" s="89"/>
      <c r="I76" s="89"/>
      <c r="J76" s="89"/>
      <c r="K76" s="89"/>
      <c r="L76" s="89"/>
      <c r="M76" s="89"/>
      <c r="T76" s="92"/>
      <c r="U76" s="107"/>
    </row>
    <row r="77" spans="7:21" s="88" customFormat="1" ht="14.25" x14ac:dyDescent="0.2">
      <c r="G77" s="89"/>
      <c r="H77" s="89"/>
      <c r="I77" s="89"/>
      <c r="J77" s="89"/>
      <c r="K77" s="89"/>
      <c r="L77" s="89"/>
      <c r="M77" s="89"/>
      <c r="T77" s="92"/>
      <c r="U77" s="107"/>
    </row>
    <row r="78" spans="7:21" s="88" customFormat="1" ht="14.25" x14ac:dyDescent="0.2">
      <c r="G78" s="89"/>
      <c r="H78" s="89"/>
      <c r="I78" s="89"/>
      <c r="J78" s="89"/>
      <c r="K78" s="89"/>
      <c r="L78" s="89"/>
      <c r="M78" s="89"/>
      <c r="T78" s="92"/>
      <c r="U78" s="107"/>
    </row>
    <row r="79" spans="7:21" s="88" customFormat="1" x14ac:dyDescent="0.2">
      <c r="G79" s="89"/>
      <c r="H79" s="89"/>
      <c r="I79" s="89"/>
      <c r="J79" s="89"/>
      <c r="K79" s="89"/>
      <c r="L79" s="89"/>
      <c r="M79" s="89"/>
      <c r="P79" s="94"/>
      <c r="U79" s="93"/>
    </row>
    <row r="80" spans="7:21" s="88" customFormat="1" x14ac:dyDescent="0.2">
      <c r="G80" s="89"/>
      <c r="H80" s="89"/>
      <c r="I80" s="89"/>
      <c r="J80" s="89"/>
      <c r="K80" s="89"/>
      <c r="L80" s="89"/>
      <c r="M80" s="89"/>
      <c r="P80" s="94"/>
    </row>
    <row r="81" spans="7:19" s="88" customFormat="1" x14ac:dyDescent="0.2">
      <c r="G81" s="89"/>
      <c r="H81" s="89"/>
      <c r="I81" s="89"/>
      <c r="J81" s="89"/>
      <c r="K81" s="89"/>
      <c r="L81" s="89"/>
      <c r="M81" s="89"/>
      <c r="P81" s="94"/>
    </row>
    <row r="82" spans="7:19" s="88" customFormat="1" ht="15" x14ac:dyDescent="0.25">
      <c r="G82" s="89"/>
      <c r="H82" s="89"/>
      <c r="I82" s="89"/>
      <c r="J82" s="89"/>
      <c r="K82" s="89"/>
      <c r="L82" s="89"/>
      <c r="M82" s="89"/>
      <c r="P82" s="95"/>
      <c r="S82" s="96"/>
    </row>
    <row r="83" spans="7:19" s="88" customFormat="1" ht="15" x14ac:dyDescent="0.25">
      <c r="G83" s="89"/>
      <c r="H83" s="89"/>
      <c r="I83" s="89"/>
      <c r="J83" s="89"/>
      <c r="K83" s="89"/>
      <c r="L83" s="89"/>
      <c r="M83" s="89"/>
      <c r="P83" s="95"/>
      <c r="S83" s="96"/>
    </row>
    <row r="84" spans="7:19" s="88" customFormat="1" ht="15" x14ac:dyDescent="0.25">
      <c r="G84" s="89"/>
      <c r="H84" s="89"/>
      <c r="I84" s="89"/>
      <c r="J84" s="89"/>
      <c r="K84" s="89"/>
      <c r="L84" s="89"/>
      <c r="M84" s="89"/>
      <c r="P84" s="95"/>
      <c r="S84" s="96"/>
    </row>
    <row r="85" spans="7:19" s="88" customFormat="1" ht="15" x14ac:dyDescent="0.25">
      <c r="G85" s="89"/>
      <c r="H85" s="89"/>
      <c r="I85" s="89"/>
      <c r="J85" s="89"/>
      <c r="K85" s="89"/>
      <c r="L85" s="89"/>
      <c r="M85" s="89"/>
      <c r="P85" s="95"/>
      <c r="S85" s="96"/>
    </row>
    <row r="86" spans="7:19" s="88" customFormat="1" ht="15" x14ac:dyDescent="0.25">
      <c r="G86" s="89"/>
      <c r="H86" s="89"/>
      <c r="I86" s="89"/>
      <c r="J86" s="89"/>
      <c r="K86" s="89"/>
      <c r="L86" s="89"/>
      <c r="M86" s="89"/>
      <c r="P86" s="95"/>
      <c r="S86" s="96"/>
    </row>
    <row r="87" spans="7:19" s="88" customFormat="1" ht="15" x14ac:dyDescent="0.25">
      <c r="G87" s="89"/>
      <c r="H87" s="89"/>
      <c r="I87" s="89"/>
      <c r="J87" s="89"/>
      <c r="K87" s="89"/>
      <c r="L87" s="89"/>
      <c r="M87" s="89"/>
      <c r="P87" s="95"/>
      <c r="S87" s="96"/>
    </row>
    <row r="88" spans="7:19" s="88" customFormat="1" x14ac:dyDescent="0.2">
      <c r="G88" s="89"/>
      <c r="H88" s="89"/>
      <c r="I88" s="89"/>
      <c r="J88" s="89"/>
      <c r="K88" s="89"/>
      <c r="L88" s="89"/>
      <c r="M88" s="89"/>
      <c r="S88" s="96"/>
    </row>
    <row r="89" spans="7:19" s="88" customFormat="1" x14ac:dyDescent="0.2">
      <c r="G89" s="89"/>
      <c r="H89" s="89"/>
      <c r="I89" s="89"/>
      <c r="J89" s="89"/>
      <c r="K89" s="89"/>
      <c r="L89" s="89"/>
      <c r="M89" s="89"/>
      <c r="S89" s="96"/>
    </row>
    <row r="90" spans="7:19" s="88" customFormat="1" ht="15" x14ac:dyDescent="0.25">
      <c r="G90" s="89"/>
      <c r="H90" s="89"/>
      <c r="I90" s="89"/>
      <c r="J90" s="89"/>
      <c r="K90" s="89"/>
      <c r="L90" s="89"/>
      <c r="M90" s="89"/>
      <c r="P90" s="95"/>
      <c r="S90" s="96"/>
    </row>
    <row r="91" spans="7:19" s="88" customFormat="1" ht="15" x14ac:dyDescent="0.25">
      <c r="G91" s="89"/>
      <c r="H91" s="89"/>
      <c r="I91" s="89"/>
      <c r="J91" s="89"/>
      <c r="K91" s="89"/>
      <c r="L91" s="89"/>
      <c r="M91" s="89"/>
      <c r="P91" s="95"/>
    </row>
    <row r="92" spans="7:19" s="88" customFormat="1" x14ac:dyDescent="0.2">
      <c r="G92" s="89"/>
      <c r="H92" s="89"/>
      <c r="I92" s="89"/>
      <c r="J92" s="89"/>
      <c r="K92" s="89"/>
      <c r="L92" s="89"/>
      <c r="M92" s="89"/>
    </row>
    <row r="93" spans="7:19" s="88" customFormat="1" x14ac:dyDescent="0.2">
      <c r="G93" s="89"/>
      <c r="H93" s="89"/>
      <c r="I93" s="89"/>
      <c r="J93" s="89"/>
      <c r="K93" s="89"/>
      <c r="L93" s="89"/>
      <c r="M93" s="89"/>
    </row>
    <row r="94" spans="7:19" s="88" customFormat="1" ht="15" x14ac:dyDescent="0.25">
      <c r="G94" s="89"/>
      <c r="H94" s="89"/>
      <c r="I94" s="89"/>
      <c r="J94" s="89"/>
      <c r="K94" s="89"/>
      <c r="L94" s="89"/>
      <c r="M94" s="89"/>
      <c r="P94" s="95"/>
    </row>
    <row r="95" spans="7:19" s="88" customFormat="1" ht="15" x14ac:dyDescent="0.25">
      <c r="G95" s="89"/>
      <c r="H95" s="89"/>
      <c r="I95" s="89"/>
      <c r="J95" s="89"/>
      <c r="K95" s="89"/>
      <c r="L95" s="89"/>
      <c r="M95" s="89"/>
      <c r="P95" s="95"/>
    </row>
    <row r="96" spans="7:19" s="88" customFormat="1" ht="15" x14ac:dyDescent="0.25">
      <c r="G96" s="89"/>
      <c r="H96" s="89"/>
      <c r="I96" s="89"/>
      <c r="J96" s="89"/>
      <c r="K96" s="89"/>
      <c r="L96" s="89"/>
      <c r="M96" s="89"/>
      <c r="P96" s="95"/>
    </row>
    <row r="97" spans="7:16" s="88" customFormat="1" ht="15" x14ac:dyDescent="0.25">
      <c r="G97" s="89"/>
      <c r="H97" s="89"/>
      <c r="I97" s="89"/>
      <c r="J97" s="89"/>
      <c r="K97" s="89"/>
      <c r="L97" s="89"/>
      <c r="M97" s="89"/>
      <c r="P97" s="95"/>
    </row>
    <row r="98" spans="7:16" s="88" customFormat="1" ht="15" x14ac:dyDescent="0.25">
      <c r="G98" s="89"/>
      <c r="H98" s="89"/>
      <c r="I98" s="89"/>
      <c r="J98" s="89"/>
      <c r="K98" s="89"/>
      <c r="L98" s="89"/>
      <c r="M98" s="89"/>
      <c r="P98" s="95"/>
    </row>
    <row r="99" spans="7:16" s="88" customFormat="1" ht="15" x14ac:dyDescent="0.25">
      <c r="G99" s="89"/>
      <c r="H99" s="89"/>
      <c r="I99" s="89"/>
      <c r="J99" s="89"/>
      <c r="K99" s="89"/>
      <c r="L99" s="89"/>
      <c r="M99" s="89"/>
      <c r="P99" s="95"/>
    </row>
    <row r="100" spans="7:16" s="88" customFormat="1" ht="15" x14ac:dyDescent="0.25">
      <c r="G100" s="89"/>
      <c r="H100" s="89"/>
      <c r="I100" s="89"/>
      <c r="J100" s="89"/>
      <c r="K100" s="89"/>
      <c r="L100" s="89"/>
      <c r="M100" s="89"/>
      <c r="P100" s="95"/>
    </row>
    <row r="101" spans="7:16" s="88" customFormat="1" ht="15" x14ac:dyDescent="0.25">
      <c r="G101" s="89"/>
      <c r="H101" s="89"/>
      <c r="I101" s="89"/>
      <c r="J101" s="89"/>
      <c r="K101" s="89"/>
      <c r="L101" s="89"/>
      <c r="M101" s="89"/>
      <c r="P101" s="95"/>
    </row>
    <row r="102" spans="7:16" s="88" customFormat="1" ht="15" x14ac:dyDescent="0.25">
      <c r="G102" s="89"/>
      <c r="H102" s="89"/>
      <c r="I102" s="89"/>
      <c r="J102" s="89"/>
      <c r="K102" s="89"/>
      <c r="L102" s="89"/>
      <c r="M102" s="89"/>
      <c r="P102" s="95"/>
    </row>
    <row r="103" spans="7:16" s="88" customFormat="1" ht="15" x14ac:dyDescent="0.25">
      <c r="G103" s="89"/>
      <c r="H103" s="89"/>
      <c r="I103" s="89"/>
      <c r="J103" s="89"/>
      <c r="K103" s="89"/>
      <c r="L103" s="89"/>
      <c r="M103" s="89"/>
      <c r="P103" s="95"/>
    </row>
    <row r="104" spans="7:16" s="88" customFormat="1" ht="15" x14ac:dyDescent="0.25">
      <c r="G104" s="89"/>
      <c r="H104" s="89"/>
      <c r="I104" s="89"/>
      <c r="J104" s="89"/>
      <c r="K104" s="89"/>
      <c r="L104" s="89"/>
      <c r="M104" s="89"/>
      <c r="P104" s="95"/>
    </row>
    <row r="105" spans="7:16" s="88" customFormat="1" ht="15" x14ac:dyDescent="0.25">
      <c r="G105" s="89"/>
      <c r="H105" s="89"/>
      <c r="I105" s="89"/>
      <c r="J105" s="89"/>
      <c r="K105" s="89"/>
      <c r="L105" s="89"/>
      <c r="M105" s="89"/>
      <c r="P105" s="95"/>
    </row>
    <row r="106" spans="7:16" s="88" customFormat="1" ht="15" x14ac:dyDescent="0.25">
      <c r="G106" s="89"/>
      <c r="H106" s="89"/>
      <c r="I106" s="89"/>
      <c r="J106" s="89"/>
      <c r="K106" s="89"/>
      <c r="L106" s="89"/>
      <c r="M106" s="89"/>
      <c r="P106" s="95"/>
    </row>
    <row r="107" spans="7:16" s="88" customFormat="1" ht="15" x14ac:dyDescent="0.25">
      <c r="G107" s="89"/>
      <c r="H107" s="89"/>
      <c r="I107" s="89"/>
      <c r="J107" s="89"/>
      <c r="K107" s="89"/>
      <c r="L107" s="89"/>
      <c r="M107" s="89"/>
      <c r="P107" s="95"/>
    </row>
    <row r="108" spans="7:16" s="88" customFormat="1" ht="15" x14ac:dyDescent="0.25">
      <c r="G108" s="89"/>
      <c r="H108" s="89"/>
      <c r="I108" s="89"/>
      <c r="J108" s="89"/>
      <c r="K108" s="89"/>
      <c r="L108" s="89"/>
      <c r="M108" s="89"/>
      <c r="P108" s="95"/>
    </row>
    <row r="109" spans="7:16" s="88" customFormat="1" x14ac:dyDescent="0.2">
      <c r="G109" s="89"/>
      <c r="H109" s="89"/>
      <c r="I109" s="89"/>
      <c r="J109" s="89"/>
      <c r="K109" s="89"/>
      <c r="L109" s="89"/>
      <c r="M109" s="89"/>
    </row>
    <row r="110" spans="7:16" s="88" customFormat="1" x14ac:dyDescent="0.2">
      <c r="G110" s="89"/>
      <c r="H110" s="89"/>
      <c r="I110" s="89"/>
      <c r="J110" s="89"/>
      <c r="K110" s="89"/>
      <c r="L110" s="89"/>
      <c r="M110" s="89"/>
    </row>
    <row r="111" spans="7:16" s="88" customFormat="1" x14ac:dyDescent="0.2">
      <c r="G111" s="89"/>
      <c r="H111" s="89"/>
      <c r="I111" s="89"/>
      <c r="J111" s="89"/>
      <c r="K111" s="89"/>
      <c r="L111" s="89"/>
      <c r="M111" s="89"/>
    </row>
    <row r="112" spans="7:16" s="88" customFormat="1" x14ac:dyDescent="0.2">
      <c r="G112" s="89"/>
      <c r="H112" s="89"/>
      <c r="I112" s="89"/>
      <c r="J112" s="89"/>
      <c r="K112" s="89"/>
      <c r="L112" s="89"/>
      <c r="M112" s="89"/>
    </row>
  </sheetData>
  <mergeCells count="3">
    <mergeCell ref="B49:G49"/>
    <mergeCell ref="B50:M50"/>
    <mergeCell ref="E3:M3"/>
  </mergeCells>
  <pageMargins left="0.7" right="0.7" top="0.75" bottom="0.75" header="0.3" footer="0.3"/>
  <pageSetup orientation="portrait" r:id="rId1"/>
  <headerFooter>
    <oddFooter>&amp;L_x000D_&amp;1#&amp;"Calibri"&amp;11&amp;K000000 Classification: Public</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4AF7944A128D45BC2931C6E06ABC09" ma:contentTypeVersion="1" ma:contentTypeDescription="Create a new document." ma:contentTypeScope="" ma:versionID="45950af4f5d5c4f03335d8e7946bb3d1">
  <xsd:schema xmlns:xsd="http://www.w3.org/2001/XMLSchema" xmlns:xs="http://www.w3.org/2001/XMLSchema" xmlns:p="http://schemas.microsoft.com/office/2006/metadata/properties" xmlns:ns1="http://schemas.microsoft.com/sharepoint/v3" xmlns:ns2="f433330f-82ec-481d-aa99-b8d8a685d8a1" targetNamespace="http://schemas.microsoft.com/office/2006/metadata/properties" ma:root="true" ma:fieldsID="a07b5efd1b1253a0288cf778f507fda6" ns1:_="" ns2:_="">
    <xsd:import namespace="http://schemas.microsoft.com/sharepoint/v3"/>
    <xsd:import namespace="f433330f-82ec-481d-aa99-b8d8a685d8a1"/>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433330f-82ec-481d-aa99-b8d8a685d8a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C037A5-4067-44C0-A408-F7CD12238B64}">
  <ds:schemaRefs>
    <ds:schemaRef ds:uri="http://schemas.microsoft.com/sharepoint/v3/contenttype/forms"/>
  </ds:schemaRefs>
</ds:datastoreItem>
</file>

<file path=customXml/itemProps2.xml><?xml version="1.0" encoding="utf-8"?>
<ds:datastoreItem xmlns:ds="http://schemas.openxmlformats.org/officeDocument/2006/customXml" ds:itemID="{7BF7CA16-8CEF-48A6-A37F-299975C9937B}">
  <ds:schemaRefs>
    <ds:schemaRef ds:uri="http://purl.org/dc/dcmitype/"/>
    <ds:schemaRef ds:uri="http://schemas.microsoft.com/office/2006/documentManagement/types"/>
    <ds:schemaRef ds:uri="http://schemas.microsoft.com/office/2006/metadata/properties"/>
    <ds:schemaRef ds:uri="http://www.w3.org/XML/1998/namespace"/>
    <ds:schemaRef ds:uri="http://purl.org/dc/terms/"/>
    <ds:schemaRef ds:uri="http://purl.org/dc/elements/1.1/"/>
    <ds:schemaRef ds:uri="http://schemas.openxmlformats.org/package/2006/metadata/core-properties"/>
    <ds:schemaRef ds:uri="http://schemas.microsoft.com/office/infopath/2007/PartnerControls"/>
    <ds:schemaRef ds:uri="f433330f-82ec-481d-aa99-b8d8a685d8a1"/>
    <ds:schemaRef ds:uri="http://schemas.microsoft.com/sharepoint/v3"/>
  </ds:schemaRefs>
</ds:datastoreItem>
</file>

<file path=customXml/itemProps3.xml><?xml version="1.0" encoding="utf-8"?>
<ds:datastoreItem xmlns:ds="http://schemas.openxmlformats.org/officeDocument/2006/customXml" ds:itemID="{616EE3C4-50CE-4A02-A2AA-E41654A598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433330f-82ec-481d-aa99-b8d8a685d8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13</vt:i4>
      </vt:variant>
    </vt:vector>
  </HeadingPairs>
  <TitlesOfParts>
    <vt:vector size="19" baseType="lpstr">
      <vt:lpstr>Introductions</vt:lpstr>
      <vt:lpstr>LE and Opt-in</vt:lpstr>
      <vt:lpstr>Aggregates</vt:lpstr>
      <vt:lpstr>Emissions and Fuel Charge</vt:lpstr>
      <vt:lpstr>Configuration</vt:lpstr>
      <vt:lpstr>High-Performance Benchmarks</vt:lpstr>
      <vt:lpstr>AggLimit</vt:lpstr>
      <vt:lpstr>Ammended</vt:lpstr>
      <vt:lpstr>Be</vt:lpstr>
      <vt:lpstr>BeAgg</vt:lpstr>
      <vt:lpstr>Bh</vt:lpstr>
      <vt:lpstr>Bhy</vt:lpstr>
      <vt:lpstr>FSBe</vt:lpstr>
      <vt:lpstr>FSBh</vt:lpstr>
      <vt:lpstr>FSBh2</vt:lpstr>
      <vt:lpstr>fuelrates</vt:lpstr>
      <vt:lpstr>fuels</vt:lpstr>
      <vt:lpstr>LEOLimit</vt:lpstr>
      <vt:lpstr>RandU</vt:lpstr>
    </vt:vector>
  </TitlesOfParts>
  <Manager>aep.ghg@gov.ab.ca</Manager>
  <Company>GoA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TIER-cost-estimator</dc:title>
  <dc:subject>Aid in estimimating costs under TIER</dc:subject>
  <dc:creator>Government of Alberta - Environment and Protected Areas</dc:creator>
  <cp:keywords>Classification: Public</cp:keywords>
  <dcterms:created xsi:type="dcterms:W3CDTF">2019-11-12T15:10:26Z</dcterms:created>
  <dcterms:modified xsi:type="dcterms:W3CDTF">2023-12-18T19:02:28Z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0x010100BE4AF7944A128D45BC2931C6E06ABC09</vt:lpwstr>
  </property>
  <property fmtid="{D5CDD505-2E9C-101B-9397-08002B2CF9AE}" pid="3" name="_dlc_DocIdItemGuid">
    <vt:lpwstr>1707678b-e8ae-4295-84fe-f4623d37ff6b</vt:lpwstr>
  </property>
  <property fmtid="{D5CDD505-2E9C-101B-9397-08002B2CF9AE}" pid="4" name="MSIP_Label_60c3ebf9-3c2f-4745-a75f-55836bdb736f_Enabled">
    <vt:lpwstr>true</vt:lpwstr>
  </property>
  <property fmtid="{D5CDD505-2E9C-101B-9397-08002B2CF9AE}" pid="5" name="MSIP_Label_60c3ebf9-3c2f-4745-a75f-55836bdb736f_SetDate">
    <vt:lpwstr>2023-12-18T19:02:19Z</vt:lpwstr>
  </property>
  <property fmtid="{D5CDD505-2E9C-101B-9397-08002B2CF9AE}" pid="6" name="MSIP_Label_60c3ebf9-3c2f-4745-a75f-55836bdb736f_Method">
    <vt:lpwstr>Privileged</vt:lpwstr>
  </property>
  <property fmtid="{D5CDD505-2E9C-101B-9397-08002B2CF9AE}" pid="7" name="MSIP_Label_60c3ebf9-3c2f-4745-a75f-55836bdb736f_Name">
    <vt:lpwstr>Public</vt:lpwstr>
  </property>
  <property fmtid="{D5CDD505-2E9C-101B-9397-08002B2CF9AE}" pid="8" name="MSIP_Label_60c3ebf9-3c2f-4745-a75f-55836bdb736f_SiteId">
    <vt:lpwstr>2bb51c06-af9b-42c5-8bf5-3c3b7b10850b</vt:lpwstr>
  </property>
  <property fmtid="{D5CDD505-2E9C-101B-9397-08002B2CF9AE}" pid="9" name="MSIP_Label_60c3ebf9-3c2f-4745-a75f-55836bdb736f_ActionId">
    <vt:lpwstr>99cdade8-dfcd-43b1-bd38-aa2d0e3e8a0f</vt:lpwstr>
  </property>
  <property fmtid="{D5CDD505-2E9C-101B-9397-08002B2CF9AE}" pid="10" name="MSIP_Label_60c3ebf9-3c2f-4745-a75f-55836bdb736f_ContentBits">
    <vt:lpwstr>2</vt:lpwstr>
  </property>
</Properties>
</file>