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OS-Oil Sands Operations\Royalty and Tenure\RIM\Web content conversion\"/>
    </mc:Choice>
  </mc:AlternateContent>
  <bookViews>
    <workbookView xWindow="45" yWindow="4125" windowWidth="15330" windowHeight="4185" tabRatio="710"/>
  </bookViews>
  <sheets>
    <sheet name="GFE" sheetId="1" r:id="rId1"/>
    <sheet name="UGC" sheetId="5" r:id="rId2"/>
    <sheet name="Calculated Fields" sheetId="3" r:id="rId3"/>
    <sheet name="ADMIN" sheetId="6" r:id="rId4"/>
  </sheets>
  <externalReferences>
    <externalReference r:id="rId5"/>
    <externalReference r:id="rId6"/>
  </externalReferences>
  <definedNames>
    <definedName name="ACwvu.print." localSheetId="0" hidden="1">GFE!$A$1:$P$91</definedName>
    <definedName name="GFE" localSheetId="1">[1]GFE!#REF!</definedName>
    <definedName name="GFE">GFE!$A$1:$P$91</definedName>
    <definedName name="_xlnm.Print_Area" localSheetId="0">GFE!$A$1:$P$105</definedName>
    <definedName name="_xlnm.Print_Titles" localSheetId="2">'Calculated Fields'!$1:$1</definedName>
    <definedName name="_xlnm.Print_Titles" localSheetId="0">GFE!$1:$6</definedName>
    <definedName name="Sample_Calculation">#REF!</definedName>
    <definedName name="Swvu.print." localSheetId="0" hidden="1">GFE!$A$1:$P$91</definedName>
    <definedName name="VL">[2]UGC!$M$1:$M$2</definedName>
    <definedName name="wvu.print." localSheetId="0" hidden="1">{TRUE,TRUE,-2,-16.4,483.6,279,FALSE,TRUE,TRUE,TRUE,15,9,#N/A,62,#N/A,16.3061224489796,35.4210526315789,1,FALSE,FALSE,3,TRUE,1,FALSE,50,"Swvu.print.","ACwvu.print.",#N/A,FALSE,FALSE,0.25,0.25,0.25,0.25,2,"","&amp;L&amp;D +&amp;C&amp;Rp:/operate/steve ^",FALSE,FALSE,FALSE,FALSE,1,61,#N/A,#N/A,"=R2C3:R66C23",FALSE,#N/A,#N/A,FALSE,FALSE,FALSE,1,4294967292,4294967292,FALSE,FALSE,TRUE,TRUE,TRUE}</definedName>
    <definedName name="Z_D40860D7_774D_11D2_87AB_0008C760F79A_.wvu.PrintArea" localSheetId="0" hidden="1">GFE!$A$1:$P$91</definedName>
    <definedName name="Z_D40860F8_774D_11D2_87AB_0008C760F79A_.wvu.PrintArea" localSheetId="0" hidden="1">GFE!$A$1:$P$91</definedName>
    <definedName name="Z_E3D3E650_732D_11D2_87AA_0008C760F79A_.wvu.PrintArea" localSheetId="0" hidden="1">GFE!$A$1:$P$91</definedName>
  </definedNames>
  <calcPr calcId="162913" iterate="1" iterateCount="5000" calcOnSave="0"/>
  <customWorkbookViews>
    <customWorkbookView name="print (Sample Calculat)" guid="{D40860F7-774D-11D2-87AB-0008C760F79A}" maximized="1" xWindow="1" windowWidth="634" windowHeight="343" activeSheetId="2"/>
    <customWorkbookView name="print (Short version)" guid="{D40860F8-774D-11D2-87AB-0008C760F79A}" maximized="1" xWindow="1" windowWidth="634" windowHeight="343" activeSheetId="1"/>
  </customWorkbookViews>
</workbook>
</file>

<file path=xl/calcChain.xml><?xml version="1.0" encoding="utf-8"?>
<calcChain xmlns="http://schemas.openxmlformats.org/spreadsheetml/2006/main">
  <c r="T10" i="5" l="1"/>
  <c r="T11" i="5"/>
  <c r="P10" i="5"/>
  <c r="N10" i="5"/>
  <c r="J12" i="5"/>
  <c r="P68" i="1"/>
  <c r="O52" i="1"/>
  <c r="O53" i="1" s="1"/>
  <c r="O63" i="1" s="1"/>
  <c r="N52" i="1"/>
  <c r="M52" i="1"/>
  <c r="L52" i="1"/>
  <c r="K52" i="1"/>
  <c r="J52" i="1"/>
  <c r="I52" i="1"/>
  <c r="H52" i="1"/>
  <c r="G52" i="1"/>
  <c r="F52" i="1"/>
  <c r="E52" i="1"/>
  <c r="O51" i="1"/>
  <c r="N51" i="1"/>
  <c r="M51" i="1"/>
  <c r="L51" i="1"/>
  <c r="K51" i="1"/>
  <c r="J51" i="1"/>
  <c r="I51" i="1"/>
  <c r="H51" i="1"/>
  <c r="G51" i="1"/>
  <c r="F51" i="1"/>
  <c r="E51" i="1"/>
  <c r="O50" i="1"/>
  <c r="N50" i="1"/>
  <c r="N53" i="1" s="1"/>
  <c r="N63" i="1" s="1"/>
  <c r="M50" i="1"/>
  <c r="M53" i="1" s="1"/>
  <c r="M63" i="1" s="1"/>
  <c r="L50" i="1"/>
  <c r="L53" i="1"/>
  <c r="L63" i="1" s="1"/>
  <c r="K50" i="1"/>
  <c r="K53" i="1" s="1"/>
  <c r="K63" i="1" s="1"/>
  <c r="J50" i="1"/>
  <c r="I50" i="1"/>
  <c r="H50" i="1"/>
  <c r="G50" i="1"/>
  <c r="G53" i="1" s="1"/>
  <c r="G63" i="1" s="1"/>
  <c r="F50" i="1"/>
  <c r="F53" i="1"/>
  <c r="F63" i="1" s="1"/>
  <c r="E50" i="1"/>
  <c r="E53" i="1"/>
  <c r="E63" i="1"/>
  <c r="D52" i="1"/>
  <c r="D51" i="1"/>
  <c r="D50" i="1"/>
  <c r="E62" i="1"/>
  <c r="P4" i="1"/>
  <c r="P3" i="1"/>
  <c r="J28" i="5"/>
  <c r="D28" i="5"/>
  <c r="J27" i="5"/>
  <c r="D27" i="5"/>
  <c r="J26" i="5"/>
  <c r="D26" i="5"/>
  <c r="J25" i="5"/>
  <c r="D25" i="5"/>
  <c r="J24" i="5"/>
  <c r="D24" i="5"/>
  <c r="J23" i="5"/>
  <c r="D23" i="5"/>
  <c r="J22" i="5"/>
  <c r="D22" i="5"/>
  <c r="J21" i="5"/>
  <c r="D21" i="5"/>
  <c r="J20" i="5"/>
  <c r="D20" i="5"/>
  <c r="J19" i="5"/>
  <c r="D19" i="5"/>
  <c r="J18" i="5"/>
  <c r="D18" i="5"/>
  <c r="J17" i="5"/>
  <c r="D17" i="5"/>
  <c r="J16" i="5"/>
  <c r="D16" i="5"/>
  <c r="J15" i="5"/>
  <c r="D15" i="5"/>
  <c r="J14" i="5"/>
  <c r="D14" i="5"/>
  <c r="J13" i="5"/>
  <c r="D13" i="5"/>
  <c r="D12" i="5"/>
  <c r="J11" i="5"/>
  <c r="D11" i="5"/>
  <c r="J10" i="5"/>
  <c r="D10" i="5"/>
  <c r="J9" i="5"/>
  <c r="D9" i="5"/>
  <c r="J8" i="5"/>
  <c r="D8" i="5"/>
  <c r="J7" i="5"/>
  <c r="D7" i="5"/>
  <c r="J6" i="5"/>
  <c r="D6" i="5"/>
  <c r="J5" i="5"/>
  <c r="D5" i="5"/>
  <c r="J4" i="5"/>
  <c r="D4" i="5"/>
  <c r="F4" i="5"/>
  <c r="H4" i="5" s="1"/>
  <c r="E5" i="5" s="1"/>
  <c r="G4" i="5"/>
  <c r="E40" i="1"/>
  <c r="F40" i="1"/>
  <c r="G40" i="1"/>
  <c r="H40" i="1"/>
  <c r="I40" i="1"/>
  <c r="J40" i="1"/>
  <c r="K40" i="1"/>
  <c r="L40" i="1"/>
  <c r="M40" i="1"/>
  <c r="N40" i="1"/>
  <c r="O40" i="1"/>
  <c r="E43" i="1"/>
  <c r="F43" i="1"/>
  <c r="G43" i="1"/>
  <c r="H43" i="1"/>
  <c r="I43" i="1"/>
  <c r="J43" i="1"/>
  <c r="K43" i="1"/>
  <c r="L43" i="1"/>
  <c r="M43" i="1"/>
  <c r="N43" i="1"/>
  <c r="O43" i="1"/>
  <c r="E46" i="1"/>
  <c r="F46" i="1"/>
  <c r="G46" i="1"/>
  <c r="H46" i="1"/>
  <c r="I46" i="1"/>
  <c r="J46" i="1"/>
  <c r="K46" i="1"/>
  <c r="L46" i="1"/>
  <c r="M46" i="1"/>
  <c r="N46" i="1"/>
  <c r="O46" i="1"/>
  <c r="E47" i="1"/>
  <c r="F47" i="1"/>
  <c r="G47" i="1"/>
  <c r="H47" i="1"/>
  <c r="I47" i="1"/>
  <c r="J47" i="1"/>
  <c r="K47" i="1"/>
  <c r="L47" i="1"/>
  <c r="M47" i="1"/>
  <c r="N47" i="1"/>
  <c r="O47" i="1"/>
  <c r="E48" i="1"/>
  <c r="F48" i="1"/>
  <c r="G48" i="1"/>
  <c r="H48" i="1"/>
  <c r="I48" i="1"/>
  <c r="J48" i="1"/>
  <c r="K48" i="1"/>
  <c r="L48" i="1"/>
  <c r="M48" i="1"/>
  <c r="N48" i="1"/>
  <c r="O48" i="1"/>
  <c r="E38" i="1"/>
  <c r="F38" i="1"/>
  <c r="G38" i="1"/>
  <c r="H38" i="1"/>
  <c r="I38" i="1"/>
  <c r="J38" i="1"/>
  <c r="K38" i="1"/>
  <c r="L38" i="1"/>
  <c r="L45" i="1"/>
  <c r="M38" i="1"/>
  <c r="N38" i="1"/>
  <c r="O38" i="1"/>
  <c r="D38" i="1"/>
  <c r="D40" i="1"/>
  <c r="D43" i="1"/>
  <c r="D46" i="1"/>
  <c r="D47" i="1"/>
  <c r="D48" i="1"/>
  <c r="D80" i="1"/>
  <c r="O6" i="1"/>
  <c r="N6" i="1"/>
  <c r="M6" i="1"/>
  <c r="L6" i="1"/>
  <c r="K6" i="1"/>
  <c r="J6" i="1"/>
  <c r="I6" i="1"/>
  <c r="H6" i="1"/>
  <c r="G6" i="1"/>
  <c r="F6" i="1"/>
  <c r="E6" i="1"/>
  <c r="O56" i="1"/>
  <c r="N56" i="1"/>
  <c r="M56" i="1"/>
  <c r="L56" i="1"/>
  <c r="K56" i="1"/>
  <c r="J56" i="1"/>
  <c r="I56" i="1"/>
  <c r="H56" i="1"/>
  <c r="G56" i="1"/>
  <c r="F56" i="1"/>
  <c r="E56" i="1"/>
  <c r="D56" i="1"/>
  <c r="O55" i="1"/>
  <c r="N55" i="1"/>
  <c r="M55" i="1"/>
  <c r="L55" i="1"/>
  <c r="K55" i="1"/>
  <c r="J55" i="1"/>
  <c r="I55" i="1"/>
  <c r="H55" i="1"/>
  <c r="G55" i="1"/>
  <c r="F55" i="1"/>
  <c r="E55" i="1"/>
  <c r="P23" i="1"/>
  <c r="P24" i="1"/>
  <c r="P31" i="1"/>
  <c r="P32" i="1"/>
  <c r="P22" i="1"/>
  <c r="N66" i="1"/>
  <c r="N69" i="1"/>
  <c r="N74" i="1" s="1"/>
  <c r="N81" i="1" s="1"/>
  <c r="O59" i="1"/>
  <c r="N59" i="1"/>
  <c r="M59" i="1"/>
  <c r="L59" i="1"/>
  <c r="K59" i="1"/>
  <c r="J59" i="1"/>
  <c r="I59" i="1"/>
  <c r="H59" i="1"/>
  <c r="G59" i="1"/>
  <c r="P59" i="1" s="1"/>
  <c r="F59" i="1"/>
  <c r="E59" i="1"/>
  <c r="D55" i="1"/>
  <c r="O80" i="1"/>
  <c r="O81" i="1" s="1"/>
  <c r="N80" i="1"/>
  <c r="M80" i="1"/>
  <c r="L80" i="1"/>
  <c r="K80" i="1"/>
  <c r="K81" i="1" s="1"/>
  <c r="J80" i="1"/>
  <c r="J81" i="1" s="1"/>
  <c r="I80" i="1"/>
  <c r="H80" i="1"/>
  <c r="G80" i="1"/>
  <c r="F80" i="1"/>
  <c r="E80" i="1"/>
  <c r="P79" i="1"/>
  <c r="P80" i="1" s="1"/>
  <c r="P67" i="1"/>
  <c r="P65" i="1"/>
  <c r="P58" i="1"/>
  <c r="O66" i="1"/>
  <c r="O69" i="1"/>
  <c r="O74" i="1" s="1"/>
  <c r="M66" i="1"/>
  <c r="M69" i="1" s="1"/>
  <c r="M74" i="1"/>
  <c r="J66" i="1"/>
  <c r="J69" i="1"/>
  <c r="J74" i="1" s="1"/>
  <c r="I66" i="1"/>
  <c r="H66" i="1"/>
  <c r="H69" i="1" s="1"/>
  <c r="H74" i="1" s="1"/>
  <c r="H81" i="1" s="1"/>
  <c r="G66" i="1"/>
  <c r="G69" i="1" s="1"/>
  <c r="G74" i="1"/>
  <c r="E66" i="1"/>
  <c r="P16" i="1"/>
  <c r="P8" i="1"/>
  <c r="P9" i="1"/>
  <c r="P10" i="1"/>
  <c r="P11" i="1"/>
  <c r="P12" i="1"/>
  <c r="P13" i="1"/>
  <c r="P14" i="1"/>
  <c r="P19" i="1"/>
  <c r="P60" i="1"/>
  <c r="P18" i="1"/>
  <c r="K66" i="1"/>
  <c r="K69" i="1"/>
  <c r="K74" i="1" s="1"/>
  <c r="L66" i="1"/>
  <c r="L69" i="1" s="1"/>
  <c r="L74" i="1"/>
  <c r="L81" i="1" s="1"/>
  <c r="G62" i="1"/>
  <c r="I62" i="1"/>
  <c r="K62" i="1"/>
  <c r="M62" i="1"/>
  <c r="O62" i="1"/>
  <c r="F66" i="1"/>
  <c r="F69" i="1"/>
  <c r="F74" i="1" s="1"/>
  <c r="F81" i="1"/>
  <c r="F62" i="1"/>
  <c r="H62" i="1"/>
  <c r="J62" i="1"/>
  <c r="L62" i="1"/>
  <c r="N62" i="1"/>
  <c r="P61" i="1"/>
  <c r="D66" i="1"/>
  <c r="D69" i="1" s="1"/>
  <c r="D74" i="1"/>
  <c r="D81" i="1" s="1"/>
  <c r="D62" i="1"/>
  <c r="P17" i="1"/>
  <c r="P15" i="1"/>
  <c r="P28" i="1"/>
  <c r="P30" i="1"/>
  <c r="D59" i="1"/>
  <c r="P29" i="1"/>
  <c r="P27" i="1"/>
  <c r="P25" i="1"/>
  <c r="P20" i="1"/>
  <c r="P26" i="1"/>
  <c r="P57" i="1"/>
  <c r="J45" i="1"/>
  <c r="H45" i="1"/>
  <c r="I44" i="1"/>
  <c r="I45" i="1"/>
  <c r="L44" i="1"/>
  <c r="L42" i="1"/>
  <c r="L41" i="1"/>
  <c r="J41" i="1"/>
  <c r="F45" i="1"/>
  <c r="K44" i="1"/>
  <c r="O41" i="1"/>
  <c r="O44" i="1"/>
  <c r="O42" i="1"/>
  <c r="O45" i="1"/>
  <c r="I41" i="1"/>
  <c r="I42" i="1"/>
  <c r="E41" i="1"/>
  <c r="E44" i="1"/>
  <c r="E45" i="1"/>
  <c r="E42" i="1"/>
  <c r="P51" i="1"/>
  <c r="X4" i="5"/>
  <c r="I53" i="1"/>
  <c r="I63" i="1"/>
  <c r="E69" i="1"/>
  <c r="E74" i="1"/>
  <c r="E81" i="1" s="1"/>
  <c r="K42" i="1"/>
  <c r="K41" i="1"/>
  <c r="K45" i="1"/>
  <c r="N45" i="1"/>
  <c r="N44" i="1"/>
  <c r="N41" i="1"/>
  <c r="N42" i="1"/>
  <c r="F44" i="1"/>
  <c r="F41" i="1"/>
  <c r="F42" i="1"/>
  <c r="P55" i="1"/>
  <c r="I69" i="1"/>
  <c r="I74" i="1" s="1"/>
  <c r="I81" i="1" s="1"/>
  <c r="P66" i="1"/>
  <c r="P69" i="1" s="1"/>
  <c r="P74" i="1" s="1"/>
  <c r="J53" i="1"/>
  <c r="J63" i="1"/>
  <c r="H42" i="1"/>
  <c r="H41" i="1"/>
  <c r="H44" i="1"/>
  <c r="K4" i="5"/>
  <c r="P52" i="1"/>
  <c r="D53" i="1"/>
  <c r="D63" i="1" s="1"/>
  <c r="H53" i="1"/>
  <c r="H63" i="1" s="1"/>
  <c r="P50" i="1"/>
  <c r="X5" i="5"/>
  <c r="I4" i="5"/>
  <c r="P11" i="5"/>
  <c r="N11" i="5"/>
  <c r="U11" i="5"/>
  <c r="M42" i="1"/>
  <c r="M45" i="1"/>
  <c r="M41" i="1"/>
  <c r="G44" i="1"/>
  <c r="M44" i="1"/>
  <c r="U10" i="5"/>
  <c r="D42" i="1" l="1"/>
  <c r="D44" i="1"/>
  <c r="D45" i="1"/>
  <c r="D41" i="1"/>
  <c r="P76" i="1"/>
  <c r="P82" i="1"/>
  <c r="P81" i="1"/>
  <c r="P84" i="1" s="1"/>
  <c r="F5" i="5"/>
  <c r="G5" i="5"/>
  <c r="P53" i="1"/>
  <c r="P86" i="1"/>
  <c r="M81" i="1"/>
  <c r="G41" i="1"/>
  <c r="G45" i="1"/>
  <c r="G42" i="1"/>
  <c r="P62" i="1"/>
  <c r="P56" i="1"/>
  <c r="G81" i="1"/>
  <c r="J42" i="1"/>
  <c r="J44" i="1"/>
  <c r="L4" i="5"/>
  <c r="T4" i="5"/>
  <c r="U4" i="5" s="1"/>
  <c r="K5" i="5" l="1"/>
  <c r="H5" i="5"/>
  <c r="L5" i="5"/>
  <c r="P63" i="1"/>
  <c r="P83" i="1"/>
  <c r="P85" i="1"/>
  <c r="P88" i="1" s="1"/>
  <c r="P87" i="1"/>
  <c r="P89" i="1"/>
  <c r="N4" i="5"/>
  <c r="O4" i="5" s="1"/>
  <c r="Q4" i="5" s="1"/>
  <c r="R4" i="5" l="1"/>
  <c r="S4" i="5" s="1"/>
  <c r="I5" i="5"/>
  <c r="E6" i="5"/>
  <c r="N5" i="5"/>
  <c r="O5" i="5" s="1"/>
  <c r="D91" i="1"/>
  <c r="D92" i="1" s="1"/>
  <c r="P90" i="1"/>
  <c r="P5" i="5" l="1"/>
  <c r="T5" i="5" s="1"/>
  <c r="U5" i="5" s="1"/>
  <c r="Q5" i="5"/>
  <c r="F6" i="5"/>
  <c r="X6" i="5"/>
  <c r="G6" i="5"/>
  <c r="D93" i="1"/>
  <c r="E91" i="1" l="1"/>
  <c r="E92" i="1" s="1"/>
  <c r="L6" i="5"/>
  <c r="K6" i="5"/>
  <c r="H6" i="5"/>
  <c r="R5" i="5"/>
  <c r="S5" i="5" s="1"/>
  <c r="P6" i="5" l="1"/>
  <c r="T6" i="5" s="1"/>
  <c r="U6" i="5" s="1"/>
  <c r="N6" i="5"/>
  <c r="O6" i="5" s="1"/>
  <c r="Q6" i="5" s="1"/>
  <c r="I6" i="5"/>
  <c r="E7" i="5"/>
  <c r="E93" i="1"/>
  <c r="R6" i="5" l="1"/>
  <c r="S6" i="5" s="1"/>
  <c r="G7" i="5"/>
  <c r="F7" i="5"/>
  <c r="X7" i="5"/>
  <c r="F93" i="1"/>
  <c r="F91" i="1"/>
  <c r="F92" i="1" s="1"/>
  <c r="P7" i="5" l="1"/>
  <c r="G91" i="1"/>
  <c r="G92" i="1" s="1"/>
  <c r="G93" i="1" s="1"/>
  <c r="K7" i="5"/>
  <c r="T7" i="5"/>
  <c r="U7" i="5" s="1"/>
  <c r="H7" i="5"/>
  <c r="L7" i="5"/>
  <c r="H91" i="1" l="1"/>
  <c r="H92" i="1" s="1"/>
  <c r="H93" i="1" s="1"/>
  <c r="N7" i="5"/>
  <c r="O7" i="5" s="1"/>
  <c r="Q7" i="5" s="1"/>
  <c r="I7" i="5"/>
  <c r="E8" i="5"/>
  <c r="S7" i="5" l="1"/>
  <c r="R7" i="5"/>
  <c r="I91" i="1"/>
  <c r="I92" i="1" s="1"/>
  <c r="I93" i="1" s="1"/>
  <c r="G8" i="5"/>
  <c r="F8" i="5"/>
  <c r="X8" i="5"/>
  <c r="J91" i="1" l="1"/>
  <c r="J92" i="1" s="1"/>
  <c r="J93" i="1" s="1"/>
  <c r="H8" i="5"/>
  <c r="L8" i="5"/>
  <c r="K8" i="5"/>
  <c r="P8" i="5"/>
  <c r="T8" i="5" s="1"/>
  <c r="U8" i="5" s="1"/>
  <c r="K91" i="1" l="1"/>
  <c r="K92" i="1" s="1"/>
  <c r="K93" i="1" s="1"/>
  <c r="N8" i="5"/>
  <c r="O8" i="5" s="1"/>
  <c r="Q8" i="5" s="1"/>
  <c r="E9" i="5"/>
  <c r="I8" i="5"/>
  <c r="R8" i="5" l="1"/>
  <c r="S8" i="5" s="1"/>
  <c r="L91" i="1"/>
  <c r="L92" i="1" s="1"/>
  <c r="L93" i="1" s="1"/>
  <c r="X9" i="5"/>
  <c r="G9" i="5"/>
  <c r="F9" i="5"/>
  <c r="M91" i="1" l="1"/>
  <c r="M92" i="1" s="1"/>
  <c r="M93" i="1" s="1"/>
  <c r="P9" i="5"/>
  <c r="T9" i="5" s="1"/>
  <c r="U9" i="5" s="1"/>
  <c r="L9" i="5"/>
  <c r="H9" i="5"/>
  <c r="K9" i="5"/>
  <c r="N91" i="1" l="1"/>
  <c r="N92" i="1" s="1"/>
  <c r="N93" i="1" s="1"/>
  <c r="I9" i="5"/>
  <c r="E10" i="5"/>
  <c r="N9" i="5"/>
  <c r="O9" i="5"/>
  <c r="Q9" i="5" s="1"/>
  <c r="O91" i="1" l="1"/>
  <c r="O92" i="1" s="1"/>
  <c r="P92" i="1" s="1"/>
  <c r="F10" i="5"/>
  <c r="X10" i="5"/>
  <c r="G10" i="5"/>
  <c r="S9" i="5"/>
  <c r="R9" i="5"/>
  <c r="K10" i="5" l="1"/>
  <c r="O10" i="5"/>
  <c r="Q10" i="5" s="1"/>
  <c r="L10" i="5"/>
  <c r="H10" i="5"/>
  <c r="O93" i="1"/>
  <c r="P93" i="1" s="1"/>
  <c r="R10" i="5" l="1"/>
  <c r="S10" i="5" s="1"/>
  <c r="E11" i="5"/>
  <c r="I10" i="5"/>
  <c r="F11" i="5" l="1"/>
  <c r="G11" i="5"/>
  <c r="X11" i="5"/>
  <c r="H11" i="5" l="1"/>
  <c r="O11" i="5"/>
  <c r="Q11" i="5" s="1"/>
  <c r="K11" i="5"/>
  <c r="L11" i="5" s="1"/>
  <c r="R11" i="5" l="1"/>
  <c r="S11" i="5" s="1"/>
  <c r="E12" i="5"/>
  <c r="I11" i="5"/>
  <c r="P12" i="5" l="1"/>
  <c r="G12" i="5"/>
  <c r="F12" i="5"/>
  <c r="X12" i="5"/>
  <c r="T12" i="5" l="1"/>
  <c r="U12" i="5" s="1"/>
  <c r="K12" i="5"/>
  <c r="L12" i="5" s="1"/>
  <c r="H12" i="5"/>
  <c r="N12" i="5" l="1"/>
  <c r="O12" i="5"/>
  <c r="Q12" i="5" s="1"/>
  <c r="E13" i="5"/>
  <c r="I12" i="5"/>
  <c r="X13" i="5" l="1"/>
  <c r="G13" i="5"/>
  <c r="F13" i="5"/>
  <c r="R12" i="5"/>
  <c r="S12" i="5" s="1"/>
  <c r="P13" i="5" l="1"/>
  <c r="T13" i="5"/>
  <c r="U13" i="5" s="1"/>
  <c r="K13" i="5"/>
  <c r="H13" i="5"/>
  <c r="L13" i="5"/>
  <c r="N13" i="5" l="1"/>
  <c r="O13" i="5" s="1"/>
  <c r="Q13" i="5" s="1"/>
  <c r="E14" i="5"/>
  <c r="I13" i="5"/>
  <c r="R13" i="5" l="1"/>
  <c r="S13" i="5" s="1"/>
  <c r="G14" i="5"/>
  <c r="X14" i="5"/>
  <c r="F14" i="5"/>
  <c r="P14" i="5" l="1"/>
  <c r="R14" i="5"/>
  <c r="K14" i="5"/>
  <c r="L14" i="5" s="1"/>
  <c r="T14" i="5"/>
  <c r="U14" i="5" s="1"/>
  <c r="H14" i="5"/>
  <c r="N14" i="5" l="1"/>
  <c r="O14" i="5" s="1"/>
  <c r="Q14" i="5" s="1"/>
  <c r="S14" i="5" s="1"/>
  <c r="E15" i="5"/>
  <c r="I14" i="5"/>
  <c r="P15" i="5" l="1"/>
  <c r="R15" i="5"/>
  <c r="F15" i="5"/>
  <c r="G15" i="5"/>
  <c r="X15" i="5"/>
  <c r="T15" i="5" l="1"/>
  <c r="U15" i="5" s="1"/>
  <c r="K15" i="5"/>
  <c r="L15" i="5" s="1"/>
  <c r="H15" i="5"/>
  <c r="N15" i="5" l="1"/>
  <c r="O15" i="5"/>
  <c r="Q15" i="5" s="1"/>
  <c r="S15" i="5" s="1"/>
  <c r="I15" i="5"/>
  <c r="E16" i="5"/>
  <c r="G16" i="5" l="1"/>
  <c r="X16" i="5"/>
  <c r="F16" i="5"/>
  <c r="R16" i="5"/>
  <c r="P16" i="5"/>
  <c r="T16" i="5" l="1"/>
  <c r="U16" i="5" s="1"/>
  <c r="H16" i="5"/>
  <c r="K16" i="5"/>
  <c r="L16" i="5"/>
  <c r="N16" i="5" l="1"/>
  <c r="O16" i="5"/>
  <c r="Q16" i="5" s="1"/>
  <c r="S16" i="5" s="1"/>
  <c r="E17" i="5"/>
  <c r="I16" i="5"/>
  <c r="X17" i="5" l="1"/>
  <c r="F17" i="5"/>
  <c r="G17" i="5"/>
  <c r="P17" i="5"/>
  <c r="R17" i="5"/>
  <c r="T17" i="5" l="1"/>
  <c r="U17" i="5" s="1"/>
  <c r="K17" i="5"/>
  <c r="L17" i="5"/>
  <c r="H17" i="5"/>
  <c r="N17" i="5" l="1"/>
  <c r="O17" i="5"/>
  <c r="Q17" i="5" s="1"/>
  <c r="S17" i="5" s="1"/>
  <c r="I17" i="5"/>
  <c r="E18" i="5"/>
  <c r="F18" i="5" l="1"/>
  <c r="G18" i="5"/>
  <c r="X18" i="5"/>
  <c r="R18" i="5"/>
  <c r="P18" i="5"/>
  <c r="K18" i="5" l="1"/>
  <c r="L18" i="5"/>
  <c r="H18" i="5"/>
  <c r="T18" i="5"/>
  <c r="U18" i="5" s="1"/>
  <c r="I18" i="5" l="1"/>
  <c r="E19" i="5"/>
  <c r="N18" i="5"/>
  <c r="O18" i="5" s="1"/>
  <c r="Q18" i="5" s="1"/>
  <c r="S18" i="5" s="1"/>
  <c r="R19" i="5" l="1"/>
  <c r="P19" i="5"/>
  <c r="F19" i="5"/>
  <c r="G19" i="5"/>
  <c r="X19" i="5"/>
  <c r="T19" i="5" l="1"/>
  <c r="U19" i="5" s="1"/>
  <c r="H19" i="5"/>
  <c r="K19" i="5"/>
  <c r="L19" i="5"/>
  <c r="E20" i="5" l="1"/>
  <c r="I19" i="5"/>
  <c r="N19" i="5"/>
  <c r="O19" i="5" s="1"/>
  <c r="Q19" i="5" s="1"/>
  <c r="S19" i="5" s="1"/>
  <c r="R20" i="5" l="1"/>
  <c r="P20" i="5"/>
  <c r="F20" i="5"/>
  <c r="X20" i="5"/>
  <c r="G20" i="5"/>
  <c r="H20" i="5" l="1"/>
  <c r="K20" i="5"/>
  <c r="L20" i="5"/>
  <c r="T20" i="5"/>
  <c r="U20" i="5" s="1"/>
  <c r="N20" i="5" l="1"/>
  <c r="O20" i="5" s="1"/>
  <c r="Q20" i="5" s="1"/>
  <c r="S20" i="5" s="1"/>
  <c r="E21" i="5"/>
  <c r="I20" i="5"/>
  <c r="R21" i="5" l="1"/>
  <c r="P21" i="5"/>
  <c r="F21" i="5"/>
  <c r="X21" i="5"/>
  <c r="G21" i="5"/>
  <c r="H21" i="5" l="1"/>
  <c r="K21" i="5"/>
  <c r="L21" i="5"/>
  <c r="T21" i="5"/>
  <c r="U21" i="5" s="1"/>
  <c r="N21" i="5" l="1"/>
  <c r="O21" i="5" s="1"/>
  <c r="Q21" i="5" s="1"/>
  <c r="S21" i="5" s="1"/>
  <c r="E22" i="5"/>
  <c r="I21" i="5"/>
  <c r="R22" i="5" l="1"/>
  <c r="P22" i="5"/>
  <c r="X22" i="5"/>
  <c r="G22" i="5"/>
  <c r="F22" i="5"/>
  <c r="T22" i="5" l="1"/>
  <c r="U22" i="5" s="1"/>
  <c r="H22" i="5"/>
  <c r="K22" i="5"/>
  <c r="L22" i="5" s="1"/>
  <c r="N22" i="5" l="1"/>
  <c r="O22" i="5"/>
  <c r="Q22" i="5" s="1"/>
  <c r="S22" i="5" s="1"/>
  <c r="E23" i="5"/>
  <c r="I22" i="5"/>
  <c r="R23" i="5" l="1"/>
  <c r="P23" i="5"/>
  <c r="X23" i="5"/>
  <c r="G23" i="5"/>
  <c r="F23" i="5"/>
  <c r="H23" i="5" l="1"/>
  <c r="T23" i="5"/>
  <c r="U23" i="5" s="1"/>
  <c r="K23" i="5"/>
  <c r="L23" i="5" s="1"/>
  <c r="N23" i="5" l="1"/>
  <c r="O23" i="5" s="1"/>
  <c r="Q23" i="5" s="1"/>
  <c r="S23" i="5" s="1"/>
  <c r="I23" i="5"/>
  <c r="E24" i="5"/>
  <c r="R24" i="5" l="1"/>
  <c r="P24" i="5"/>
  <c r="X24" i="5"/>
  <c r="G24" i="5"/>
  <c r="F24" i="5"/>
  <c r="K24" i="5" l="1"/>
  <c r="L24" i="5"/>
  <c r="H24" i="5"/>
  <c r="T24" i="5"/>
  <c r="U24" i="5" s="1"/>
  <c r="I24" i="5" l="1"/>
  <c r="E25" i="5"/>
  <c r="N24" i="5"/>
  <c r="O24" i="5" s="1"/>
  <c r="Q24" i="5" s="1"/>
  <c r="S24" i="5" s="1"/>
  <c r="R25" i="5" l="1"/>
  <c r="P25" i="5"/>
  <c r="G25" i="5"/>
  <c r="F25" i="5"/>
  <c r="X25" i="5"/>
  <c r="H25" i="5" l="1"/>
  <c r="T25" i="5"/>
  <c r="U25" i="5" s="1"/>
  <c r="K25" i="5"/>
  <c r="L25" i="5" s="1"/>
  <c r="N25" i="5" l="1"/>
  <c r="O25" i="5" s="1"/>
  <c r="Q25" i="5" s="1"/>
  <c r="S25" i="5" s="1"/>
  <c r="E26" i="5"/>
  <c r="I25" i="5"/>
  <c r="P26" i="5" l="1"/>
  <c r="R26" i="5"/>
  <c r="G26" i="5"/>
  <c r="X26" i="5"/>
  <c r="F26" i="5"/>
  <c r="H26" i="5" l="1"/>
  <c r="K26" i="5"/>
  <c r="L26" i="5" s="1"/>
  <c r="T26" i="5"/>
  <c r="U26" i="5" s="1"/>
  <c r="N26" i="5" l="1"/>
  <c r="O26" i="5" s="1"/>
  <c r="Q26" i="5" s="1"/>
  <c r="S26" i="5" s="1"/>
  <c r="I26" i="5"/>
  <c r="E27" i="5"/>
  <c r="R27" i="5" l="1"/>
  <c r="P27" i="5"/>
  <c r="G27" i="5"/>
  <c r="F27" i="5"/>
  <c r="X27" i="5"/>
  <c r="K27" i="5" l="1"/>
  <c r="L27" i="5"/>
  <c r="H27" i="5"/>
  <c r="T27" i="5"/>
  <c r="U27" i="5" s="1"/>
  <c r="I27" i="5" l="1"/>
  <c r="E28" i="5"/>
  <c r="N27" i="5"/>
  <c r="O27" i="5" s="1"/>
  <c r="Q27" i="5" s="1"/>
  <c r="S27" i="5" s="1"/>
  <c r="P28" i="5" l="1"/>
  <c r="R28" i="5"/>
  <c r="F28" i="5"/>
  <c r="X28" i="5"/>
  <c r="G28" i="5"/>
  <c r="H28" i="5" l="1"/>
  <c r="I28" i="5" s="1"/>
  <c r="T28" i="5"/>
  <c r="U28" i="5" s="1"/>
  <c r="K28" i="5"/>
  <c r="L28" i="5" s="1"/>
  <c r="N28" i="5" l="1"/>
  <c r="O28" i="5"/>
  <c r="Q28" i="5" s="1"/>
  <c r="S28" i="5" s="1"/>
</calcChain>
</file>

<file path=xl/sharedStrings.xml><?xml version="1.0" encoding="utf-8"?>
<sst xmlns="http://schemas.openxmlformats.org/spreadsheetml/2006/main" count="334" uniqueCount="287">
  <si>
    <t>JAN</t>
  </si>
  <si>
    <t>FEB</t>
  </si>
  <si>
    <t>MAR</t>
  </si>
  <si>
    <t>APR</t>
  </si>
  <si>
    <t>MAY</t>
  </si>
  <si>
    <t>JUN</t>
  </si>
  <si>
    <t>JUL</t>
  </si>
  <si>
    <t>AUG</t>
  </si>
  <si>
    <t>SEP</t>
  </si>
  <si>
    <t>OCT</t>
  </si>
  <si>
    <t>NOV</t>
  </si>
  <si>
    <t>DEC</t>
  </si>
  <si>
    <t>TOTAL</t>
  </si>
  <si>
    <t>(Act)</t>
  </si>
  <si>
    <t>Capital</t>
  </si>
  <si>
    <t>PRODUCTION, SALES &amp; HANDLING CHARGES*</t>
  </si>
  <si>
    <t>UNIT PRICE</t>
  </si>
  <si>
    <t>DILUENT</t>
  </si>
  <si>
    <t>Crude Bitumen Revenue</t>
  </si>
  <si>
    <t>Blended Bitumen &lt;Blend Type(s)&gt; Revenue</t>
  </si>
  <si>
    <t>Other Oil Sands Products Revenue</t>
  </si>
  <si>
    <t>Project Operations (excludes cost of diluent)</t>
  </si>
  <si>
    <t>Diluent</t>
  </si>
  <si>
    <t>Period Costs</t>
  </si>
  <si>
    <t>Cumulative Balance Carried Forward Upon Payout</t>
  </si>
  <si>
    <t>Previous Period's Net Loss</t>
  </si>
  <si>
    <t>Return Allowance on Prev Period's Net Loss</t>
  </si>
  <si>
    <t>Excess of Prev Period's GRR over NRR</t>
  </si>
  <si>
    <t>Excess of Prev Period's ONP over Total AC</t>
  </si>
  <si>
    <t>Total Other Net Proceeds</t>
  </si>
  <si>
    <t>Allowable Revenue from Other Net Proceeds</t>
  </si>
  <si>
    <t>Indicate Actual or Estimate for Month</t>
  </si>
  <si>
    <t xml:space="preserve">Other Oil Sands Products AL Sales Volume (unit) </t>
  </si>
  <si>
    <t>Crude Bitumen AL Sales Value ($)</t>
  </si>
  <si>
    <t>Other Oil Sands Products AL Sales Value ($)</t>
  </si>
  <si>
    <t>REVENUE</t>
  </si>
  <si>
    <t>PROJECT REVENUE (use to calculate Net Revenue)</t>
  </si>
  <si>
    <t>Costs</t>
  </si>
  <si>
    <t>Formula</t>
  </si>
  <si>
    <t xml:space="preserve">     Condition 1 - If AL Sales meet 3rd Party Disposition Threshold of 40%</t>
  </si>
  <si>
    <t xml:space="preserve">     Condition 2 - If no AL Sales</t>
  </si>
  <si>
    <t xml:space="preserve">     Condition 3 - If AL Sales are less than 3rd Party Disposition Threshold of 40%</t>
  </si>
  <si>
    <t>Project Operations (excludes cost of diluent) + Capital + Diluent</t>
  </si>
  <si>
    <t>Period Costs + Cumulative Balance Carried Forward Upon Payout + Previous Period's Net Loss + Return Allowance from Prev Period's Net Loss + Excess of Prev Period's GRR over NRR</t>
  </si>
  <si>
    <t>TC  - total consideration received or receivable in the 3rd party disposition</t>
  </si>
  <si>
    <t>HC - handling charges in relation to the 3rd party disposition</t>
  </si>
  <si>
    <t>TD - 3rd party disposition quantity</t>
  </si>
  <si>
    <t>BVM - Bitumen Valuation Methodology</t>
  </si>
  <si>
    <t>PQ - Total volume of oil sands products produced and delivered at the RCP for the month</t>
  </si>
  <si>
    <r>
      <t>Crude Bitumen Unit Price ($/m</t>
    </r>
    <r>
      <rPr>
        <vertAlign val="superscript"/>
        <sz val="10"/>
        <color indexed="8"/>
        <rFont val="Arial"/>
        <family val="2"/>
      </rPr>
      <t>3</t>
    </r>
    <r>
      <rPr>
        <sz val="10"/>
        <color indexed="8"/>
        <rFont val="Arial"/>
        <family val="2"/>
      </rPr>
      <t>) - AL Sales &gt; or = Threshold%</t>
    </r>
  </si>
  <si>
    <r>
      <t>Crude Bitumen Unit Price ($/m</t>
    </r>
    <r>
      <rPr>
        <vertAlign val="superscript"/>
        <sz val="10"/>
        <color indexed="8"/>
        <rFont val="Arial"/>
        <family val="2"/>
      </rPr>
      <t>3</t>
    </r>
    <r>
      <rPr>
        <sz val="10"/>
        <color indexed="8"/>
        <rFont val="Arial"/>
        <family val="2"/>
      </rPr>
      <t>) - No AL Sales</t>
    </r>
  </si>
  <si>
    <r>
      <t>Crude Bitumen Unit Price ($/m</t>
    </r>
    <r>
      <rPr>
        <vertAlign val="superscript"/>
        <sz val="10"/>
        <color indexed="8"/>
        <rFont val="Arial"/>
        <family val="2"/>
      </rPr>
      <t>3</t>
    </r>
    <r>
      <rPr>
        <sz val="10"/>
        <color indexed="8"/>
        <rFont val="Arial"/>
        <family val="2"/>
      </rPr>
      <t>) - AL Sales &lt; Threshold%</t>
    </r>
  </si>
  <si>
    <r>
      <t>Blended Bitumen &lt;Blend Type(s)&gt; Unit Price ($/m</t>
    </r>
    <r>
      <rPr>
        <vertAlign val="superscript"/>
        <sz val="10"/>
        <color indexed="8"/>
        <rFont val="Arial"/>
        <family val="2"/>
      </rPr>
      <t>3</t>
    </r>
    <r>
      <rPr>
        <sz val="10"/>
        <color indexed="8"/>
        <rFont val="Arial"/>
        <family val="2"/>
      </rPr>
      <t>) - AL Sales &gt; or = Threshold%</t>
    </r>
  </si>
  <si>
    <r>
      <t>Blended Bitumen &lt;Blend Type(s)&gt; Unit Price ($/m</t>
    </r>
    <r>
      <rPr>
        <vertAlign val="superscript"/>
        <sz val="10"/>
        <color indexed="8"/>
        <rFont val="Arial"/>
        <family val="2"/>
      </rPr>
      <t>3</t>
    </r>
    <r>
      <rPr>
        <sz val="10"/>
        <color indexed="8"/>
        <rFont val="Arial"/>
        <family val="2"/>
      </rPr>
      <t>) - No AL Sales</t>
    </r>
  </si>
  <si>
    <r>
      <t>Blended Bitumen &lt;Blend Type(s)&gt; Unit Price ($/m</t>
    </r>
    <r>
      <rPr>
        <vertAlign val="superscript"/>
        <sz val="10"/>
        <color indexed="8"/>
        <rFont val="Arial"/>
        <family val="2"/>
      </rPr>
      <t>3</t>
    </r>
    <r>
      <rPr>
        <sz val="10"/>
        <color indexed="8"/>
        <rFont val="Arial"/>
        <family val="2"/>
      </rPr>
      <t>) - AL Sales &lt; Threshold%</t>
    </r>
  </si>
  <si>
    <r>
      <t>Other Oil Sands Product Unit Price ($/unit</t>
    </r>
    <r>
      <rPr>
        <sz val="10"/>
        <color indexed="8"/>
        <rFont val="Arial"/>
        <family val="2"/>
      </rPr>
      <t>) - AL Sales &gt; or = Threshold%</t>
    </r>
  </si>
  <si>
    <r>
      <t>Other Oil Sands Product Unit Price ($/m</t>
    </r>
    <r>
      <rPr>
        <vertAlign val="superscript"/>
        <sz val="10"/>
        <color indexed="8"/>
        <rFont val="Arial"/>
        <family val="2"/>
      </rPr>
      <t>3</t>
    </r>
    <r>
      <rPr>
        <sz val="10"/>
        <color indexed="8"/>
        <rFont val="Arial"/>
        <family val="2"/>
      </rPr>
      <t>) - No AL Sales</t>
    </r>
  </si>
  <si>
    <r>
      <t>Other Oil Sands Product Unit Price ($/m</t>
    </r>
    <r>
      <rPr>
        <vertAlign val="superscript"/>
        <sz val="10"/>
        <color indexed="8"/>
        <rFont val="Arial"/>
        <family val="2"/>
      </rPr>
      <t>3</t>
    </r>
    <r>
      <rPr>
        <sz val="10"/>
        <color indexed="8"/>
        <rFont val="Arial"/>
        <family val="2"/>
      </rPr>
      <t>) - AL Sales &lt; Threshold%</t>
    </r>
  </si>
  <si>
    <t>Diluent Value in Volume at RCP ($)</t>
  </si>
  <si>
    <r>
      <t>Diluent in Remaining Volume (m</t>
    </r>
    <r>
      <rPr>
        <vertAlign val="superscript"/>
        <sz val="10"/>
        <rFont val="Arial"/>
        <family val="2"/>
      </rPr>
      <t>3</t>
    </r>
    <r>
      <rPr>
        <sz val="10"/>
        <rFont val="Arial"/>
        <family val="2"/>
      </rPr>
      <t>)</t>
    </r>
  </si>
  <si>
    <t>Diluent Value in Remaining Volume ($)</t>
  </si>
  <si>
    <t>Diluent Value in Volume at RCP - Diluent Value in AL Sales Volume</t>
  </si>
  <si>
    <t>Diluent Value in AL Sales Volume / Diluent Volume in AL Sales Volume</t>
  </si>
  <si>
    <t>Diluent in Volume at RCP - Diluent Volume in AL Sales Volume</t>
  </si>
  <si>
    <t>Diluent Value in Volume at RCP / Diluent in Volume at RCP</t>
  </si>
  <si>
    <t>GROSS REVENUE (do not use to calculate Net Revenue)</t>
  </si>
  <si>
    <t>Project Revenue - Diluent Value in Volume at RCP</t>
  </si>
  <si>
    <t>Diluent Value in Volume at RCP</t>
  </si>
  <si>
    <t xml:space="preserve">(Crude Bitumen AL Sales Value - Crude Bitumen AL Handling Charges) / Crude Bitumen AL Sales Volume </t>
  </si>
  <si>
    <t>(ie.  (TC-HC) / TD )</t>
  </si>
  <si>
    <t>(ie. ((TC-HC) + ((NQ x P)) / PQ)</t>
  </si>
  <si>
    <t>(Blended Bitumen AL Sales Value - Blended Bitumen AL Handling Charges) / Blended Bitumen AL Sales Volume</t>
  </si>
  <si>
    <t>(ie. (TC-HC) / TD)</t>
  </si>
  <si>
    <t>(Other Oil Sands Products AL Sales Value - Other Oil Sands Products AL Handling Charges) / Other Oil Sands Products AL Sales Volume</t>
  </si>
  <si>
    <t xml:space="preserve">((Other Oil Sands Products Volume at RCP x FMV) / Other Oil Sands Products Volume at RCP </t>
  </si>
  <si>
    <t xml:space="preserve">((Other Oil Sands Products AL Sales Value - Other Oil Sands Products AL Handling Charges) + ((Other Oil Sands Products Volume at RCP - Other Oil Sands Products AL Sales Volume) x FMV)) / Other Oil Sands Products Volume at RCP </t>
  </si>
  <si>
    <t>(ie. ((TC-HC) + (NQ x P)) / PQ)</t>
  </si>
  <si>
    <r>
      <t>Diluent in AL Sales Unit Price ($/m</t>
    </r>
    <r>
      <rPr>
        <vertAlign val="superscript"/>
        <sz val="10"/>
        <color indexed="8"/>
        <rFont val="Arial"/>
        <family val="2"/>
      </rPr>
      <t>3</t>
    </r>
    <r>
      <rPr>
        <sz val="10"/>
        <color indexed="8"/>
        <rFont val="Arial"/>
        <family val="2"/>
      </rPr>
      <t>)</t>
    </r>
  </si>
  <si>
    <r>
      <t>Diluent in Volume at RCP Unit Price ($/m</t>
    </r>
    <r>
      <rPr>
        <vertAlign val="superscript"/>
        <sz val="10"/>
        <color indexed="8"/>
        <rFont val="Arial"/>
        <family val="2"/>
      </rPr>
      <t>3</t>
    </r>
    <r>
      <rPr>
        <sz val="10"/>
        <color indexed="8"/>
        <rFont val="Arial"/>
        <family val="2"/>
      </rPr>
      <t>)</t>
    </r>
  </si>
  <si>
    <t>CD - Cost of diluent if oil sands product is a blend</t>
  </si>
  <si>
    <t>(ie. (NQ x P) / PQ)</t>
  </si>
  <si>
    <t>(ie.(NQ x P) + CD) / PQ, where NQ is clean bitumen in the blend)</t>
  </si>
  <si>
    <t>(ie. ((TC-HC) + ((NQ x P) + CD)) / PQ , where NQ is clean crude bitumen in a blend</t>
  </si>
  <si>
    <t>NON ARM'S LENGTH INFORMATION</t>
  </si>
  <si>
    <t xml:space="preserve">Other Oil Sands Products NAL Sales Volume (unit) </t>
  </si>
  <si>
    <t>Crude Bitumen NAL Sales Value ($)</t>
  </si>
  <si>
    <t>Other Oil Sands Products NAL Sales Value ($)</t>
  </si>
  <si>
    <t>Diluent Value in AL Sales ($)</t>
  </si>
  <si>
    <t>Diluent Value in NAL Sales ($)</t>
  </si>
  <si>
    <t>Excess of Prev Period's Total Other Net Proceeds over Total Allowed Costs + Earned Proceeds</t>
  </si>
  <si>
    <t>Project Name:</t>
  </si>
  <si>
    <t>OSR #:</t>
  </si>
  <si>
    <r>
      <t>Blended Bitumen Unit Price ($/m</t>
    </r>
    <r>
      <rPr>
        <vertAlign val="superscript"/>
        <sz val="10"/>
        <color indexed="8"/>
        <rFont val="Arial"/>
        <family val="2"/>
      </rPr>
      <t>3</t>
    </r>
    <r>
      <rPr>
        <sz val="10"/>
        <color indexed="8"/>
        <rFont val="Arial"/>
        <family val="2"/>
      </rPr>
      <t>) - AL Sales &gt; or = Threshold%</t>
    </r>
  </si>
  <si>
    <r>
      <t>Blended Bitumen Unit Price ($/m</t>
    </r>
    <r>
      <rPr>
        <vertAlign val="superscript"/>
        <sz val="10"/>
        <color indexed="8"/>
        <rFont val="Arial"/>
        <family val="2"/>
      </rPr>
      <t>3</t>
    </r>
    <r>
      <rPr>
        <sz val="10"/>
        <color indexed="8"/>
        <rFont val="Arial"/>
        <family val="2"/>
      </rPr>
      <t>) - No AL Sales</t>
    </r>
  </si>
  <si>
    <t>Total Period Costs</t>
  </si>
  <si>
    <t>Date Prepared:</t>
  </si>
  <si>
    <t xml:space="preserve">(Crude Bitumen Volume at RCP x Bitumen Adj BVM Price)  / Crude Bitumen Volume at RCP </t>
  </si>
  <si>
    <t>((Crude Bitumen AL Sales Value - Crude Bitumen AL Handling Charges) + ((Crude Bitumen Volume at RCP - Crude Bitumen AL Sales Volume) x Bitumen Adj BVM Price)) / Crude Bitumen Volume at RCP</t>
  </si>
  <si>
    <t xml:space="preserve">(((Blended Bitumen Volume at RCP - Diluent in Volume at RCP) x Bitumen Adj BVM Price) + Diluent Value in Volume at RCP ) / Blended Bitumen Volume at RCP   </t>
  </si>
  <si>
    <t>(((Blended Bitumen AL Sales Value - Blended Bitumen AL Handling Charges) + ((Blended Bitumen Volume at RCP - Blended Bitumen AL Sales Volume - Diluent in Remaining Volume) x Bitumen Adj BVM Price) + Diluent Value in Remaining Volume)) / Blended Bitumen Volume at RCP</t>
  </si>
  <si>
    <t>Bitumen Adj BVM Price - bitumen price calculated using BVM Valuation Model and adjusted for quality and transportation</t>
  </si>
  <si>
    <t>P - Bitumen Adj BVM Price or Other Oil Sand Product FMV</t>
  </si>
  <si>
    <t>Other Oil Sands Product FMV ($/unit)</t>
  </si>
  <si>
    <r>
      <t>Blended Bitumen Unit Price ($/m</t>
    </r>
    <r>
      <rPr>
        <vertAlign val="superscript"/>
        <sz val="10"/>
        <color indexed="8"/>
        <rFont val="Arial"/>
        <family val="2"/>
      </rPr>
      <t>3</t>
    </r>
    <r>
      <rPr>
        <sz val="10"/>
        <color indexed="8"/>
        <rFont val="Arial"/>
        <family val="2"/>
      </rPr>
      <t>) - AL Sales &lt; Threshold%</t>
    </r>
  </si>
  <si>
    <r>
      <t>Other Oil Sands Product Unit Price ($/unit</t>
    </r>
    <r>
      <rPr>
        <sz val="10"/>
        <color indexed="8"/>
        <rFont val="Arial"/>
        <family val="2"/>
      </rPr>
      <t>) - No AL Sales</t>
    </r>
  </si>
  <si>
    <r>
      <t>Other Oil Sands Product Unit Price ($/unit</t>
    </r>
    <r>
      <rPr>
        <sz val="10"/>
        <color indexed="8"/>
        <rFont val="Arial"/>
        <family val="2"/>
      </rPr>
      <t>) - AL Sales &lt; Threshold%</t>
    </r>
  </si>
  <si>
    <t>GFE-1</t>
  </si>
  <si>
    <t>Post-Payout  ---  Good Faith Estimate</t>
  </si>
  <si>
    <t>E-Mail Address:</t>
  </si>
  <si>
    <t>Crude Bitumen Handling Charges for AL Sales ($)</t>
  </si>
  <si>
    <t>Other Oil Sands Products Handling Charges for AL Sales ($)</t>
  </si>
  <si>
    <t>Crude Bitumen Handling Charges for NAL Sales ($)</t>
  </si>
  <si>
    <t>Other Oil Sands Products Handling Charges for NAL Sales ($)</t>
  </si>
  <si>
    <t>Production Month</t>
  </si>
  <si>
    <t>Blended Bitumen Revenue</t>
  </si>
  <si>
    <t>Operator Id:</t>
  </si>
  <si>
    <t>Operator Name:</t>
  </si>
  <si>
    <t>Form Id:</t>
  </si>
  <si>
    <t xml:space="preserve">Reminder: This report must be accompanied by a statement indicating approval of this report by the chief financial officer, or by a senior officer of the operator approved in advance by Alberta Energy. - Oil Sands Royalty Regulation 2009, Section 38(5).  </t>
  </si>
  <si>
    <t>The statement of approval must reference the project id and royalty payable being approved.</t>
  </si>
  <si>
    <t>Blended Bitumen  AL Sales Value ($)</t>
  </si>
  <si>
    <t>Blended Bitumen Handling Charges for AL Sales ($)</t>
  </si>
  <si>
    <t>Blended Bitumen  NAL Sales Value ($)</t>
  </si>
  <si>
    <t>Blended Bitumen  Handling Charges for NAL Sales ($)</t>
  </si>
  <si>
    <r>
      <t>Report Month</t>
    </r>
    <r>
      <rPr>
        <b/>
        <u/>
        <vertAlign val="superscript"/>
        <sz val="12"/>
        <rFont val="Arial"/>
        <family val="2"/>
      </rPr>
      <t>(1)</t>
    </r>
    <r>
      <rPr>
        <b/>
        <u/>
        <sz val="12"/>
        <rFont val="Arial"/>
        <family val="2"/>
      </rPr>
      <t>:</t>
    </r>
  </si>
  <si>
    <t>OSR045</t>
  </si>
  <si>
    <t>Bitumen Hardisty BVM Price - BVM Transportation Allowance - BVM Quality Adjustment</t>
  </si>
  <si>
    <r>
      <t>Total Crude Bitumen Production (m</t>
    </r>
    <r>
      <rPr>
        <vertAlign val="superscript"/>
        <sz val="10"/>
        <rFont val="Arial"/>
        <family val="2"/>
      </rPr>
      <t>3</t>
    </r>
    <r>
      <rPr>
        <sz val="10"/>
        <rFont val="Arial"/>
        <family val="2"/>
      </rPr>
      <t>)</t>
    </r>
  </si>
  <si>
    <r>
      <t>Crude Bitumen Volume at RCP (m</t>
    </r>
    <r>
      <rPr>
        <vertAlign val="superscript"/>
        <sz val="10"/>
        <rFont val="Arial"/>
        <family val="2"/>
      </rPr>
      <t>3</t>
    </r>
    <r>
      <rPr>
        <sz val="10"/>
        <rFont val="Arial"/>
        <family val="2"/>
      </rPr>
      <t>)</t>
    </r>
  </si>
  <si>
    <r>
      <t>Blended Bitumen Volume at RCP (m</t>
    </r>
    <r>
      <rPr>
        <vertAlign val="superscript"/>
        <sz val="10"/>
        <rFont val="Arial"/>
        <family val="2"/>
      </rPr>
      <t>3</t>
    </r>
    <r>
      <rPr>
        <sz val="10"/>
        <rFont val="Arial"/>
        <family val="2"/>
      </rPr>
      <t>)</t>
    </r>
  </si>
  <si>
    <t>Other Oil Sands Products Volume at RCP (unit)</t>
  </si>
  <si>
    <r>
      <t>Crude Bitumen AL Sales Volume (m</t>
    </r>
    <r>
      <rPr>
        <vertAlign val="superscript"/>
        <sz val="10"/>
        <rFont val="Arial"/>
        <family val="2"/>
      </rPr>
      <t>3</t>
    </r>
    <r>
      <rPr>
        <sz val="10"/>
        <rFont val="Arial"/>
        <family val="2"/>
      </rPr>
      <t>)</t>
    </r>
  </si>
  <si>
    <r>
      <t>Blended Bitumen AL Sales Volume (m</t>
    </r>
    <r>
      <rPr>
        <vertAlign val="superscript"/>
        <sz val="10"/>
        <rFont val="Arial"/>
        <family val="2"/>
      </rPr>
      <t>3</t>
    </r>
    <r>
      <rPr>
        <sz val="10"/>
        <rFont val="Arial"/>
        <family val="2"/>
      </rPr>
      <t>)</t>
    </r>
  </si>
  <si>
    <r>
      <t>Crude Bitumen NAL Sales Volume (m</t>
    </r>
    <r>
      <rPr>
        <vertAlign val="superscript"/>
        <sz val="10"/>
        <rFont val="Arial"/>
        <family val="2"/>
      </rPr>
      <t>3</t>
    </r>
    <r>
      <rPr>
        <sz val="10"/>
        <rFont val="Arial"/>
        <family val="2"/>
      </rPr>
      <t>)</t>
    </r>
  </si>
  <si>
    <r>
      <t>Blended Bitumen NAL Sales Volume (m</t>
    </r>
    <r>
      <rPr>
        <vertAlign val="superscript"/>
        <sz val="10"/>
        <rFont val="Arial"/>
        <family val="2"/>
      </rPr>
      <t>3</t>
    </r>
    <r>
      <rPr>
        <sz val="10"/>
        <rFont val="Arial"/>
        <family val="2"/>
      </rPr>
      <t>)</t>
    </r>
  </si>
  <si>
    <r>
      <t>Diluent in NAL Sales Volume (m</t>
    </r>
    <r>
      <rPr>
        <vertAlign val="superscript"/>
        <sz val="10"/>
        <rFont val="Arial"/>
        <family val="2"/>
      </rPr>
      <t>3</t>
    </r>
    <r>
      <rPr>
        <sz val="10"/>
        <rFont val="Arial"/>
        <family val="2"/>
      </rPr>
      <t>)</t>
    </r>
  </si>
  <si>
    <r>
      <t>Bitumen Density (kg/m</t>
    </r>
    <r>
      <rPr>
        <b/>
        <vertAlign val="superscript"/>
        <sz val="10"/>
        <rFont val="Arial"/>
        <family val="2"/>
      </rPr>
      <t>3</t>
    </r>
    <r>
      <rPr>
        <b/>
        <sz val="10"/>
        <rFont val="Arial"/>
        <family val="2"/>
      </rPr>
      <t>)</t>
    </r>
  </si>
  <si>
    <r>
      <t>Bitumen Hardisty BVM Price ($/m</t>
    </r>
    <r>
      <rPr>
        <b/>
        <vertAlign val="superscript"/>
        <sz val="10"/>
        <rFont val="Arial"/>
        <family val="2"/>
      </rPr>
      <t>3</t>
    </r>
    <r>
      <rPr>
        <b/>
        <sz val="10"/>
        <rFont val="Arial"/>
        <family val="2"/>
      </rPr>
      <t>)</t>
    </r>
  </si>
  <si>
    <r>
      <t>BVM Transportation Allowance ($/m</t>
    </r>
    <r>
      <rPr>
        <b/>
        <vertAlign val="superscript"/>
        <sz val="10"/>
        <rFont val="Arial"/>
        <family val="2"/>
      </rPr>
      <t>3</t>
    </r>
    <r>
      <rPr>
        <b/>
        <sz val="10"/>
        <rFont val="Arial"/>
        <family val="2"/>
      </rPr>
      <t>)</t>
    </r>
  </si>
  <si>
    <r>
      <t>BVM Quality Adjustment ($/m</t>
    </r>
    <r>
      <rPr>
        <b/>
        <vertAlign val="superscript"/>
        <sz val="10"/>
        <rFont val="Arial"/>
        <family val="2"/>
      </rPr>
      <t>3</t>
    </r>
    <r>
      <rPr>
        <b/>
        <sz val="10"/>
        <rFont val="Arial"/>
        <family val="2"/>
      </rPr>
      <t>)</t>
    </r>
  </si>
  <si>
    <r>
      <t>Bitumen Adj BVM Price ($/m</t>
    </r>
    <r>
      <rPr>
        <b/>
        <vertAlign val="superscript"/>
        <sz val="10"/>
        <rFont val="Arial"/>
        <family val="2"/>
      </rPr>
      <t>3</t>
    </r>
    <r>
      <rPr>
        <b/>
        <sz val="10"/>
        <rFont val="Arial"/>
        <family val="2"/>
      </rPr>
      <t>)</t>
    </r>
  </si>
  <si>
    <r>
      <t>Diluent in AL Sales Unit Price ($/m</t>
    </r>
    <r>
      <rPr>
        <vertAlign val="superscript"/>
        <sz val="10"/>
        <rFont val="Arial"/>
        <family val="2"/>
      </rPr>
      <t>3</t>
    </r>
    <r>
      <rPr>
        <sz val="10"/>
        <rFont val="Arial"/>
        <family val="2"/>
      </rPr>
      <t>)</t>
    </r>
  </si>
  <si>
    <r>
      <t>Diluent in Volume at RCP Unit Price ($/m</t>
    </r>
    <r>
      <rPr>
        <vertAlign val="superscript"/>
        <sz val="10"/>
        <rFont val="Arial"/>
        <family val="2"/>
      </rPr>
      <t>3</t>
    </r>
    <r>
      <rPr>
        <sz val="10"/>
        <rFont val="Arial"/>
        <family val="2"/>
      </rPr>
      <t>)</t>
    </r>
  </si>
  <si>
    <r>
      <t>Diluent in AL Sales Volume (m</t>
    </r>
    <r>
      <rPr>
        <vertAlign val="superscript"/>
        <sz val="10"/>
        <rFont val="Arial"/>
        <family val="2"/>
      </rPr>
      <t>3</t>
    </r>
    <r>
      <rPr>
        <sz val="10"/>
        <rFont val="Arial"/>
        <family val="2"/>
      </rPr>
      <t>)</t>
    </r>
  </si>
  <si>
    <r>
      <t>Diluent in Volume at RCP (m</t>
    </r>
    <r>
      <rPr>
        <vertAlign val="superscript"/>
        <sz val="10"/>
        <rFont val="Arial"/>
        <family val="2"/>
      </rPr>
      <t>3</t>
    </r>
    <r>
      <rPr>
        <sz val="10"/>
        <rFont val="Arial"/>
        <family val="2"/>
      </rPr>
      <t>)</t>
    </r>
  </si>
  <si>
    <r>
      <t>Diluent in Remaining Volume (m</t>
    </r>
    <r>
      <rPr>
        <vertAlign val="superscript"/>
        <sz val="10"/>
        <rFont val="Arial"/>
        <family val="2"/>
      </rPr>
      <t>3</t>
    </r>
    <r>
      <rPr>
        <sz val="10"/>
        <rFont val="Arial"/>
        <family val="2"/>
      </rPr>
      <t xml:space="preserve">) - Vol at RCP </t>
    </r>
    <r>
      <rPr>
        <i/>
        <sz val="10"/>
        <rFont val="Arial"/>
        <family val="2"/>
      </rPr>
      <t>less</t>
    </r>
    <r>
      <rPr>
        <sz val="10"/>
        <rFont val="Arial"/>
        <family val="2"/>
      </rPr>
      <t xml:space="preserve"> AL Sales</t>
    </r>
  </si>
  <si>
    <r>
      <t xml:space="preserve">Diluent Value in Remaining Volume ($) - Vol at RCP </t>
    </r>
    <r>
      <rPr>
        <i/>
        <sz val="10"/>
        <rFont val="Arial"/>
        <family val="2"/>
      </rPr>
      <t>less</t>
    </r>
    <r>
      <rPr>
        <sz val="10"/>
        <rFont val="Arial"/>
        <family val="2"/>
      </rPr>
      <t xml:space="preserve"> AL Sales</t>
    </r>
  </si>
  <si>
    <t>For OSR 045 Only</t>
  </si>
  <si>
    <t>Cumulative Royalty Installments</t>
  </si>
  <si>
    <t>To be deducted from</t>
  </si>
  <si>
    <t>Y</t>
  </si>
  <si>
    <t>Upgrader Growth Capital Amortization Schedule</t>
  </si>
  <si>
    <t>Allowed Cost</t>
  </si>
  <si>
    <t>N</t>
  </si>
  <si>
    <t>Year</t>
  </si>
  <si>
    <t>Royalty% (min 25%)</t>
  </si>
  <si>
    <t>LTBR for the year</t>
  </si>
  <si>
    <t>Years to go</t>
  </si>
  <si>
    <t>CAP</t>
  </si>
  <si>
    <t>ARA_unadjusted</t>
  </si>
  <si>
    <t xml:space="preserve">Interest </t>
  </si>
  <si>
    <t>PR Paid</t>
  </si>
  <si>
    <t>CAPRemain</t>
  </si>
  <si>
    <t>ARA Adj%</t>
  </si>
  <si>
    <t>ARA Adjmt</t>
  </si>
  <si>
    <t xml:space="preserve">ARA Adjusted </t>
  </si>
  <si>
    <t>Net Loss for the Year?</t>
  </si>
  <si>
    <t>Current Year ARA</t>
  </si>
  <si>
    <t>ARA Pool Addition</t>
  </si>
  <si>
    <t>ARA Pool Applied</t>
  </si>
  <si>
    <t>ARA Pool Unapplied</t>
  </si>
  <si>
    <t>ARA Return Allowance</t>
  </si>
  <si>
    <t>CarryFwd ARA</t>
  </si>
  <si>
    <t>Total ARA Recognized for the year</t>
  </si>
  <si>
    <t>Impact on Royalties</t>
  </si>
  <si>
    <t>Additional fixed royalties</t>
  </si>
  <si>
    <t>proof</t>
  </si>
  <si>
    <t>Excess of Current Period GRR over NRR Before ARA (Carry Forward to Next Period)</t>
  </si>
  <si>
    <t>NET REVENUE BEFORE ARA</t>
  </si>
  <si>
    <t>NET REVENUE AFTER ARA</t>
  </si>
  <si>
    <t>Contact Name:</t>
  </si>
  <si>
    <t>Company Title:</t>
  </si>
  <si>
    <t>Phone Number:</t>
  </si>
  <si>
    <t>Total Allowed Costs Before ARA</t>
  </si>
  <si>
    <t>ARA for UGC</t>
  </si>
  <si>
    <t>Total Allowed Costs After ARA</t>
  </si>
  <si>
    <t>FOR DOE ADMINISTRATIVE PURPOSES - DO NOT REMOVE</t>
  </si>
  <si>
    <t>Form ID:</t>
  </si>
  <si>
    <t>Version:</t>
  </si>
  <si>
    <t>Net Rev Royalty (NRR) Before ARA</t>
  </si>
  <si>
    <t>Net Rev Royalty (NRR) After ARA</t>
  </si>
  <si>
    <t>Gross Rev Royalty (GRR)</t>
  </si>
  <si>
    <t>Monthly Unit Price (can be negative, rounded to 2 decimals)</t>
  </si>
  <si>
    <r>
      <t>Bitumen Adj BVM Price ($/m</t>
    </r>
    <r>
      <rPr>
        <b/>
        <vertAlign val="superscript"/>
        <sz val="10"/>
        <color indexed="8"/>
        <rFont val="Arial"/>
        <family val="2"/>
      </rPr>
      <t>3</t>
    </r>
    <r>
      <rPr>
        <b/>
        <sz val="10"/>
        <color indexed="8"/>
        <rFont val="Arial"/>
        <family val="2"/>
      </rPr>
      <t>)</t>
    </r>
  </si>
  <si>
    <t>Project Revenue (can be negative)</t>
  </si>
  <si>
    <t>Gross Revenue (can be negative)</t>
  </si>
  <si>
    <t>Sum of Product Revenues (e.g. Crude Bitumen Revenue + Blended Bitumen Revenue + Other Oil Sands Products Revenue)</t>
  </si>
  <si>
    <t>Net Revenue Before ARA for the Period (must be greater than or equal to 0)</t>
  </si>
  <si>
    <t>Net Revenue After ARA for the Period (must be greater than or equal to 0)</t>
  </si>
  <si>
    <t>Project Revenue for Period - (Total Allowed Costs Before ARA for Period - Allowable Revenue from Other Net Proceeds for Period)</t>
  </si>
  <si>
    <t>Net Loss Before ARA for the Period (must be greater than or equal to 0)</t>
  </si>
  <si>
    <t>Total Allowed Costs for Period Before ARA - (Project Revenue for Period + Allowable Revenue from Other Net Proceeds for Period)</t>
  </si>
  <si>
    <t>Total Allowed Costs Before ARA for the Period - ARA for UGC</t>
  </si>
  <si>
    <t>Excess of Current Period ONP over Total AC Before ARA</t>
  </si>
  <si>
    <t>Total Other Net Proceeds for the Period - Total Allowed Costs Before ARA for the Period</t>
  </si>
  <si>
    <t>Project Revenue for Period - (Total Allowed Costs After ARA for Period - Allowable Revenue from Other Net Proceeds for Period)</t>
  </si>
  <si>
    <t>Excess of Current Period GRR over NRR Before ARA (carry forward to next period)</t>
  </si>
  <si>
    <t>Note: Product Revenue for royalty must be greater than or equal to zero.  Diluent value for royalty must be less than or equal to the Blend revenue for royalty.</t>
  </si>
  <si>
    <t>Annual Royalty</t>
  </si>
  <si>
    <t xml:space="preserve">This is the installment calculation of the annual royalty payable.  If Gross Revenue Royalty is greater than Net Revenue Royalty Before ARA, the annual royalty payable is the Gross Revenue Royalty amount, otherwise, the annual royalty payble is the Net Revenue Royalty After ARA amount. </t>
  </si>
  <si>
    <t>NET LOSS BEFORE ARA (Carry Forward to Next Period)</t>
  </si>
  <si>
    <t>If Gross Rev Royalty 'GRR'  &gt; Net Rev Royalty 'NRR' Before ARA, then: Gross Rev Royalty - Net Rev Royalty; otherwise, value is 0</t>
  </si>
  <si>
    <t>Calculated Field for OSR045 GFE</t>
  </si>
  <si>
    <t>Version #:</t>
  </si>
  <si>
    <t>Name of Project</t>
  </si>
  <si>
    <t>BA ID of Operator</t>
  </si>
  <si>
    <t>Name of Operator</t>
  </si>
  <si>
    <t>Enter contact for the form</t>
  </si>
  <si>
    <t xml:space="preserve">Enter contact's position </t>
  </si>
  <si>
    <t>yyyy/mm/dd</t>
  </si>
  <si>
    <t>(###)###-####</t>
  </si>
  <si>
    <t>Contact@email.ca</t>
  </si>
  <si>
    <t>ALLOWED COSTS (AC)</t>
  </si>
  <si>
    <t>OTHER NET PROCEEDS (ONP)</t>
  </si>
  <si>
    <t>Earned (Current Period's ONP)</t>
  </si>
  <si>
    <t>Excess of Current Period's ONP over Total AC Before ARA (Carry Forward to Next Period)</t>
  </si>
  <si>
    <t>Formula Legend</t>
  </si>
  <si>
    <t>Crude Bitumen Volume at RCP x Crude Bitumen Unit Price when AL Sales &gt; or = Threshold</t>
  </si>
  <si>
    <t>Crude Bitumen Volume at RCP x Crude Bitumen Unit Price when No AL Sales</t>
  </si>
  <si>
    <t>Crude Bitumen Volume at RCP x Crude Bitumen Unit Price when AL Sales &lt; Threshold</t>
  </si>
  <si>
    <t>Blended Bitumen Volume at RCP x Blended Bitumen Unit Price when AL Sales &gt; or = Threshold</t>
  </si>
  <si>
    <t>Blended Bitumen Volume at RCP x Blended Bitumen Unit Price when No AL Sales</t>
  </si>
  <si>
    <t>Blended Bitumen Volume at RCP x Blended Bitumen Unit Price when AL Sales &lt; Threshold</t>
  </si>
  <si>
    <t>Other Oil Sands Products Volume at RCP x Other Oil Sands Products Unit Price when AL Sales &gt; or = Threshold</t>
  </si>
  <si>
    <t>Other Oil Sands Products Volume at RCP x Other Oil Sands Products Unit Price when No AL Sales</t>
  </si>
  <si>
    <t>Other Oil Sands Products Volume at RCP x Other Oil Sands Products Unit Price when AL Sales &lt; Threshold</t>
  </si>
  <si>
    <t>NQ - production quantity at RCP less AL disposition (for Blend, NQ is the clean crude bitumen in a blend)</t>
  </si>
  <si>
    <t>Revenue for Royalty Calculation</t>
  </si>
  <si>
    <t>(Total Crude Bitumen Revenue + (Total Blend Bitumen Revenue - Total Diluent Cost in the Blend) + Total Other OS Product Revenue)</t>
  </si>
  <si>
    <t>*Revenue for Royalty Calculation</t>
  </si>
  <si>
    <t>*Revenue for Royalty Calculation will differ from Gross Revenue if there are product losses or if Diluent costs are greater than the Blended Bitumen revenues.</t>
  </si>
  <si>
    <t>Net Revenue Royalty Before ARA (rounded to whole value)</t>
  </si>
  <si>
    <t>Net Revenue Royalty After ARA (rounded to whole value)</t>
  </si>
  <si>
    <t>Gross Revenue Royalty (rounded to whole value)</t>
  </si>
  <si>
    <t>Revenue (can be negative, round to whole value)</t>
  </si>
  <si>
    <t xml:space="preserve">(1) Report Month is the current production month. Form submission is due 30 days after the report month.  </t>
  </si>
  <si>
    <t>yyyy-mm</t>
  </si>
  <si>
    <t>Lesser of Total Allowed Costs Before ARA or Total Other Net Proceeds</t>
  </si>
  <si>
    <t>Royalty Installment Calculated</t>
  </si>
  <si>
    <r>
      <t xml:space="preserve">Royalty Installment Payable </t>
    </r>
    <r>
      <rPr>
        <b/>
        <vertAlign val="superscript"/>
        <sz val="10"/>
        <rFont val="Arial"/>
        <family val="2"/>
      </rPr>
      <t>(2)</t>
    </r>
    <r>
      <rPr>
        <b/>
        <sz val="10"/>
        <rFont val="Arial"/>
        <family val="2"/>
      </rPr>
      <t xml:space="preserve"> </t>
    </r>
  </si>
  <si>
    <t>(2) For the report month and future production months, the Royalty Installment Payable will be the same as the Royalty Installment Calculated.  For production months previous to the report month, input the Royalty Installment Calculated from its respective report months as the Royalty Installment Payable.</t>
  </si>
  <si>
    <t>If the Royalty Installment Calculated is a negative amount in a month, the Royalty Installment Payable for that month is $0.</t>
  </si>
  <si>
    <t>Royalty Installment Calculated (can be negative)</t>
  </si>
  <si>
    <t>Annual Royalty is the greater of the Gross Revenue Royalty and the Net Revenue Royalty After ARA amount.</t>
  </si>
  <si>
    <t>Royalty Installment Payable (cannot be negative)</t>
  </si>
  <si>
    <t>Monthly Gross Revenue to Date includes gross revenues from production months up to and including the report month.</t>
  </si>
  <si>
    <t>Cumulative Royalty Installments Charged includes Royalty Installments Payable from production months up to and including the production month prior to the report month.</t>
  </si>
  <si>
    <t>The Royalty Installment Payable is the same as the Royalty Installment Calculated if the production month is the same as the report month or greater than the report month.</t>
  </si>
  <si>
    <t>If the production month is less than the report month, the Royalty Installment Payable is the Royalty Installment Calculated from that production month's report month.</t>
  </si>
  <si>
    <t>If the Royalty Installment Calculated for a month is a negative amount, the Royalty Installment Payable for that month is $0.</t>
  </si>
  <si>
    <t>Cumulative Royalty Installments charged + Current Month Royalty Installment Payable</t>
  </si>
  <si>
    <t>Project Expansion PNCB</t>
  </si>
  <si>
    <t>OSR045_GFE_2016</t>
  </si>
  <si>
    <r>
      <t>Revenue for Royalty Calculation x R</t>
    </r>
    <r>
      <rPr>
        <vertAlign val="subscript"/>
        <sz val="10"/>
        <rFont val="Arial"/>
        <family val="2"/>
      </rPr>
      <t>G</t>
    </r>
    <r>
      <rPr>
        <sz val="10"/>
        <rFont val="Arial"/>
        <family val="2"/>
      </rPr>
      <t>%</t>
    </r>
  </si>
  <si>
    <r>
      <t>F</t>
    </r>
    <r>
      <rPr>
        <vertAlign val="subscript"/>
        <sz val="10"/>
        <rFont val="Arial"/>
        <family val="2"/>
      </rPr>
      <t>N</t>
    </r>
    <r>
      <rPr>
        <sz val="10"/>
        <rFont val="Arial"/>
        <family val="2"/>
      </rPr>
      <t xml:space="preserve"> is 15% divided by $65 per barrel</t>
    </r>
  </si>
  <si>
    <t>A is the lesser of the WTI price for the year containing the Period and $120 per barrel;</t>
  </si>
  <si>
    <t>B is the lesser of A for that year and $55 per barrel.</t>
  </si>
  <si>
    <r>
      <t>R</t>
    </r>
    <r>
      <rPr>
        <b/>
        <vertAlign val="subscript"/>
        <sz val="10"/>
        <rFont val="Arial"/>
        <family val="2"/>
      </rPr>
      <t>N</t>
    </r>
    <r>
      <rPr>
        <b/>
        <sz val="10"/>
        <rFont val="Arial"/>
        <family val="2"/>
      </rPr>
      <t>%</t>
    </r>
  </si>
  <si>
    <r>
      <t>R</t>
    </r>
    <r>
      <rPr>
        <vertAlign val="subscript"/>
        <sz val="10"/>
        <rFont val="Arial"/>
        <family val="2"/>
      </rPr>
      <t>N</t>
    </r>
    <r>
      <rPr>
        <sz val="10"/>
        <rFont val="Arial"/>
        <family val="2"/>
      </rPr>
      <t>% is the Crown's royalty share of the quantity expressed as a percentage;</t>
    </r>
  </si>
  <si>
    <t>NR  is the net revenue of the Project for the Period</t>
  </si>
  <si>
    <t>GR is the gross revenue of the Project for the Period</t>
  </si>
  <si>
    <r>
      <t>R</t>
    </r>
    <r>
      <rPr>
        <b/>
        <vertAlign val="subscript"/>
        <sz val="10"/>
        <rFont val="Arial"/>
        <family val="2"/>
      </rPr>
      <t>G</t>
    </r>
    <r>
      <rPr>
        <b/>
        <sz val="10"/>
        <rFont val="Arial"/>
        <family val="2"/>
      </rPr>
      <t>% (published by DOE)</t>
    </r>
  </si>
  <si>
    <r>
      <t>R</t>
    </r>
    <r>
      <rPr>
        <vertAlign val="subscript"/>
        <sz val="10"/>
        <rFont val="Arial"/>
        <family val="2"/>
      </rPr>
      <t>G</t>
    </r>
    <r>
      <rPr>
        <sz val="10"/>
        <rFont val="Arial"/>
        <family val="2"/>
      </rPr>
      <t>%=1% + [F</t>
    </r>
    <r>
      <rPr>
        <vertAlign val="subscript"/>
        <sz val="10"/>
        <rFont val="Arial"/>
        <family val="2"/>
      </rPr>
      <t>G</t>
    </r>
    <r>
      <rPr>
        <sz val="10"/>
        <rFont val="Arial"/>
        <family val="2"/>
      </rPr>
      <t xml:space="preserve"> (A - B)], where</t>
    </r>
  </si>
  <si>
    <r>
      <t>R</t>
    </r>
    <r>
      <rPr>
        <vertAlign val="subscript"/>
        <sz val="10"/>
        <rFont val="Arial"/>
        <family val="2"/>
      </rPr>
      <t>G</t>
    </r>
    <r>
      <rPr>
        <sz val="10"/>
        <rFont val="Arial"/>
        <family val="2"/>
      </rPr>
      <t>% is the Crown's royalty share of the quantity expressed as a percentage;</t>
    </r>
  </si>
  <si>
    <r>
      <t>F</t>
    </r>
    <r>
      <rPr>
        <vertAlign val="subscript"/>
        <sz val="10"/>
        <rFont val="Arial"/>
        <family val="2"/>
      </rPr>
      <t>G</t>
    </r>
    <r>
      <rPr>
        <sz val="10"/>
        <rFont val="Arial"/>
        <family val="2"/>
      </rPr>
      <t xml:space="preserve"> is 8% divided by $65 per barrel;</t>
    </r>
  </si>
  <si>
    <t>Template For Period 2016 to 2033</t>
  </si>
  <si>
    <r>
      <t xml:space="preserve"> Revenue for Royalty Calculation x R</t>
    </r>
    <r>
      <rPr>
        <vertAlign val="subscript"/>
        <sz val="10"/>
        <rFont val="Arial"/>
        <family val="2"/>
      </rPr>
      <t>N</t>
    </r>
    <r>
      <rPr>
        <sz val="10"/>
        <rFont val="Arial"/>
        <family val="2"/>
      </rPr>
      <t xml:space="preserve">%Factor x Net Revenue Before ARA / Gross Revenue </t>
    </r>
  </si>
  <si>
    <r>
      <t>Revenue for Royalty Calculation x R</t>
    </r>
    <r>
      <rPr>
        <vertAlign val="subscript"/>
        <sz val="10"/>
        <rFont val="Arial"/>
        <family val="2"/>
      </rPr>
      <t>N</t>
    </r>
    <r>
      <rPr>
        <sz val="10"/>
        <rFont val="Arial"/>
        <family val="2"/>
      </rPr>
      <t xml:space="preserve">%Factor x Net Revenue After ARA / Gross Revenue </t>
    </r>
  </si>
  <si>
    <r>
      <t>R</t>
    </r>
    <r>
      <rPr>
        <vertAlign val="subscript"/>
        <sz val="10"/>
        <rFont val="Arial"/>
        <family val="2"/>
      </rPr>
      <t>N</t>
    </r>
    <r>
      <rPr>
        <sz val="10"/>
        <rFont val="Arial"/>
        <family val="2"/>
      </rPr>
      <t>% = R</t>
    </r>
    <r>
      <rPr>
        <vertAlign val="subscript"/>
        <sz val="10"/>
        <rFont val="Arial"/>
        <family val="2"/>
      </rPr>
      <t>N</t>
    </r>
    <r>
      <rPr>
        <sz val="10"/>
        <rFont val="Arial"/>
        <family val="2"/>
      </rPr>
      <t>%Factor x NR / GR, where</t>
    </r>
  </si>
  <si>
    <r>
      <t>Installment for Gross Revenue Royalty =( R</t>
    </r>
    <r>
      <rPr>
        <vertAlign val="subscript"/>
        <sz val="10"/>
        <rFont val="Arial"/>
        <family val="2"/>
      </rPr>
      <t>G</t>
    </r>
    <r>
      <rPr>
        <sz val="10"/>
        <rFont val="Arial"/>
        <family val="2"/>
      </rPr>
      <t>% x Monthly Gross Revenue to Date ) - Cumulative Royalty Installments Charged</t>
    </r>
  </si>
  <si>
    <r>
      <t>Installment for Net Revenue Royalty After ARA =[ (R</t>
    </r>
    <r>
      <rPr>
        <vertAlign val="subscript"/>
        <sz val="10"/>
        <rFont val="Arial"/>
        <family val="2"/>
      </rPr>
      <t>N</t>
    </r>
    <r>
      <rPr>
        <sz val="10"/>
        <rFont val="Arial"/>
        <family val="2"/>
      </rPr>
      <t>% Factor x Net Revenue After ARA / Gross Revenue) x Monthly Gross Revenue to Date ] - Cumulative Royalty Installments Charged</t>
    </r>
  </si>
  <si>
    <r>
      <t>R</t>
    </r>
    <r>
      <rPr>
        <b/>
        <vertAlign val="subscript"/>
        <sz val="10"/>
        <rFont val="Arial"/>
        <family val="2"/>
      </rPr>
      <t>N</t>
    </r>
    <r>
      <rPr>
        <b/>
        <sz val="10"/>
        <rFont val="Arial"/>
        <family val="2"/>
      </rPr>
      <t>% Factor  (published by DOE)</t>
    </r>
  </si>
  <si>
    <r>
      <t>R</t>
    </r>
    <r>
      <rPr>
        <vertAlign val="subscript"/>
        <sz val="10"/>
        <rFont val="Arial"/>
        <family val="2"/>
      </rPr>
      <t>N</t>
    </r>
    <r>
      <rPr>
        <sz val="10"/>
        <rFont val="Arial"/>
        <family val="2"/>
      </rPr>
      <t>% Factor = [25% + (F</t>
    </r>
    <r>
      <rPr>
        <vertAlign val="subscript"/>
        <sz val="10"/>
        <rFont val="Arial"/>
        <family val="2"/>
      </rPr>
      <t>N</t>
    </r>
    <r>
      <rPr>
        <sz val="10"/>
        <rFont val="Arial"/>
        <family val="2"/>
      </rPr>
      <t xml:space="preserve"> (A-B)], where</t>
    </r>
  </si>
  <si>
    <r>
      <t>R</t>
    </r>
    <r>
      <rPr>
        <b/>
        <vertAlign val="subscript"/>
        <sz val="12"/>
        <rFont val="Arial"/>
        <family val="2"/>
      </rPr>
      <t>N</t>
    </r>
    <r>
      <rPr>
        <b/>
        <sz val="12"/>
        <rFont val="Arial"/>
        <family val="2"/>
      </rPr>
      <t>%</t>
    </r>
    <r>
      <rPr>
        <b/>
        <vertAlign val="subscript"/>
        <sz val="12"/>
        <rFont val="Arial"/>
        <family val="2"/>
      </rPr>
      <t xml:space="preserve"> </t>
    </r>
    <r>
      <rPr>
        <b/>
        <sz val="12"/>
        <rFont val="Arial"/>
        <family val="2"/>
      </rPr>
      <t>Factor</t>
    </r>
  </si>
  <si>
    <r>
      <t>R</t>
    </r>
    <r>
      <rPr>
        <b/>
        <vertAlign val="subscript"/>
        <sz val="12"/>
        <rFont val="Arial"/>
        <family val="2"/>
      </rPr>
      <t xml:space="preserve">G </t>
    </r>
    <r>
      <rPr>
        <b/>
        <sz val="12"/>
        <rFont val="Arial"/>
        <family val="2"/>
      </rPr>
      <t>%</t>
    </r>
  </si>
  <si>
    <t>y</t>
  </si>
  <si>
    <t>Note: This UCG calculaiton tab is designed by Syncrude and approved by 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</si>
</sst>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quot;$&quot;#,##0_);\(&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00000%"/>
    <numFmt numFmtId="170" formatCode="&quot;$&quot;#,##0.00"/>
    <numFmt numFmtId="171" formatCode="#,##0.0"/>
    <numFmt numFmtId="172" formatCode="&quot;$&quot;#,##0"/>
    <numFmt numFmtId="173" formatCode="#,##0.0_);\(#,##0.0\)"/>
    <numFmt numFmtId="174" formatCode="yyyy\-mm"/>
    <numFmt numFmtId="175" formatCode="&quot;$&quot;#,##0;\(&quot;$&quot;#,##0\)"/>
    <numFmt numFmtId="176" formatCode="_-* #,##0_-;\-* #,##0_-;_-* &quot;-&quot;??_-;_-@_-"/>
  </numFmts>
  <fonts count="61">
    <font>
      <sz val="12"/>
      <name val="SWISS"/>
    </font>
    <font>
      <sz val="10"/>
      <name val="Arial"/>
      <family val="2"/>
    </font>
    <font>
      <sz val="12"/>
      <name val="Arial"/>
      <family val="2"/>
    </font>
    <font>
      <sz val="12"/>
      <name val="SWISS"/>
    </font>
    <font>
      <b/>
      <u/>
      <sz val="10"/>
      <name val="Arial"/>
      <family val="2"/>
    </font>
    <font>
      <b/>
      <sz val="10"/>
      <name val="Arial"/>
      <family val="2"/>
    </font>
    <font>
      <u/>
      <sz val="10"/>
      <name val="Arial"/>
      <family val="2"/>
    </font>
    <font>
      <sz val="10"/>
      <color indexed="12"/>
      <name val="Arial"/>
      <family val="2"/>
    </font>
    <font>
      <b/>
      <sz val="18"/>
      <name val="Arial"/>
      <family val="2"/>
    </font>
    <font>
      <b/>
      <sz val="12"/>
      <name val="Arial"/>
      <family val="2"/>
    </font>
    <font>
      <b/>
      <u/>
      <sz val="12"/>
      <name val="Arial"/>
      <family val="2"/>
    </font>
    <font>
      <sz val="9"/>
      <name val="Arial"/>
      <family val="2"/>
    </font>
    <font>
      <sz val="10"/>
      <color indexed="8"/>
      <name val="Arial"/>
      <family val="2"/>
    </font>
    <font>
      <vertAlign val="superscript"/>
      <sz val="10"/>
      <color indexed="8"/>
      <name val="Arial"/>
      <family val="2"/>
    </font>
    <font>
      <vertAlign val="superscript"/>
      <sz val="10"/>
      <name val="Arial"/>
      <family val="2"/>
    </font>
    <font>
      <b/>
      <sz val="10"/>
      <color indexed="8"/>
      <name val="Arial"/>
      <family val="2"/>
    </font>
    <font>
      <b/>
      <sz val="9"/>
      <name val="Arial"/>
      <family val="2"/>
    </font>
    <font>
      <b/>
      <u/>
      <vertAlign val="superscript"/>
      <sz val="12"/>
      <name val="Arial"/>
      <family val="2"/>
    </font>
    <font>
      <sz val="10"/>
      <color indexed="9"/>
      <name val="Arial"/>
      <family val="2"/>
    </font>
    <font>
      <sz val="10"/>
      <color indexed="20"/>
      <name val="Arial"/>
      <family val="2"/>
    </font>
    <font>
      <b/>
      <sz val="10"/>
      <color indexed="10"/>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10"/>
      <name val="Arial"/>
      <family val="2"/>
    </font>
    <font>
      <sz val="10"/>
      <color indexed="19"/>
      <name val="Arial"/>
      <family val="2"/>
    </font>
    <font>
      <b/>
      <sz val="10"/>
      <color indexed="63"/>
      <name val="Arial"/>
      <family val="2"/>
    </font>
    <font>
      <b/>
      <sz val="18"/>
      <color indexed="62"/>
      <name val="Cambria"/>
      <family val="2"/>
    </font>
    <font>
      <sz val="12"/>
      <color indexed="12"/>
      <name val="Arial"/>
      <family val="2"/>
    </font>
    <font>
      <sz val="10"/>
      <name val="Arial"/>
      <family val="2"/>
    </font>
    <font>
      <sz val="10"/>
      <name val="Times"/>
      <family val="1"/>
    </font>
    <font>
      <sz val="8"/>
      <color indexed="10"/>
      <name val="Arial"/>
      <family val="2"/>
    </font>
    <font>
      <b/>
      <vertAlign val="superscript"/>
      <sz val="10"/>
      <name val="Arial"/>
      <family val="2"/>
    </font>
    <font>
      <i/>
      <sz val="10"/>
      <name val="Arial"/>
      <family val="2"/>
    </font>
    <font>
      <b/>
      <vertAlign val="superscript"/>
      <sz val="10"/>
      <color indexed="8"/>
      <name val="Arial"/>
      <family val="2"/>
    </font>
    <font>
      <sz val="9"/>
      <color indexed="8"/>
      <name val="Arial"/>
      <family val="2"/>
    </font>
    <font>
      <b/>
      <vertAlign val="subscript"/>
      <sz val="10"/>
      <name val="Arial"/>
      <family val="2"/>
    </font>
    <font>
      <vertAlign val="subscript"/>
      <sz val="10"/>
      <name val="Arial"/>
      <family val="2"/>
    </font>
    <font>
      <b/>
      <vertAlign val="subscript"/>
      <sz val="12"/>
      <name val="Arial"/>
      <family val="2"/>
    </font>
    <font>
      <b/>
      <u/>
      <sz val="10"/>
      <color theme="1"/>
      <name val="Arial"/>
      <family val="2"/>
    </font>
    <font>
      <u/>
      <sz val="10"/>
      <color theme="1"/>
      <name val="Arial"/>
      <family val="2"/>
    </font>
    <font>
      <sz val="10"/>
      <color theme="1"/>
      <name val="Arial"/>
      <family val="2"/>
    </font>
    <font>
      <b/>
      <sz val="10"/>
      <color theme="1"/>
      <name val="Arial"/>
      <family val="2"/>
    </font>
    <font>
      <b/>
      <sz val="10"/>
      <color rgb="FF0000CC"/>
      <name val="Arial"/>
      <family val="2"/>
    </font>
    <font>
      <b/>
      <sz val="12"/>
      <color rgb="FF0000FF"/>
      <name val="Arial"/>
      <family val="2"/>
    </font>
    <font>
      <sz val="10"/>
      <color rgb="FF0000FF"/>
      <name val="Arial"/>
      <family val="2"/>
    </font>
    <font>
      <sz val="12"/>
      <color rgb="FF0000FF"/>
      <name val="Arial"/>
      <family val="2"/>
    </font>
    <font>
      <sz val="12"/>
      <color theme="1"/>
      <name val="Arial"/>
      <family val="2"/>
    </font>
    <font>
      <sz val="12"/>
      <color rgb="FF3333FF"/>
      <name val="Arial"/>
      <family val="2"/>
    </font>
    <font>
      <sz val="10"/>
      <color rgb="FF3333FF"/>
      <name val="Arial"/>
      <family val="2"/>
    </font>
    <font>
      <b/>
      <sz val="12"/>
      <color theme="1"/>
      <name val="Arial"/>
      <family val="2"/>
    </font>
    <font>
      <sz val="14"/>
      <color theme="1"/>
      <name val="Arial"/>
      <family val="2"/>
    </font>
    <font>
      <b/>
      <sz val="9"/>
      <color theme="1"/>
      <name val="Arial"/>
      <family val="2"/>
    </font>
    <font>
      <sz val="9"/>
      <color rgb="FF0000FF"/>
      <name val="Arial"/>
      <family val="2"/>
    </font>
    <font>
      <sz val="9"/>
      <color theme="1"/>
      <name val="Arial"/>
      <family val="2"/>
    </font>
    <font>
      <b/>
      <sz val="18"/>
      <color rgb="FFFF0000"/>
      <name val="Arial"/>
      <family val="2"/>
    </font>
    <font>
      <b/>
      <sz val="10"/>
      <color rgb="FF3333FF"/>
      <name val="Arial"/>
      <family val="2"/>
    </font>
    <font>
      <b/>
      <sz val="12"/>
      <color rgb="FF3333FF"/>
      <name val="Arial"/>
      <family val="2"/>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7"/>
        <bgColor indexed="64"/>
      </patternFill>
    </fill>
    <fill>
      <patternFill patternType="solid">
        <fgColor indexed="9"/>
        <bgColor indexed="64"/>
      </patternFill>
    </fill>
    <fill>
      <patternFill patternType="solid">
        <fgColor indexed="53"/>
        <bgColor indexed="64"/>
      </patternFill>
    </fill>
    <fill>
      <patternFill patternType="solid">
        <fgColor rgb="FFCCFFCC"/>
        <bgColor indexed="64"/>
      </patternFill>
    </fill>
    <fill>
      <patternFill patternType="solid">
        <fgColor theme="0" tint="-0.14999847407452621"/>
        <bgColor indexed="64"/>
      </patternFill>
    </fill>
    <fill>
      <patternFill patternType="solid">
        <fgColor rgb="FFCCFFCC"/>
        <bgColor indexed="22"/>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double">
        <color indexed="8"/>
      </top>
      <bottom/>
      <diagonal/>
    </border>
    <border>
      <left style="double">
        <color indexed="8"/>
      </left>
      <right style="double">
        <color indexed="8"/>
      </right>
      <top style="double">
        <color indexed="8"/>
      </top>
      <bottom/>
      <diagonal/>
    </border>
    <border>
      <left style="double">
        <color indexed="8"/>
      </left>
      <right/>
      <top style="double">
        <color indexed="8"/>
      </top>
      <bottom/>
      <diagonal/>
    </border>
    <border>
      <left style="double">
        <color indexed="8"/>
      </left>
      <right/>
      <top/>
      <bottom/>
      <diagonal/>
    </border>
    <border>
      <left style="double">
        <color indexed="8"/>
      </left>
      <right/>
      <top/>
      <bottom style="double">
        <color indexed="8"/>
      </bottom>
      <diagonal/>
    </border>
    <border>
      <left/>
      <right style="double">
        <color indexed="8"/>
      </right>
      <top/>
      <bottom/>
      <diagonal/>
    </border>
    <border>
      <left/>
      <right style="double">
        <color indexed="8"/>
      </right>
      <top/>
      <bottom style="double">
        <color indexed="8"/>
      </bottom>
      <diagonal/>
    </border>
    <border>
      <left/>
      <right/>
      <top/>
      <bottom style="double">
        <color indexed="8"/>
      </bottom>
      <diagonal/>
    </border>
    <border>
      <left style="double">
        <color indexed="8"/>
      </left>
      <right style="double">
        <color indexed="8"/>
      </right>
      <top/>
      <bottom/>
      <diagonal/>
    </border>
    <border>
      <left/>
      <right/>
      <top/>
      <bottom style="double">
        <color indexed="64"/>
      </bottom>
      <diagonal/>
    </border>
    <border>
      <left style="double">
        <color indexed="64"/>
      </left>
      <right/>
      <top/>
      <bottom/>
      <diagonal/>
    </border>
    <border>
      <left style="double">
        <color indexed="8"/>
      </left>
      <right/>
      <top style="double">
        <color indexed="8"/>
      </top>
      <bottom style="double">
        <color indexed="8"/>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bottom style="double">
        <color indexed="64"/>
      </bottom>
      <diagonal/>
    </border>
    <border>
      <left style="double">
        <color indexed="8"/>
      </left>
      <right style="double">
        <color indexed="64"/>
      </right>
      <top/>
      <bottom/>
      <diagonal/>
    </border>
    <border>
      <left/>
      <right style="double">
        <color indexed="8"/>
      </right>
      <top/>
      <bottom style="double">
        <color indexed="64"/>
      </bottom>
      <diagonal/>
    </border>
    <border>
      <left style="double">
        <color indexed="8"/>
      </left>
      <right style="double">
        <color indexed="8"/>
      </right>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style="double">
        <color indexed="8"/>
      </right>
      <top/>
      <bottom style="double">
        <color indexed="64"/>
      </bottom>
      <diagonal/>
    </border>
    <border>
      <left style="double">
        <color indexed="8"/>
      </left>
      <right style="double">
        <color indexed="64"/>
      </right>
      <top/>
      <bottom style="double">
        <color indexed="64"/>
      </bottom>
      <diagonal/>
    </border>
    <border>
      <left/>
      <right style="double">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theme="1"/>
      </left>
      <right/>
      <top style="double">
        <color indexed="8"/>
      </top>
      <bottom/>
      <diagonal/>
    </border>
    <border>
      <left style="double">
        <color theme="1"/>
      </left>
      <right/>
      <top/>
      <bottom/>
      <diagonal/>
    </border>
    <border>
      <left/>
      <right style="double">
        <color theme="1"/>
      </right>
      <top/>
      <bottom/>
      <diagonal/>
    </border>
    <border>
      <left/>
      <right style="double">
        <color theme="1"/>
      </right>
      <top/>
      <bottom style="double">
        <color theme="1"/>
      </bottom>
      <diagonal/>
    </border>
    <border>
      <left style="double">
        <color indexed="8"/>
      </left>
      <right style="double">
        <color theme="1"/>
      </right>
      <top/>
      <bottom/>
      <diagonal/>
    </border>
    <border>
      <left style="double">
        <color theme="1"/>
      </left>
      <right/>
      <top/>
      <bottom style="double">
        <color theme="1"/>
      </bottom>
      <diagonal/>
    </border>
    <border>
      <left style="double">
        <color theme="1"/>
      </left>
      <right/>
      <top/>
      <bottom style="double">
        <color indexed="8"/>
      </bottom>
      <diagonal/>
    </border>
    <border>
      <left style="double">
        <color theme="1"/>
      </left>
      <right/>
      <top style="double">
        <color theme="1"/>
      </top>
      <bottom/>
      <diagonal/>
    </border>
    <border>
      <left/>
      <right style="double">
        <color theme="1"/>
      </right>
      <top style="double">
        <color theme="1"/>
      </top>
      <bottom/>
      <diagonal/>
    </border>
    <border>
      <left/>
      <right/>
      <top/>
      <bottom style="double">
        <color theme="1"/>
      </bottom>
      <diagonal/>
    </border>
    <border>
      <left/>
      <right style="double">
        <color indexed="8"/>
      </right>
      <top/>
      <bottom style="double">
        <color theme="1"/>
      </bottom>
      <diagonal/>
    </border>
    <border>
      <left/>
      <right/>
      <top style="double">
        <color theme="1"/>
      </top>
      <bottom style="double">
        <color theme="1"/>
      </bottom>
      <diagonal/>
    </border>
    <border>
      <left style="double">
        <color indexed="8"/>
      </left>
      <right style="double">
        <color indexed="8"/>
      </right>
      <top style="double">
        <color theme="1"/>
      </top>
      <bottom/>
      <diagonal/>
    </border>
    <border>
      <left/>
      <right/>
      <top style="double">
        <color theme="1"/>
      </top>
      <bottom/>
      <diagonal/>
    </border>
    <border>
      <left/>
      <right style="double">
        <color theme="1"/>
      </right>
      <top/>
      <bottom style="double">
        <color indexed="64"/>
      </bottom>
      <diagonal/>
    </border>
    <border>
      <left style="double">
        <color indexed="8"/>
      </left>
      <right style="double">
        <color indexed="8"/>
      </right>
      <top/>
      <bottom style="double">
        <color theme="1"/>
      </bottom>
      <diagonal/>
    </border>
    <border>
      <left style="double">
        <color indexed="8"/>
      </left>
      <right style="double">
        <color indexed="8"/>
      </right>
      <top style="double">
        <color theme="1"/>
      </top>
      <bottom style="double">
        <color indexed="8"/>
      </bottom>
      <diagonal/>
    </border>
    <border>
      <left style="double">
        <color theme="1"/>
      </left>
      <right style="double">
        <color indexed="8"/>
      </right>
      <top/>
      <bottom/>
      <diagonal/>
    </border>
    <border>
      <left style="double">
        <color indexed="8"/>
      </left>
      <right style="double">
        <color theme="1"/>
      </right>
      <top/>
      <bottom style="double">
        <color indexed="64"/>
      </bottom>
      <diagonal/>
    </border>
    <border>
      <left style="double">
        <color indexed="8"/>
      </left>
      <right style="double">
        <color theme="1"/>
      </right>
      <top style="double">
        <color indexed="64"/>
      </top>
      <bottom/>
      <diagonal/>
    </border>
    <border>
      <left style="double">
        <color indexed="8"/>
      </left>
      <right style="double">
        <color theme="1"/>
      </right>
      <top/>
      <bottom style="double">
        <color theme="1"/>
      </bottom>
      <diagonal/>
    </border>
    <border>
      <left style="double">
        <color indexed="8"/>
      </left>
      <right style="double">
        <color theme="1"/>
      </right>
      <top/>
      <bottom style="double">
        <color indexed="8"/>
      </bottom>
      <diagonal/>
    </border>
    <border>
      <left style="double">
        <color indexed="8"/>
      </left>
      <right style="double">
        <color theme="1"/>
      </right>
      <top style="double">
        <color indexed="8"/>
      </top>
      <bottom/>
      <diagonal/>
    </border>
    <border>
      <left style="double">
        <color indexed="8"/>
      </left>
      <right style="double">
        <color indexed="64"/>
      </right>
      <top/>
      <bottom style="double">
        <color theme="1"/>
      </bottom>
      <diagonal/>
    </border>
    <border>
      <left style="double">
        <color theme="1"/>
      </left>
      <right style="double">
        <color indexed="8"/>
      </right>
      <top/>
      <bottom style="double">
        <color theme="1"/>
      </bottom>
      <diagonal/>
    </border>
    <border>
      <left style="double">
        <color theme="1"/>
      </left>
      <right/>
      <top style="double">
        <color theme="1"/>
      </top>
      <bottom style="double">
        <color theme="1"/>
      </bottom>
      <diagonal/>
    </border>
    <border>
      <left/>
      <right style="double">
        <color theme="1"/>
      </right>
      <top style="double">
        <color theme="1"/>
      </top>
      <bottom style="double">
        <color theme="1"/>
      </bottom>
      <diagonal/>
    </border>
    <border>
      <left/>
      <right style="double">
        <color theme="1"/>
      </right>
      <top style="thin">
        <color indexed="64"/>
      </top>
      <bottom style="thin">
        <color indexed="64"/>
      </bottom>
      <diagonal/>
    </border>
  </borders>
  <cellStyleXfs count="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20" fillId="16" borderId="1" applyNumberFormat="0" applyAlignment="0" applyProtection="0"/>
    <xf numFmtId="0" fontId="21" fillId="17" borderId="2" applyNumberFormat="0" applyAlignment="0" applyProtection="0"/>
    <xf numFmtId="43" fontId="3" fillId="0" borderId="0" applyFont="0" applyFill="0" applyBorder="0" applyAlignment="0" applyProtection="0"/>
    <xf numFmtId="0" fontId="33" fillId="0" borderId="0"/>
    <xf numFmtId="168" fontId="1" fillId="0" borderId="0" applyFon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167" fontId="34" fillId="0" borderId="0" applyNumberFormat="0" applyFill="0" applyBorder="0" applyAlignment="0">
      <alignment horizontal="right"/>
      <protection locked="0"/>
    </xf>
    <xf numFmtId="0" fontId="27" fillId="0" borderId="6" applyNumberFormat="0" applyFill="0" applyAlignment="0" applyProtection="0"/>
    <xf numFmtId="0" fontId="28" fillId="7" borderId="0" applyNumberFormat="0" applyBorder="0" applyAlignment="0" applyProtection="0"/>
    <xf numFmtId="37" fontId="32" fillId="0" borderId="0"/>
    <xf numFmtId="37" fontId="1" fillId="0" borderId="0"/>
    <xf numFmtId="0" fontId="1" fillId="0" borderId="0"/>
    <xf numFmtId="37" fontId="1" fillId="0" borderId="0"/>
    <xf numFmtId="0" fontId="3" fillId="0" borderId="0"/>
    <xf numFmtId="0" fontId="1" fillId="0" borderId="0"/>
    <xf numFmtId="0" fontId="3" fillId="4" borderId="7" applyNumberFormat="0" applyFont="0" applyAlignment="0" applyProtection="0"/>
    <xf numFmtId="0" fontId="29" fillId="16"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15" fillId="0" borderId="9" applyNumberFormat="0" applyFill="0" applyAlignment="0" applyProtection="0"/>
    <xf numFmtId="0" fontId="27" fillId="0" borderId="0" applyNumberFormat="0" applyFill="0" applyBorder="0" applyAlignment="0" applyProtection="0"/>
  </cellStyleXfs>
  <cellXfs count="313">
    <xf numFmtId="0" fontId="0" fillId="0" borderId="0" xfId="0"/>
    <xf numFmtId="0" fontId="1" fillId="0" borderId="0" xfId="0" applyFont="1" applyBorder="1"/>
    <xf numFmtId="0" fontId="6" fillId="0" borderId="10" xfId="0" applyFont="1" applyBorder="1" applyProtection="1"/>
    <xf numFmtId="0" fontId="1" fillId="0" borderId="10" xfId="0" applyFont="1" applyBorder="1" applyProtection="1"/>
    <xf numFmtId="0" fontId="6" fillId="0" borderId="11" xfId="0" applyFont="1" applyBorder="1" applyProtection="1"/>
    <xf numFmtId="0" fontId="1" fillId="0" borderId="0" xfId="0" applyFont="1" applyFill="1" applyBorder="1" applyProtection="1"/>
    <xf numFmtId="0" fontId="1" fillId="0" borderId="0" xfId="0" applyFont="1" applyFill="1" applyBorder="1"/>
    <xf numFmtId="0" fontId="6" fillId="0" borderId="0" xfId="0" applyFont="1" applyBorder="1" applyProtection="1"/>
    <xf numFmtId="0" fontId="4" fillId="0" borderId="12" xfId="0" applyFont="1" applyBorder="1" applyAlignment="1" applyProtection="1">
      <alignment horizontal="center"/>
    </xf>
    <xf numFmtId="0" fontId="4" fillId="0" borderId="10" xfId="0" applyFont="1" applyBorder="1" applyAlignment="1" applyProtection="1">
      <alignment horizontal="center"/>
    </xf>
    <xf numFmtId="0" fontId="4" fillId="0" borderId="11" xfId="0" applyFont="1" applyBorder="1" applyAlignment="1" applyProtection="1">
      <alignment horizontal="center"/>
    </xf>
    <xf numFmtId="0" fontId="5" fillId="0" borderId="0" xfId="0" applyFont="1" applyFill="1" applyBorder="1"/>
    <xf numFmtId="0" fontId="4" fillId="0" borderId="36" xfId="0" applyFont="1" applyBorder="1" applyProtection="1"/>
    <xf numFmtId="0" fontId="1" fillId="0" borderId="37" xfId="0" applyFont="1" applyBorder="1" applyProtection="1"/>
    <xf numFmtId="0" fontId="10" fillId="0" borderId="0" xfId="0" applyFont="1" applyBorder="1" applyProtection="1"/>
    <xf numFmtId="0" fontId="4" fillId="0" borderId="37" xfId="0" applyFont="1" applyFill="1" applyBorder="1" applyProtection="1"/>
    <xf numFmtId="0" fontId="1" fillId="21" borderId="0" xfId="0" applyFont="1" applyFill="1" applyBorder="1" applyProtection="1"/>
    <xf numFmtId="0" fontId="5" fillId="0" borderId="14" xfId="0" applyFont="1" applyBorder="1" applyProtection="1"/>
    <xf numFmtId="0" fontId="1" fillId="21" borderId="38" xfId="0" applyFont="1" applyFill="1" applyBorder="1" applyProtection="1"/>
    <xf numFmtId="0" fontId="1" fillId="0" borderId="39" xfId="0" applyFont="1" applyFill="1" applyBorder="1" applyProtection="1"/>
    <xf numFmtId="0" fontId="42" fillId="0" borderId="36" xfId="0" applyFont="1" applyBorder="1" applyProtection="1"/>
    <xf numFmtId="0" fontId="43" fillId="0" borderId="10" xfId="0" applyFont="1" applyBorder="1" applyProtection="1"/>
    <xf numFmtId="170" fontId="44" fillId="0" borderId="0" xfId="0" applyNumberFormat="1" applyFont="1" applyBorder="1"/>
    <xf numFmtId="0" fontId="44" fillId="0" borderId="0" xfId="0" applyFont="1" applyFill="1" applyBorder="1" applyAlignment="1" applyProtection="1">
      <alignment horizontal="left"/>
    </xf>
    <xf numFmtId="0" fontId="4" fillId="0" borderId="0" xfId="0" applyFont="1" applyFill="1" applyBorder="1" applyProtection="1"/>
    <xf numFmtId="0" fontId="5" fillId="0" borderId="0" xfId="0" applyFont="1" applyFill="1" applyBorder="1" applyAlignment="1" applyProtection="1">
      <alignment horizontal="left"/>
    </xf>
    <xf numFmtId="0" fontId="45" fillId="0" borderId="0" xfId="0" applyFont="1" applyFill="1" applyBorder="1"/>
    <xf numFmtId="0" fontId="5" fillId="0" borderId="0" xfId="0" applyFont="1" applyFill="1" applyBorder="1" applyProtection="1"/>
    <xf numFmtId="170" fontId="42" fillId="0" borderId="0" xfId="0" applyNumberFormat="1" applyFont="1" applyFill="1" applyBorder="1"/>
    <xf numFmtId="0" fontId="4" fillId="0" borderId="0" xfId="0" applyFont="1" applyFill="1" applyBorder="1"/>
    <xf numFmtId="170" fontId="44" fillId="0" borderId="0" xfId="0" applyNumberFormat="1" applyFont="1" applyBorder="1" applyAlignment="1">
      <alignment vertical="top"/>
    </xf>
    <xf numFmtId="0" fontId="1" fillId="0" borderId="0" xfId="0" applyFont="1" applyFill="1" applyBorder="1" applyAlignment="1">
      <alignment vertical="top"/>
    </xf>
    <xf numFmtId="0" fontId="1" fillId="0" borderId="0" xfId="0" applyFont="1" applyFill="1" applyBorder="1" applyAlignment="1" applyProtection="1">
      <alignment vertical="top"/>
    </xf>
    <xf numFmtId="37" fontId="5" fillId="0" borderId="14" xfId="0" applyNumberFormat="1" applyFont="1" applyBorder="1" applyAlignment="1" applyProtection="1">
      <alignment horizontal="center"/>
    </xf>
    <xf numFmtId="37" fontId="5" fillId="0" borderId="17" xfId="0" applyNumberFormat="1" applyFont="1" applyBorder="1" applyAlignment="1" applyProtection="1">
      <alignment horizontal="center"/>
    </xf>
    <xf numFmtId="0" fontId="10" fillId="0" borderId="37" xfId="0" applyFont="1" applyBorder="1" applyProtection="1"/>
    <xf numFmtId="0" fontId="2" fillId="0" borderId="0" xfId="0" applyFont="1" applyProtection="1"/>
    <xf numFmtId="0" fontId="1" fillId="0" borderId="0" xfId="0" applyFont="1" applyBorder="1" applyProtection="1"/>
    <xf numFmtId="0" fontId="1" fillId="0" borderId="17" xfId="0" applyFont="1" applyBorder="1" applyProtection="1"/>
    <xf numFmtId="0" fontId="7" fillId="0" borderId="18" xfId="0" applyNumberFormat="1" applyFont="1" applyFill="1" applyBorder="1" applyProtection="1"/>
    <xf numFmtId="172" fontId="44" fillId="0" borderId="18" xfId="0" applyNumberFormat="1" applyFont="1" applyBorder="1" applyProtection="1"/>
    <xf numFmtId="0" fontId="44" fillId="0" borderId="11" xfId="0" applyNumberFormat="1" applyFont="1" applyBorder="1" applyProtection="1"/>
    <xf numFmtId="0" fontId="7" fillId="0" borderId="13" xfId="0" applyNumberFormat="1" applyFont="1" applyFill="1" applyBorder="1" applyProtection="1"/>
    <xf numFmtId="0" fontId="44" fillId="0" borderId="12" xfId="0" applyNumberFormat="1" applyFont="1" applyBorder="1" applyProtection="1"/>
    <xf numFmtId="0" fontId="1" fillId="0" borderId="40" xfId="0" applyNumberFormat="1" applyFont="1" applyFill="1" applyBorder="1" applyProtection="1"/>
    <xf numFmtId="0" fontId="4" fillId="0" borderId="0" xfId="0" applyFont="1" applyBorder="1" applyAlignment="1">
      <alignment wrapText="1"/>
    </xf>
    <xf numFmtId="0" fontId="0" fillId="0" borderId="0" xfId="0" applyBorder="1"/>
    <xf numFmtId="0" fontId="4" fillId="0" borderId="0" xfId="0" applyFont="1" applyBorder="1"/>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0" borderId="0" xfId="0" applyFont="1" applyBorder="1" applyAlignment="1">
      <alignment wrapText="1"/>
    </xf>
    <xf numFmtId="0" fontId="0" fillId="0" borderId="0" xfId="0" applyFont="1" applyBorder="1"/>
    <xf numFmtId="0" fontId="2" fillId="0" borderId="0" xfId="0" applyFont="1" applyBorder="1" applyAlignment="1">
      <alignment wrapText="1"/>
    </xf>
    <xf numFmtId="0" fontId="1" fillId="0" borderId="0" xfId="0" applyNumberFormat="1" applyFont="1" applyFill="1" applyBorder="1" applyProtection="1"/>
    <xf numFmtId="0" fontId="5" fillId="0" borderId="0" xfId="0" applyNumberFormat="1" applyFont="1" applyFill="1" applyBorder="1" applyProtection="1"/>
    <xf numFmtId="0" fontId="46" fillId="0" borderId="0" xfId="0" applyNumberFormat="1" applyFont="1" applyFill="1" applyBorder="1" applyProtection="1"/>
    <xf numFmtId="0" fontId="5" fillId="21" borderId="41" xfId="0" applyFont="1" applyFill="1" applyBorder="1" applyProtection="1"/>
    <xf numFmtId="0" fontId="5" fillId="0" borderId="36" xfId="0" applyFont="1" applyBorder="1" applyProtection="1"/>
    <xf numFmtId="0" fontId="5" fillId="0" borderId="42" xfId="0" applyFont="1" applyBorder="1" applyProtection="1"/>
    <xf numFmtId="0" fontId="7" fillId="22" borderId="18" xfId="0" applyNumberFormat="1" applyFont="1" applyFill="1" applyBorder="1" applyProtection="1"/>
    <xf numFmtId="0" fontId="7" fillId="22" borderId="13" xfId="0" applyNumberFormat="1" applyFont="1" applyFill="1" applyBorder="1" applyProtection="1"/>
    <xf numFmtId="0" fontId="7" fillId="22" borderId="15" xfId="0" applyNumberFormat="1" applyFont="1" applyFill="1" applyBorder="1" applyProtection="1"/>
    <xf numFmtId="0" fontId="7" fillId="22" borderId="0" xfId="0" applyNumberFormat="1" applyFont="1" applyFill="1" applyBorder="1" applyProtection="1"/>
    <xf numFmtId="0" fontId="1" fillId="0" borderId="0" xfId="0" applyFont="1" applyBorder="1" applyAlignment="1" applyProtection="1">
      <alignment horizontal="right"/>
    </xf>
    <xf numFmtId="17" fontId="1" fillId="0" borderId="19" xfId="0" applyNumberFormat="1" applyFont="1" applyBorder="1" applyProtection="1"/>
    <xf numFmtId="0" fontId="1" fillId="0" borderId="37" xfId="0" applyFont="1" applyFill="1" applyBorder="1" applyProtection="1"/>
    <xf numFmtId="0" fontId="2" fillId="0" borderId="0" xfId="0" applyFont="1" applyAlignment="1" applyProtection="1">
      <alignment vertical="top"/>
    </xf>
    <xf numFmtId="0" fontId="10" fillId="0" borderId="43" xfId="0" applyFont="1" applyBorder="1" applyAlignment="1" applyProtection="1"/>
    <xf numFmtId="0" fontId="10" fillId="0" borderId="44" xfId="0" applyFont="1" applyBorder="1" applyAlignment="1" applyProtection="1"/>
    <xf numFmtId="0" fontId="10" fillId="0" borderId="37" xfId="0" applyFont="1" applyBorder="1" applyAlignment="1" applyProtection="1"/>
    <xf numFmtId="0" fontId="10" fillId="0" borderId="38" xfId="0" applyFont="1" applyBorder="1" applyAlignment="1" applyProtection="1"/>
    <xf numFmtId="0" fontId="47" fillId="0" borderId="0" xfId="0" applyNumberFormat="1" applyFont="1" applyBorder="1" applyAlignment="1" applyProtection="1">
      <alignment horizontal="left"/>
    </xf>
    <xf numFmtId="0" fontId="10" fillId="0" borderId="42" xfId="0" applyFont="1" applyBorder="1" applyAlignment="1" applyProtection="1"/>
    <xf numFmtId="0" fontId="10" fillId="0" borderId="16" xfId="0" applyFont="1" applyBorder="1" applyAlignment="1" applyProtection="1"/>
    <xf numFmtId="0" fontId="1" fillId="0" borderId="0" xfId="0" applyFont="1" applyAlignment="1" applyProtection="1">
      <alignment horizontal="right"/>
    </xf>
    <xf numFmtId="0" fontId="1" fillId="0" borderId="41" xfId="0" applyFont="1" applyBorder="1" applyProtection="1"/>
    <xf numFmtId="0" fontId="48" fillId="0" borderId="45" xfId="0" applyFont="1" applyBorder="1" applyProtection="1"/>
    <xf numFmtId="0" fontId="49" fillId="0" borderId="0" xfId="0" applyFont="1" applyProtection="1"/>
    <xf numFmtId="0" fontId="48" fillId="0" borderId="0" xfId="0" applyFont="1" applyBorder="1" applyProtection="1"/>
    <xf numFmtId="0" fontId="48" fillId="0" borderId="38" xfId="0" applyFont="1" applyBorder="1" applyProtection="1"/>
    <xf numFmtId="0" fontId="48" fillId="0" borderId="39" xfId="0" applyFont="1" applyBorder="1" applyProtection="1"/>
    <xf numFmtId="170" fontId="1" fillId="0" borderId="37" xfId="0" applyNumberFormat="1" applyFont="1" applyBorder="1" applyProtection="1"/>
    <xf numFmtId="170" fontId="48" fillId="0" borderId="0" xfId="0" applyNumberFormat="1" applyFont="1" applyBorder="1" applyProtection="1"/>
    <xf numFmtId="170" fontId="48" fillId="0" borderId="44" xfId="0" applyNumberFormat="1" applyFont="1" applyBorder="1" applyProtection="1"/>
    <xf numFmtId="170" fontId="49" fillId="0" borderId="0" xfId="0" applyNumberFormat="1" applyFont="1" applyProtection="1"/>
    <xf numFmtId="170" fontId="1" fillId="0" borderId="41" xfId="0" applyNumberFormat="1" applyFont="1" applyBorder="1" applyProtection="1"/>
    <xf numFmtId="0" fontId="49" fillId="0" borderId="45" xfId="0" applyFont="1" applyBorder="1" applyProtection="1"/>
    <xf numFmtId="0" fontId="49" fillId="0" borderId="0" xfId="0" applyFont="1" applyBorder="1" applyProtection="1"/>
    <xf numFmtId="0" fontId="48" fillId="0" borderId="46" xfId="0" applyFont="1" applyBorder="1" applyProtection="1"/>
    <xf numFmtId="0" fontId="48" fillId="0" borderId="15" xfId="0" applyFont="1" applyBorder="1" applyProtection="1"/>
    <xf numFmtId="170" fontId="1" fillId="0" borderId="20" xfId="0" applyNumberFormat="1" applyFont="1" applyBorder="1" applyProtection="1"/>
    <xf numFmtId="170" fontId="5" fillId="0" borderId="21" xfId="0" applyNumberFormat="1" applyFont="1" applyBorder="1" applyProtection="1"/>
    <xf numFmtId="170" fontId="5" fillId="0" borderId="14" xfId="0" applyNumberFormat="1" applyFont="1" applyBorder="1" applyProtection="1"/>
    <xf numFmtId="0" fontId="49" fillId="0" borderId="47" xfId="0" applyFont="1" applyBorder="1" applyProtection="1"/>
    <xf numFmtId="0" fontId="48" fillId="0" borderId="47" xfId="0" applyFont="1" applyBorder="1" applyProtection="1"/>
    <xf numFmtId="0" fontId="49" fillId="0" borderId="17" xfId="0" applyFont="1" applyBorder="1" applyProtection="1"/>
    <xf numFmtId="0" fontId="7" fillId="0" borderId="17" xfId="0" applyFont="1" applyBorder="1" applyProtection="1"/>
    <xf numFmtId="0" fontId="31" fillId="0" borderId="0" xfId="0" applyFont="1" applyProtection="1"/>
    <xf numFmtId="170" fontId="42" fillId="0" borderId="37" xfId="0" applyNumberFormat="1" applyFont="1" applyBorder="1" applyProtection="1"/>
    <xf numFmtId="0" fontId="2" fillId="0" borderId="0" xfId="0" applyFont="1" applyBorder="1" applyProtection="1"/>
    <xf numFmtId="170" fontId="44" fillId="0" borderId="37" xfId="0" applyNumberFormat="1" applyFont="1" applyBorder="1" applyProtection="1"/>
    <xf numFmtId="0" fontId="50" fillId="0" borderId="0" xfId="0" applyNumberFormat="1" applyFont="1" applyBorder="1" applyProtection="1"/>
    <xf numFmtId="0" fontId="44" fillId="0" borderId="0" xfId="0" applyNumberFormat="1" applyFont="1" applyBorder="1" applyProtection="1"/>
    <xf numFmtId="0" fontId="50" fillId="0" borderId="0" xfId="0" applyFont="1" applyProtection="1"/>
    <xf numFmtId="0" fontId="45" fillId="0" borderId="10" xfId="0" applyFont="1" applyBorder="1" applyProtection="1"/>
    <xf numFmtId="0" fontId="44" fillId="0" borderId="11" xfId="0" applyFont="1" applyBorder="1" applyProtection="1"/>
    <xf numFmtId="0" fontId="2" fillId="21" borderId="45" xfId="0" applyFont="1" applyFill="1" applyBorder="1" applyProtection="1"/>
    <xf numFmtId="0" fontId="1" fillId="21" borderId="45" xfId="0" applyFont="1" applyFill="1" applyBorder="1" applyProtection="1"/>
    <xf numFmtId="170" fontId="6" fillId="0" borderId="37" xfId="0" applyNumberFormat="1" applyFont="1" applyBorder="1" applyProtection="1"/>
    <xf numFmtId="0" fontId="2" fillId="0" borderId="0" xfId="0" applyFont="1" applyFill="1" applyBorder="1" applyProtection="1"/>
    <xf numFmtId="0" fontId="2" fillId="0" borderId="0" xfId="0" applyFont="1" applyFill="1" applyProtection="1"/>
    <xf numFmtId="0" fontId="50" fillId="0" borderId="0" xfId="0" applyNumberFormat="1" applyFont="1" applyFill="1" applyBorder="1" applyProtection="1"/>
    <xf numFmtId="0" fontId="44" fillId="0" borderId="0" xfId="0" applyNumberFormat="1" applyFont="1" applyFill="1" applyBorder="1" applyProtection="1"/>
    <xf numFmtId="0" fontId="50" fillId="0" borderId="0" xfId="0" applyFont="1" applyFill="1" applyProtection="1"/>
    <xf numFmtId="0" fontId="50" fillId="0" borderId="0" xfId="0" applyFont="1" applyFill="1" applyBorder="1" applyProtection="1"/>
    <xf numFmtId="0" fontId="44" fillId="0" borderId="0" xfId="0" applyFont="1" applyFill="1" applyBorder="1" applyProtection="1"/>
    <xf numFmtId="0" fontId="51" fillId="0" borderId="0" xfId="0" applyFont="1" applyFill="1" applyBorder="1" applyProtection="1"/>
    <xf numFmtId="0" fontId="52" fillId="0" borderId="0" xfId="0" applyFont="1" applyFill="1" applyBorder="1" applyProtection="1"/>
    <xf numFmtId="0" fontId="51" fillId="0" borderId="0" xfId="0" applyFont="1" applyFill="1" applyProtection="1"/>
    <xf numFmtId="0" fontId="49" fillId="0" borderId="0" xfId="0" applyFont="1" applyFill="1" applyProtection="1"/>
    <xf numFmtId="0" fontId="1" fillId="0" borderId="41" xfId="0" applyFont="1" applyFill="1" applyBorder="1" applyProtection="1"/>
    <xf numFmtId="0" fontId="1" fillId="0" borderId="45" xfId="0" applyFont="1" applyFill="1" applyBorder="1" applyProtection="1"/>
    <xf numFmtId="0" fontId="5" fillId="21" borderId="37" xfId="0" applyFont="1" applyFill="1" applyBorder="1" applyProtection="1"/>
    <xf numFmtId="0" fontId="5" fillId="23" borderId="13" xfId="0" applyFont="1" applyFill="1" applyBorder="1" applyProtection="1"/>
    <xf numFmtId="0" fontId="5" fillId="21" borderId="0" xfId="0" applyFont="1" applyFill="1" applyBorder="1" applyProtection="1"/>
    <xf numFmtId="0" fontId="5" fillId="0" borderId="45" xfId="0" applyFont="1" applyFill="1" applyBorder="1" applyProtection="1"/>
    <xf numFmtId="0" fontId="11" fillId="0" borderId="0" xfId="0" applyNumberFormat="1" applyFont="1" applyBorder="1" applyProtection="1"/>
    <xf numFmtId="0" fontId="2" fillId="0" borderId="0" xfId="0" applyNumberFormat="1" applyFont="1" applyFill="1" applyProtection="1"/>
    <xf numFmtId="0" fontId="11" fillId="0" borderId="0" xfId="0" applyNumberFormat="1" applyFont="1" applyProtection="1"/>
    <xf numFmtId="0" fontId="16" fillId="0" borderId="0" xfId="0" applyNumberFormat="1" applyFont="1" applyBorder="1" applyProtection="1"/>
    <xf numFmtId="0" fontId="9" fillId="0" borderId="0" xfId="0" applyNumberFormat="1" applyFont="1" applyBorder="1" applyProtection="1"/>
    <xf numFmtId="0" fontId="9" fillId="0" borderId="0" xfId="0" applyNumberFormat="1" applyFont="1" applyProtection="1"/>
    <xf numFmtId="0" fontId="2" fillId="0" borderId="0" xfId="0" applyNumberFormat="1" applyFont="1" applyProtection="1"/>
    <xf numFmtId="0" fontId="53" fillId="0" borderId="0" xfId="0" applyFont="1" applyBorder="1" applyAlignment="1" applyProtection="1"/>
    <xf numFmtId="0" fontId="5" fillId="0" borderId="37" xfId="0" applyFont="1" applyBorder="1" applyProtection="1"/>
    <xf numFmtId="164" fontId="7" fillId="0" borderId="48" xfId="0" applyNumberFormat="1" applyFont="1" applyFill="1" applyBorder="1" applyProtection="1"/>
    <xf numFmtId="0" fontId="1" fillId="0" borderId="0" xfId="45"/>
    <xf numFmtId="0" fontId="1" fillId="18" borderId="0" xfId="45" applyFill="1"/>
    <xf numFmtId="0" fontId="1" fillId="19" borderId="0" xfId="45" quotePrefix="1" applyFont="1" applyFill="1" applyAlignment="1">
      <alignment horizontal="center"/>
    </xf>
    <xf numFmtId="0" fontId="1" fillId="19" borderId="0" xfId="45" applyFill="1"/>
    <xf numFmtId="0" fontId="1" fillId="0" borderId="0" xfId="45" applyFill="1"/>
    <xf numFmtId="0" fontId="1" fillId="0" borderId="0" xfId="45" applyFill="1" applyBorder="1"/>
    <xf numFmtId="0" fontId="1" fillId="18" borderId="0" xfId="45" applyFill="1" applyAlignment="1">
      <alignment horizontal="center"/>
    </xf>
    <xf numFmtId="0" fontId="1" fillId="19" borderId="0" xfId="45" applyFill="1" applyAlignment="1">
      <alignment horizontal="center"/>
    </xf>
    <xf numFmtId="0" fontId="1" fillId="0" borderId="0" xfId="45" applyFill="1" applyAlignment="1">
      <alignment horizontal="center"/>
    </xf>
    <xf numFmtId="0" fontId="1" fillId="20" borderId="22" xfId="45" applyFill="1" applyBorder="1" applyAlignment="1">
      <alignment horizontal="center" wrapText="1"/>
    </xf>
    <xf numFmtId="0" fontId="1" fillId="20" borderId="22" xfId="45" applyFont="1" applyFill="1" applyBorder="1" applyAlignment="1">
      <alignment horizontal="center" wrapText="1"/>
    </xf>
    <xf numFmtId="0" fontId="1" fillId="20" borderId="22" xfId="45" applyFill="1" applyBorder="1" applyAlignment="1">
      <alignment horizontal="center"/>
    </xf>
    <xf numFmtId="0" fontId="1" fillId="20" borderId="22" xfId="45" applyFont="1" applyFill="1" applyBorder="1" applyAlignment="1">
      <alignment horizontal="center"/>
    </xf>
    <xf numFmtId="0" fontId="1" fillId="0" borderId="0" xfId="45" applyFill="1" applyBorder="1" applyAlignment="1">
      <alignment horizontal="center" wrapText="1"/>
    </xf>
    <xf numFmtId="0" fontId="1" fillId="20" borderId="23" xfId="45" applyFill="1" applyBorder="1" applyAlignment="1">
      <alignment horizontal="center" wrapText="1"/>
    </xf>
    <xf numFmtId="0" fontId="5" fillId="0" borderId="0" xfId="45" applyFont="1" applyFill="1"/>
    <xf numFmtId="10" fontId="7" fillId="0" borderId="0" xfId="48" applyNumberFormat="1" applyFont="1" applyFill="1"/>
    <xf numFmtId="4" fontId="1" fillId="0" borderId="0" xfId="45" applyNumberFormat="1" applyFill="1"/>
    <xf numFmtId="166" fontId="1" fillId="0" borderId="0" xfId="45" applyNumberFormat="1" applyFill="1"/>
    <xf numFmtId="9" fontId="1" fillId="0" borderId="0" xfId="48" applyNumberFormat="1" applyFill="1"/>
    <xf numFmtId="4" fontId="7" fillId="0" borderId="0" xfId="45" quotePrefix="1" applyNumberFormat="1" applyFont="1" applyFill="1"/>
    <xf numFmtId="4" fontId="1" fillId="0" borderId="0" xfId="45" quotePrefix="1" applyNumberFormat="1" applyFont="1" applyFill="1"/>
    <xf numFmtId="4" fontId="1" fillId="0" borderId="0" xfId="45" applyNumberFormat="1" applyFont="1" applyFill="1"/>
    <xf numFmtId="4" fontId="1" fillId="0" borderId="0" xfId="45" applyNumberFormat="1" applyFill="1" applyBorder="1"/>
    <xf numFmtId="0" fontId="5" fillId="0" borderId="0" xfId="45" applyFont="1"/>
    <xf numFmtId="0" fontId="1" fillId="0" borderId="0" xfId="45" applyAlignment="1">
      <alignment horizontal="center"/>
    </xf>
    <xf numFmtId="4" fontId="1" fillId="0" borderId="0" xfId="45" applyNumberFormat="1"/>
    <xf numFmtId="9" fontId="1" fillId="0" borderId="0" xfId="48" applyNumberFormat="1"/>
    <xf numFmtId="4" fontId="1" fillId="18" borderId="0" xfId="45" applyNumberFormat="1" applyFill="1"/>
    <xf numFmtId="4" fontId="7" fillId="19" borderId="0" xfId="45" quotePrefix="1" applyNumberFormat="1" applyFont="1" applyFill="1"/>
    <xf numFmtId="4" fontId="1" fillId="19" borderId="0" xfId="45" quotePrefix="1" applyNumberFormat="1" applyFont="1" applyFill="1"/>
    <xf numFmtId="4" fontId="1" fillId="19" borderId="0" xfId="45" applyNumberFormat="1" applyFill="1"/>
    <xf numFmtId="4" fontId="1" fillId="19" borderId="0" xfId="45" applyNumberFormat="1" applyFont="1" applyFill="1"/>
    <xf numFmtId="4" fontId="1" fillId="18" borderId="0" xfId="45" applyNumberFormat="1" applyFill="1" applyBorder="1"/>
    <xf numFmtId="166" fontId="1" fillId="0" borderId="0" xfId="45" applyNumberFormat="1"/>
    <xf numFmtId="4" fontId="7" fillId="19" borderId="0" xfId="45" applyNumberFormat="1" applyFont="1" applyFill="1"/>
    <xf numFmtId="9" fontId="1" fillId="0" borderId="0" xfId="45" applyNumberFormat="1"/>
    <xf numFmtId="0" fontId="1" fillId="0" borderId="11" xfId="0" applyFont="1" applyBorder="1" applyProtection="1">
      <protection locked="0"/>
    </xf>
    <xf numFmtId="0" fontId="1" fillId="0" borderId="12" xfId="0" applyFont="1" applyBorder="1" applyProtection="1">
      <protection locked="0"/>
    </xf>
    <xf numFmtId="0" fontId="54" fillId="24" borderId="0" xfId="0" applyFont="1" applyFill="1"/>
    <xf numFmtId="0" fontId="54" fillId="0" borderId="0" xfId="0" applyFont="1"/>
    <xf numFmtId="2" fontId="0" fillId="0" borderId="0" xfId="0" applyNumberFormat="1" applyBorder="1" applyAlignment="1">
      <alignment horizontal="right"/>
    </xf>
    <xf numFmtId="2" fontId="0" fillId="0" borderId="0" xfId="0" applyNumberFormat="1"/>
    <xf numFmtId="0" fontId="5" fillId="0" borderId="43" xfId="0" applyFont="1" applyFill="1" applyBorder="1" applyProtection="1"/>
    <xf numFmtId="0" fontId="45" fillId="0" borderId="49" xfId="0" applyFont="1" applyFill="1" applyBorder="1" applyProtection="1"/>
    <xf numFmtId="0" fontId="5" fillId="0" borderId="37" xfId="0" applyFont="1" applyFill="1" applyBorder="1" applyProtection="1"/>
    <xf numFmtId="0" fontId="45" fillId="0" borderId="0" xfId="0" applyFont="1" applyFill="1" applyBorder="1" applyProtection="1"/>
    <xf numFmtId="0" fontId="5" fillId="0" borderId="13" xfId="44" applyFont="1" applyFill="1" applyBorder="1" applyProtection="1"/>
    <xf numFmtId="0" fontId="5" fillId="21" borderId="13" xfId="44" applyFont="1" applyFill="1" applyBorder="1" applyProtection="1"/>
    <xf numFmtId="0" fontId="2" fillId="21" borderId="0" xfId="0" applyFont="1" applyFill="1" applyBorder="1" applyProtection="1"/>
    <xf numFmtId="0" fontId="6" fillId="21" borderId="0" xfId="0" applyFont="1" applyFill="1" applyBorder="1" applyProtection="1"/>
    <xf numFmtId="0" fontId="2" fillId="21" borderId="0" xfId="0" applyFont="1" applyFill="1" applyProtection="1"/>
    <xf numFmtId="0" fontId="44" fillId="0" borderId="37" xfId="0" applyFont="1" applyFill="1" applyBorder="1" applyAlignment="1" applyProtection="1">
      <alignment horizontal="left"/>
    </xf>
    <xf numFmtId="0" fontId="5" fillId="0" borderId="37" xfId="0" applyFont="1" applyFill="1" applyBorder="1" applyAlignment="1" applyProtection="1">
      <alignment horizontal="left"/>
    </xf>
    <xf numFmtId="0" fontId="1" fillId="0" borderId="15" xfId="0" applyFont="1" applyFill="1" applyBorder="1" applyProtection="1"/>
    <xf numFmtId="0" fontId="1" fillId="0" borderId="24" xfId="0" applyFont="1" applyFill="1" applyBorder="1" applyProtection="1"/>
    <xf numFmtId="0" fontId="55" fillId="0" borderId="0" xfId="0" applyNumberFormat="1" applyFont="1" applyFill="1" applyAlignment="1" applyProtection="1">
      <alignment horizontal="right"/>
    </xf>
    <xf numFmtId="170" fontId="45" fillId="0" borderId="0" xfId="0" applyNumberFormat="1" applyFont="1" applyBorder="1"/>
    <xf numFmtId="175" fontId="44" fillId="22" borderId="18" xfId="0" applyNumberFormat="1" applyFont="1" applyFill="1" applyBorder="1" applyProtection="1"/>
    <xf numFmtId="175" fontId="1" fillId="22" borderId="25" xfId="30" applyNumberFormat="1" applyFont="1" applyFill="1" applyBorder="1" applyProtection="1"/>
    <xf numFmtId="0" fontId="1" fillId="0" borderId="0" xfId="0" applyNumberFormat="1" applyFont="1" applyBorder="1" applyAlignment="1">
      <alignment wrapText="1"/>
    </xf>
    <xf numFmtId="0" fontId="1" fillId="0" borderId="0" xfId="0" applyNumberFormat="1" applyFont="1" applyBorder="1" applyAlignment="1">
      <alignment horizontal="left"/>
    </xf>
    <xf numFmtId="175" fontId="44" fillId="0" borderId="50" xfId="0" applyNumberFormat="1" applyFont="1" applyFill="1" applyBorder="1" applyProtection="1"/>
    <xf numFmtId="0" fontId="7" fillId="22" borderId="26" xfId="0" applyNumberFormat="1" applyFont="1" applyFill="1" applyBorder="1" applyProtection="1"/>
    <xf numFmtId="2" fontId="1" fillId="0" borderId="38" xfId="0" applyNumberFormat="1" applyFont="1" applyFill="1" applyBorder="1" applyAlignment="1" applyProtection="1">
      <alignment horizontal="right"/>
    </xf>
    <xf numFmtId="0" fontId="4" fillId="0" borderId="27" xfId="0" applyFont="1" applyBorder="1" applyAlignment="1" applyProtection="1">
      <alignment horizontal="center"/>
    </xf>
    <xf numFmtId="49" fontId="47" fillId="0" borderId="0" xfId="0" applyNumberFormat="1" applyFont="1" applyBorder="1" applyAlignment="1" applyProtection="1">
      <protection locked="0"/>
    </xf>
    <xf numFmtId="49" fontId="47" fillId="0" borderId="17" xfId="0" applyNumberFormat="1" applyFont="1" applyBorder="1" applyAlignment="1" applyProtection="1">
      <protection locked="0"/>
    </xf>
    <xf numFmtId="174" fontId="47" fillId="0" borderId="0" xfId="0" applyNumberFormat="1" applyFont="1" applyBorder="1" applyAlignment="1" applyProtection="1">
      <alignment horizontal="left"/>
      <protection locked="0"/>
    </xf>
    <xf numFmtId="49" fontId="47" fillId="0" borderId="17" xfId="0" applyNumberFormat="1" applyFont="1" applyBorder="1" applyAlignment="1" applyProtection="1">
      <protection locked="0"/>
    </xf>
    <xf numFmtId="0" fontId="48" fillId="0" borderId="18" xfId="0" applyNumberFormat="1" applyFont="1" applyFill="1" applyBorder="1" applyProtection="1">
      <protection locked="0"/>
    </xf>
    <xf numFmtId="0" fontId="48" fillId="0" borderId="13" xfId="0" applyNumberFormat="1" applyFont="1" applyFill="1" applyBorder="1" applyProtection="1">
      <protection locked="0"/>
    </xf>
    <xf numFmtId="14" fontId="56" fillId="0" borderId="0" xfId="0" applyNumberFormat="1" applyFont="1" applyAlignment="1" applyProtection="1">
      <alignment horizontal="left"/>
      <protection locked="0"/>
    </xf>
    <xf numFmtId="49" fontId="56" fillId="0" borderId="0" xfId="0" applyNumberFormat="1" applyFont="1" applyProtection="1">
      <protection locked="0"/>
    </xf>
    <xf numFmtId="0" fontId="5" fillId="0" borderId="0" xfId="0" applyNumberFormat="1" applyFont="1" applyBorder="1" applyAlignment="1">
      <alignment horizontal="left" wrapText="1"/>
    </xf>
    <xf numFmtId="170" fontId="57" fillId="22" borderId="51" xfId="0" applyNumberFormat="1" applyFont="1" applyFill="1" applyBorder="1" applyProtection="1"/>
    <xf numFmtId="171" fontId="57" fillId="22" borderId="27" xfId="0" applyNumberFormat="1" applyFont="1" applyFill="1" applyBorder="1" applyProtection="1"/>
    <xf numFmtId="170" fontId="38" fillId="22" borderId="18" xfId="0" applyNumberFormat="1" applyFont="1" applyFill="1" applyBorder="1" applyProtection="1"/>
    <xf numFmtId="170" fontId="57" fillId="22" borderId="52" xfId="0" applyNumberFormat="1" applyFont="1" applyFill="1" applyBorder="1" applyProtection="1"/>
    <xf numFmtId="0" fontId="11" fillId="0" borderId="40" xfId="0" applyNumberFormat="1" applyFont="1" applyFill="1" applyBorder="1" applyProtection="1"/>
    <xf numFmtId="173" fontId="48" fillId="0" borderId="29" xfId="0" applyNumberFormat="1" applyFont="1" applyBorder="1" applyProtection="1">
      <protection locked="0"/>
    </xf>
    <xf numFmtId="173" fontId="48" fillId="0" borderId="18" xfId="0" applyNumberFormat="1" applyFont="1" applyBorder="1" applyProtection="1">
      <protection locked="0"/>
    </xf>
    <xf numFmtId="173" fontId="48" fillId="0" borderId="53" xfId="0" applyNumberFormat="1" applyFont="1" applyBorder="1" applyProtection="1">
      <protection locked="0"/>
    </xf>
    <xf numFmtId="173" fontId="48" fillId="0" borderId="15" xfId="0" applyNumberFormat="1" applyFont="1" applyBorder="1" applyProtection="1">
      <protection locked="0"/>
    </xf>
    <xf numFmtId="173" fontId="48" fillId="0" borderId="46" xfId="0" applyNumberFormat="1" applyFont="1" applyBorder="1" applyProtection="1">
      <protection locked="0"/>
    </xf>
    <xf numFmtId="164" fontId="48" fillId="0" borderId="18" xfId="0" applyNumberFormat="1" applyFont="1" applyFill="1" applyBorder="1" applyProtection="1">
      <protection locked="0"/>
    </xf>
    <xf numFmtId="164" fontId="48" fillId="0" borderId="51" xfId="0" applyNumberFormat="1" applyFont="1" applyFill="1" applyBorder="1" applyProtection="1">
      <protection locked="0"/>
    </xf>
    <xf numFmtId="173" fontId="48" fillId="0" borderId="40" xfId="0" applyNumberFormat="1" applyFont="1" applyBorder="1" applyProtection="1">
      <protection locked="0"/>
    </xf>
    <xf numFmtId="173" fontId="1" fillId="0" borderId="54" xfId="0" applyNumberFormat="1" applyFont="1" applyBorder="1" applyProtection="1"/>
    <xf numFmtId="173" fontId="1" fillId="0" borderId="55" xfId="0" applyNumberFormat="1" applyFont="1" applyBorder="1" applyProtection="1"/>
    <xf numFmtId="173" fontId="1" fillId="0" borderId="40" xfId="0" applyNumberFormat="1" applyFont="1" applyBorder="1" applyProtection="1"/>
    <xf numFmtId="173" fontId="1" fillId="0" borderId="56" xfId="0" applyNumberFormat="1" applyFont="1" applyBorder="1" applyProtection="1"/>
    <xf numFmtId="164" fontId="44" fillId="0" borderId="18" xfId="0" applyNumberFormat="1" applyFont="1" applyBorder="1" applyProtection="1"/>
    <xf numFmtId="164" fontId="44" fillId="0" borderId="51" xfId="0" applyNumberFormat="1" applyFont="1" applyBorder="1" applyProtection="1"/>
    <xf numFmtId="173" fontId="44" fillId="0" borderId="18" xfId="0" applyNumberFormat="1" applyFont="1" applyBorder="1" applyProtection="1"/>
    <xf numFmtId="165" fontId="48" fillId="0" borderId="27" xfId="0" applyNumberFormat="1" applyFont="1" applyFill="1" applyBorder="1" applyProtection="1">
      <protection locked="0"/>
    </xf>
    <xf numFmtId="173" fontId="48" fillId="0" borderId="28" xfId="0" applyNumberFormat="1" applyFont="1" applyBorder="1" applyProtection="1">
      <protection locked="0"/>
    </xf>
    <xf numFmtId="165" fontId="12" fillId="0" borderId="27" xfId="0" applyNumberFormat="1" applyFont="1" applyFill="1" applyBorder="1" applyProtection="1"/>
    <xf numFmtId="165" fontId="44" fillId="0" borderId="18" xfId="0" applyNumberFormat="1" applyFont="1" applyFill="1" applyBorder="1" applyProtection="1"/>
    <xf numFmtId="165" fontId="57" fillId="22" borderId="18" xfId="0" applyNumberFormat="1" applyFont="1" applyFill="1" applyBorder="1" applyProtection="1"/>
    <xf numFmtId="165" fontId="57" fillId="22" borderId="40" xfId="0" applyNumberFormat="1" applyFont="1" applyFill="1" applyBorder="1" applyProtection="1"/>
    <xf numFmtId="165" fontId="44" fillId="0" borderId="27" xfId="0" applyNumberFormat="1" applyFont="1" applyFill="1" applyBorder="1" applyProtection="1"/>
    <xf numFmtId="165" fontId="57" fillId="22" borderId="57" xfId="0" applyNumberFormat="1" applyFont="1" applyFill="1" applyBorder="1" applyProtection="1"/>
    <xf numFmtId="164" fontId="44" fillId="0" borderId="18" xfId="0" applyNumberFormat="1" applyFont="1" applyFill="1" applyBorder="1" applyProtection="1"/>
    <xf numFmtId="164" fontId="44" fillId="21" borderId="51" xfId="0" applyNumberFormat="1" applyFont="1" applyFill="1" applyBorder="1" applyProtection="1"/>
    <xf numFmtId="173" fontId="7" fillId="0" borderId="18" xfId="0" applyNumberFormat="1" applyFont="1" applyFill="1" applyBorder="1" applyProtection="1">
      <protection locked="0"/>
    </xf>
    <xf numFmtId="173" fontId="44" fillId="0" borderId="18" xfId="0" applyNumberFormat="1" applyFont="1" applyFill="1" applyBorder="1" applyProtection="1"/>
    <xf numFmtId="164" fontId="6" fillId="0" borderId="18" xfId="0" applyNumberFormat="1" applyFont="1" applyFill="1" applyBorder="1" applyProtection="1"/>
    <xf numFmtId="164" fontId="1" fillId="0" borderId="18" xfId="0" applyNumberFormat="1" applyFont="1" applyFill="1" applyBorder="1" applyProtection="1"/>
    <xf numFmtId="164" fontId="1" fillId="0" borderId="11" xfId="0" applyNumberFormat="1" applyFont="1" applyBorder="1" applyProtection="1"/>
    <xf numFmtId="164" fontId="1" fillId="0" borderId="12" xfId="0" applyNumberFormat="1" applyFont="1" applyBorder="1" applyProtection="1"/>
    <xf numFmtId="164" fontId="1" fillId="0" borderId="58" xfId="0" applyNumberFormat="1" applyFont="1" applyBorder="1" applyProtection="1"/>
    <xf numFmtId="164" fontId="7" fillId="0" borderId="18" xfId="0" applyNumberFormat="1" applyFont="1" applyBorder="1" applyProtection="1">
      <protection locked="0"/>
    </xf>
    <xf numFmtId="164" fontId="1" fillId="0" borderId="25" xfId="0" applyNumberFormat="1" applyFont="1" applyBorder="1" applyProtection="1"/>
    <xf numFmtId="164" fontId="44" fillId="0" borderId="13" xfId="0" applyNumberFormat="1" applyFont="1" applyBorder="1" applyProtection="1"/>
    <xf numFmtId="164" fontId="52" fillId="0" borderId="25" xfId="0" applyNumberFormat="1" applyFont="1" applyFill="1" applyBorder="1" applyProtection="1">
      <protection locked="0"/>
    </xf>
    <xf numFmtId="164" fontId="44" fillId="21" borderId="25" xfId="0" applyNumberFormat="1" applyFont="1" applyFill="1" applyBorder="1" applyProtection="1"/>
    <xf numFmtId="164" fontId="1" fillId="21" borderId="25" xfId="0" applyNumberFormat="1" applyFont="1" applyFill="1" applyBorder="1" applyProtection="1">
      <protection locked="0"/>
    </xf>
    <xf numFmtId="164" fontId="44" fillId="0" borderId="25" xfId="0" applyNumberFormat="1" applyFont="1" applyBorder="1" applyProtection="1"/>
    <xf numFmtId="164" fontId="1" fillId="0" borderId="59" xfId="30" applyNumberFormat="1" applyFont="1" applyFill="1" applyBorder="1" applyProtection="1"/>
    <xf numFmtId="164" fontId="1" fillId="0" borderId="25" xfId="30" applyNumberFormat="1" applyFont="1" applyFill="1" applyBorder="1" applyProtection="1"/>
    <xf numFmtId="164" fontId="44" fillId="0" borderId="25" xfId="0" applyNumberFormat="1" applyFont="1" applyFill="1" applyBorder="1" applyProtection="1"/>
    <xf numFmtId="164" fontId="1" fillId="0" borderId="30" xfId="30" applyNumberFormat="1" applyFont="1" applyFill="1" applyBorder="1" applyProtection="1"/>
    <xf numFmtId="164" fontId="44" fillId="21" borderId="18" xfId="0" applyNumberFormat="1" applyFont="1" applyFill="1" applyBorder="1" applyProtection="1"/>
    <xf numFmtId="164" fontId="44" fillId="21" borderId="0" xfId="0" applyNumberFormat="1" applyFont="1" applyFill="1" applyBorder="1" applyProtection="1"/>
    <xf numFmtId="164" fontId="7" fillId="22" borderId="18" xfId="0" applyNumberFormat="1" applyFont="1" applyFill="1" applyBorder="1" applyProtection="1"/>
    <xf numFmtId="164" fontId="7" fillId="22" borderId="13" xfId="0" applyNumberFormat="1" applyFont="1" applyFill="1" applyBorder="1" applyProtection="1"/>
    <xf numFmtId="164" fontId="7" fillId="0" borderId="18" xfId="0" applyNumberFormat="1" applyFont="1" applyBorder="1" applyProtection="1"/>
    <xf numFmtId="164" fontId="7" fillId="0" borderId="13" xfId="0" applyNumberFormat="1" applyFont="1" applyBorder="1" applyProtection="1"/>
    <xf numFmtId="164" fontId="44" fillId="21" borderId="15" xfId="0" applyNumberFormat="1" applyFont="1" applyFill="1" applyBorder="1" applyProtection="1"/>
    <xf numFmtId="164" fontId="7" fillId="22" borderId="46" xfId="0" applyNumberFormat="1" applyFont="1" applyFill="1" applyBorder="1" applyProtection="1"/>
    <xf numFmtId="164" fontId="5" fillId="21" borderId="40" xfId="0" applyNumberFormat="1" applyFont="1" applyFill="1" applyBorder="1" applyProtection="1"/>
    <xf numFmtId="164" fontId="5" fillId="0" borderId="60" xfId="0" applyNumberFormat="1" applyFont="1" applyFill="1" applyBorder="1" applyProtection="1"/>
    <xf numFmtId="164" fontId="5" fillId="0" borderId="41" xfId="0" applyNumberFormat="1" applyFont="1" applyFill="1" applyBorder="1" applyProtection="1"/>
    <xf numFmtId="164" fontId="5" fillId="0" borderId="27" xfId="30" applyNumberFormat="1" applyFont="1" applyFill="1" applyBorder="1" applyProtection="1"/>
    <xf numFmtId="175" fontId="44" fillId="21" borderId="0" xfId="0" applyNumberFormat="1" applyFont="1" applyFill="1" applyBorder="1" applyProtection="1"/>
    <xf numFmtId="0" fontId="11" fillId="0" borderId="0" xfId="0" applyFont="1" applyFill="1" applyBorder="1" applyProtection="1"/>
    <xf numFmtId="0" fontId="57" fillId="0" borderId="0" xfId="0" applyNumberFormat="1" applyFont="1"/>
    <xf numFmtId="164" fontId="5" fillId="21" borderId="53" xfId="0" applyNumberFormat="1" applyFont="1" applyFill="1" applyBorder="1" applyProtection="1">
      <protection locked="0"/>
    </xf>
    <xf numFmtId="164" fontId="5" fillId="22" borderId="18" xfId="30" applyNumberFormat="1" applyFont="1" applyFill="1" applyBorder="1" applyProtection="1"/>
    <xf numFmtId="0" fontId="2" fillId="0" borderId="0" xfId="0" applyFont="1" applyFill="1" applyProtection="1">
      <protection locked="0"/>
    </xf>
    <xf numFmtId="0" fontId="2" fillId="0" borderId="0" xfId="0" applyFont="1" applyProtection="1">
      <protection locked="0"/>
    </xf>
    <xf numFmtId="0" fontId="1" fillId="0" borderId="0" xfId="0" applyFont="1" applyFill="1" applyBorder="1" applyAlignment="1">
      <alignment wrapText="1"/>
    </xf>
    <xf numFmtId="0" fontId="1" fillId="0" borderId="38" xfId="0" applyFont="1" applyFill="1" applyBorder="1" applyProtection="1"/>
    <xf numFmtId="164" fontId="5" fillId="0" borderId="53" xfId="0" applyNumberFormat="1" applyFont="1" applyFill="1" applyBorder="1" applyProtection="1"/>
    <xf numFmtId="4" fontId="48" fillId="18" borderId="0" xfId="45" applyNumberFormat="1" applyFont="1" applyFill="1" applyBorder="1"/>
    <xf numFmtId="0" fontId="1" fillId="0" borderId="37" xfId="0" applyFont="1" applyBorder="1" applyProtection="1"/>
    <xf numFmtId="164" fontId="44" fillId="0" borderId="18" xfId="0" applyNumberFormat="1" applyFont="1" applyBorder="1" applyProtection="1"/>
    <xf numFmtId="0" fontId="8" fillId="25" borderId="61" xfId="0" applyFont="1" applyFill="1" applyBorder="1" applyAlignment="1" applyProtection="1">
      <alignment horizontal="left" vertical="top"/>
    </xf>
    <xf numFmtId="0" fontId="8" fillId="25" borderId="47" xfId="0" applyFont="1" applyFill="1" applyBorder="1" applyAlignment="1" applyProtection="1">
      <alignment horizontal="left" vertical="top"/>
    </xf>
    <xf numFmtId="0" fontId="8" fillId="25" borderId="62" xfId="0" applyFont="1" applyFill="1" applyBorder="1" applyAlignment="1" applyProtection="1">
      <alignment horizontal="left" vertical="top"/>
    </xf>
    <xf numFmtId="0" fontId="8" fillId="26" borderId="47" xfId="0" applyFont="1" applyFill="1" applyBorder="1" applyAlignment="1" applyProtection="1">
      <alignment horizontal="left" vertical="top"/>
    </xf>
    <xf numFmtId="0" fontId="58" fillId="26" borderId="47" xfId="0" applyFont="1" applyFill="1" applyBorder="1" applyAlignment="1" applyProtection="1">
      <alignment horizontal="left" vertical="top"/>
    </xf>
    <xf numFmtId="0" fontId="5" fillId="27" borderId="0" xfId="0" applyFont="1" applyFill="1" applyBorder="1" applyProtection="1"/>
    <xf numFmtId="17" fontId="1" fillId="27" borderId="38" xfId="0" applyNumberFormat="1" applyFont="1" applyFill="1" applyBorder="1" applyProtection="1"/>
    <xf numFmtId="175" fontId="44" fillId="21" borderId="38" xfId="0" applyNumberFormat="1" applyFont="1" applyFill="1" applyBorder="1" applyProtection="1"/>
    <xf numFmtId="169" fontId="59" fillId="0" borderId="19" xfId="0" applyNumberFormat="1" applyFont="1" applyFill="1" applyBorder="1" applyProtection="1"/>
    <xf numFmtId="175" fontId="44" fillId="22" borderId="15" xfId="0" applyNumberFormat="1" applyFont="1" applyFill="1" applyBorder="1" applyProtection="1"/>
    <xf numFmtId="175" fontId="1" fillId="22" borderId="31" xfId="30" applyNumberFormat="1" applyFont="1" applyFill="1" applyBorder="1" applyProtection="1"/>
    <xf numFmtId="164" fontId="5" fillId="0" borderId="15" xfId="0" applyNumberFormat="1" applyFont="1" applyFill="1" applyBorder="1" applyProtection="1"/>
    <xf numFmtId="164" fontId="5" fillId="21" borderId="15" xfId="0" applyNumberFormat="1" applyFont="1" applyFill="1" applyBorder="1" applyProtection="1">
      <protection locked="0"/>
    </xf>
    <xf numFmtId="164" fontId="5" fillId="0" borderId="46" xfId="0" applyNumberFormat="1" applyFont="1" applyFill="1" applyBorder="1" applyProtection="1"/>
    <xf numFmtId="0" fontId="45" fillId="0" borderId="44" xfId="0" applyFont="1" applyFill="1" applyBorder="1" applyProtection="1"/>
    <xf numFmtId="0" fontId="45" fillId="0" borderId="38" xfId="0" applyFont="1" applyFill="1" applyBorder="1" applyProtection="1"/>
    <xf numFmtId="175" fontId="44" fillId="0" borderId="38" xfId="0" applyNumberFormat="1" applyFont="1" applyFill="1" applyBorder="1" applyProtection="1"/>
    <xf numFmtId="0" fontId="5" fillId="21" borderId="38" xfId="0" applyFont="1" applyFill="1" applyBorder="1" applyProtection="1"/>
    <xf numFmtId="169" fontId="9" fillId="24" borderId="32" xfId="0" applyNumberFormat="1" applyFont="1" applyFill="1" applyBorder="1" applyProtection="1"/>
    <xf numFmtId="169" fontId="9" fillId="24" borderId="33" xfId="0" applyNumberFormat="1" applyFont="1" applyFill="1" applyBorder="1" applyProtection="1"/>
    <xf numFmtId="169" fontId="60" fillId="24" borderId="63" xfId="0" applyNumberFormat="1" applyFont="1" applyFill="1" applyBorder="1" applyProtection="1">
      <protection locked="0"/>
    </xf>
    <xf numFmtId="10" fontId="3" fillId="24" borderId="34" xfId="48" applyNumberFormat="1" applyFont="1" applyFill="1" applyBorder="1"/>
    <xf numFmtId="10" fontId="3" fillId="24" borderId="35" xfId="48" applyNumberFormat="1" applyFont="1" applyFill="1" applyBorder="1"/>
    <xf numFmtId="176" fontId="0" fillId="0" borderId="34" xfId="28" applyNumberFormat="1" applyFont="1" applyBorder="1"/>
    <xf numFmtId="4" fontId="1" fillId="24" borderId="0" xfId="45" applyNumberFormat="1" applyFill="1"/>
    <xf numFmtId="4" fontId="1" fillId="28" borderId="0" xfId="45" applyNumberFormat="1" applyFill="1"/>
    <xf numFmtId="169" fontId="3" fillId="24" borderId="34" xfId="48" applyNumberFormat="1" applyFont="1" applyFill="1" applyBorder="1"/>
    <xf numFmtId="169" fontId="3" fillId="24" borderId="35" xfId="48" applyNumberFormat="1" applyFont="1" applyFill="1" applyBorder="1"/>
    <xf numFmtId="169" fontId="7" fillId="18" borderId="0" xfId="45" applyNumberFormat="1" applyFont="1" applyFill="1"/>
  </cellXfs>
  <cellStyles count="5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0 - Style1" xfId="29"/>
    <cellStyle name="Currency" xfId="30" builtinId="4"/>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40"/>
    <cellStyle name="Normal 2 2" xfId="41"/>
    <cellStyle name="Normal 2 3" xfId="42"/>
    <cellStyle name="Normal 3" xfId="43"/>
    <cellStyle name="Normal_FORM_OSR_PostpayGFE_revisedJan09" xfId="44"/>
    <cellStyle name="Normal_UGC Amortization Schedule" xfId="45"/>
    <cellStyle name="Note 2" xfId="46"/>
    <cellStyle name="Output 2" xfId="47"/>
    <cellStyle name="Percent" xfId="48" builtinId="5"/>
    <cellStyle name="Percent 2" xfId="49"/>
    <cellStyle name="Title 2" xfId="50"/>
    <cellStyle name="Total 2" xfId="51"/>
    <cellStyle name="Warning Text 2" xfId="52"/>
  </cellStyles>
  <dxfs count="1">
    <dxf>
      <font>
        <color rgb="FF3333FF"/>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mdata\oilsandsoperations\ODD\OSD\BO\OS%20Royalty\Royalty%20Submissions\2011\04%20April\OSR\0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pdt02\shrdata\ODD\OSD\BO\OS%20Royalty\Royalty%20Forms%20Eff%202009\OSR045%20GFE%202009%20Syncrude\Syncrude%20OSR045%20Example(Propo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E"/>
      <sheetName val="UGC"/>
      <sheetName val="Calculated Fields"/>
      <sheetName val="Form Revision History"/>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oyGFESum"/>
      <sheetName val="Sch_B_UGC"/>
      <sheetName val="UGC"/>
    </sheetNames>
    <sheetDataSet>
      <sheetData sheetId="0"/>
      <sheetData sheetId="1"/>
      <sheetData sheetId="2">
        <row r="1">
          <cell r="M1" t="str">
            <v>Y</v>
          </cell>
        </row>
        <row r="2">
          <cell r="M2" t="str">
            <v>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P136"/>
  <sheetViews>
    <sheetView tabSelected="1" zoomScale="70" zoomScaleNormal="70" workbookViewId="0"/>
  </sheetViews>
  <sheetFormatPr defaultColWidth="9.6640625" defaultRowHeight="15"/>
  <cols>
    <col min="1" max="1" width="40" style="36" customWidth="1"/>
    <col min="2" max="2" width="12.109375" style="36" customWidth="1"/>
    <col min="3" max="3" width="10.33203125" style="36" customWidth="1"/>
    <col min="4" max="4" width="14.33203125" style="36" customWidth="1"/>
    <col min="5" max="15" width="12.5546875" style="36" customWidth="1"/>
    <col min="16" max="16" width="20.21875" style="36" customWidth="1"/>
    <col min="17" max="16384" width="9.6640625" style="36"/>
  </cols>
  <sheetData>
    <row r="1" spans="1:16" s="66" customFormat="1" ht="39.75" customHeight="1" thickTop="1" thickBot="1">
      <c r="A1" s="284"/>
      <c r="B1" s="285" t="s">
        <v>107</v>
      </c>
      <c r="C1" s="285"/>
      <c r="D1" s="285"/>
      <c r="E1" s="285"/>
      <c r="F1" s="285"/>
      <c r="G1" s="285"/>
      <c r="H1" s="285"/>
      <c r="I1" s="288" t="s">
        <v>147</v>
      </c>
      <c r="J1" s="287"/>
      <c r="K1" s="285"/>
      <c r="L1" s="285"/>
      <c r="M1" s="285"/>
      <c r="N1" s="285"/>
      <c r="O1" s="285"/>
      <c r="P1" s="286" t="s">
        <v>106</v>
      </c>
    </row>
    <row r="2" spans="1:16" ht="19.5" thickTop="1">
      <c r="A2" s="67" t="s">
        <v>90</v>
      </c>
      <c r="B2" s="202" t="s">
        <v>214</v>
      </c>
      <c r="C2" s="68"/>
      <c r="D2" s="35" t="s">
        <v>124</v>
      </c>
      <c r="E2" s="204" t="s">
        <v>246</v>
      </c>
      <c r="G2" s="37"/>
      <c r="H2" s="37"/>
      <c r="J2" s="37"/>
      <c r="K2" s="37"/>
      <c r="L2" s="37"/>
      <c r="M2" s="37"/>
      <c r="N2" s="37"/>
      <c r="O2" s="289" t="s">
        <v>275</v>
      </c>
      <c r="P2" s="290"/>
    </row>
    <row r="3" spans="1:16" ht="15.75">
      <c r="A3" s="69" t="s">
        <v>91</v>
      </c>
      <c r="B3" s="133" t="s">
        <v>125</v>
      </c>
      <c r="C3" s="70"/>
      <c r="D3" s="35"/>
      <c r="E3" s="37"/>
      <c r="F3" s="71"/>
      <c r="G3" s="37"/>
      <c r="H3" s="37"/>
      <c r="I3" s="37"/>
      <c r="J3" s="37"/>
      <c r="K3" s="37"/>
      <c r="L3" s="37"/>
      <c r="M3" s="37"/>
      <c r="N3" s="37"/>
      <c r="O3" s="63" t="s">
        <v>117</v>
      </c>
      <c r="P3" s="200" t="str">
        <f>ADMIN!B2</f>
        <v>OSR045_GFE_2016</v>
      </c>
    </row>
    <row r="4" spans="1:16" ht="16.5" thickBot="1">
      <c r="A4" s="72" t="s">
        <v>115</v>
      </c>
      <c r="B4" s="203" t="s">
        <v>215</v>
      </c>
      <c r="C4" s="73"/>
      <c r="D4" s="14" t="s">
        <v>116</v>
      </c>
      <c r="E4" s="205" t="s">
        <v>216</v>
      </c>
      <c r="F4" s="37"/>
      <c r="G4" s="37"/>
      <c r="H4" s="37"/>
      <c r="I4" s="37"/>
      <c r="J4" s="37"/>
      <c r="K4" s="37"/>
      <c r="L4" s="37"/>
      <c r="M4" s="74"/>
      <c r="N4" s="64"/>
      <c r="O4" s="74" t="s">
        <v>213</v>
      </c>
      <c r="P4" s="200">
        <f>ADMIN!B3</f>
        <v>1</v>
      </c>
    </row>
    <row r="5" spans="1:16" ht="15.75" thickTop="1">
      <c r="A5" s="57" t="s">
        <v>113</v>
      </c>
      <c r="B5" s="3"/>
      <c r="C5" s="3"/>
      <c r="D5" s="8" t="s">
        <v>0</v>
      </c>
      <c r="E5" s="9" t="s">
        <v>1</v>
      </c>
      <c r="F5" s="9" t="s">
        <v>2</v>
      </c>
      <c r="G5" s="9" t="s">
        <v>3</v>
      </c>
      <c r="H5" s="9" t="s">
        <v>4</v>
      </c>
      <c r="I5" s="9" t="s">
        <v>5</v>
      </c>
      <c r="J5" s="9" t="s">
        <v>6</v>
      </c>
      <c r="K5" s="9" t="s">
        <v>7</v>
      </c>
      <c r="L5" s="9" t="s">
        <v>8</v>
      </c>
      <c r="M5" s="9" t="s">
        <v>9</v>
      </c>
      <c r="N5" s="9" t="s">
        <v>10</v>
      </c>
      <c r="O5" s="9" t="s">
        <v>11</v>
      </c>
      <c r="P5" s="10" t="s">
        <v>12</v>
      </c>
    </row>
    <row r="6" spans="1:16" ht="15.75" thickBot="1">
      <c r="A6" s="58" t="s">
        <v>31</v>
      </c>
      <c r="B6" s="38"/>
      <c r="C6" s="38"/>
      <c r="D6" s="33" t="s">
        <v>13</v>
      </c>
      <c r="E6" s="34" t="str">
        <f>IF(MONTH($E$2)&lt;2,"(Est)","(Act)")</f>
        <v>(Est)</v>
      </c>
      <c r="F6" s="34" t="str">
        <f>IF(MONTH($E$2)&lt;3,"(Est)","(Act)")</f>
        <v>(Est)</v>
      </c>
      <c r="G6" s="34" t="str">
        <f>IF(MONTH($E$2)&lt;4,"(Est)","(Act)")</f>
        <v>(Est)</v>
      </c>
      <c r="H6" s="34" t="str">
        <f>IF(MONTH($E$2)&lt;5,"(Est)","(Act)")</f>
        <v>(Est)</v>
      </c>
      <c r="I6" s="34" t="str">
        <f>IF(MONTH($E$2)&lt;6,"(Est)","(Act)")</f>
        <v>(Est)</v>
      </c>
      <c r="J6" s="34" t="str">
        <f>IF(MONTH($E$2)&lt;7,"(Est)","(Act)")</f>
        <v>(Est)</v>
      </c>
      <c r="K6" s="34" t="str">
        <f>IF(MONTH($E$2)&lt;8,"(Est)","(Act)")</f>
        <v>(Est)</v>
      </c>
      <c r="L6" s="34" t="str">
        <f>IF(MONTH($E$2)&lt;9,"(Est)","(Act)")</f>
        <v>(Est)</v>
      </c>
      <c r="M6" s="34" t="str">
        <f>IF(MONTH($E$2)&lt;10,"(Est)","(Act)")</f>
        <v>(Est)</v>
      </c>
      <c r="N6" s="34" t="str">
        <f>IF(MONTH($E$2)&lt;11,"(Est)","(Act)")</f>
        <v>(Est)</v>
      </c>
      <c r="O6" s="34" t="str">
        <f>IF(MONTH($E$2)&lt;12,"(Est)","(Act)")</f>
        <v>(Est)</v>
      </c>
      <c r="P6" s="201"/>
    </row>
    <row r="7" spans="1:16" ht="15.75" thickTop="1">
      <c r="A7" s="12" t="s">
        <v>15</v>
      </c>
      <c r="B7" s="3"/>
      <c r="C7" s="3"/>
      <c r="D7" s="173"/>
      <c r="E7" s="173"/>
      <c r="F7" s="173"/>
      <c r="G7" s="173"/>
      <c r="H7" s="173"/>
      <c r="I7" s="173"/>
      <c r="J7" s="173"/>
      <c r="K7" s="173"/>
      <c r="L7" s="173"/>
      <c r="M7" s="173"/>
      <c r="N7" s="173"/>
      <c r="O7" s="174"/>
      <c r="P7" s="4"/>
    </row>
    <row r="8" spans="1:16" s="77" customFormat="1" ht="15.75" thickBot="1">
      <c r="A8" s="75" t="s">
        <v>127</v>
      </c>
      <c r="B8" s="76"/>
      <c r="C8" s="76"/>
      <c r="D8" s="216">
        <v>0</v>
      </c>
      <c r="E8" s="216">
        <v>0</v>
      </c>
      <c r="F8" s="216">
        <v>0</v>
      </c>
      <c r="G8" s="216">
        <v>0</v>
      </c>
      <c r="H8" s="216">
        <v>0</v>
      </c>
      <c r="I8" s="216">
        <v>0</v>
      </c>
      <c r="J8" s="216">
        <v>0</v>
      </c>
      <c r="K8" s="216">
        <v>0</v>
      </c>
      <c r="L8" s="216">
        <v>0</v>
      </c>
      <c r="M8" s="216">
        <v>0</v>
      </c>
      <c r="N8" s="216">
        <v>0</v>
      </c>
      <c r="O8" s="216">
        <v>0</v>
      </c>
      <c r="P8" s="224">
        <f t="shared" ref="P8:P15" si="0">SUM(D8:O8)</f>
        <v>0</v>
      </c>
    </row>
    <row r="9" spans="1:16" s="77" customFormat="1" ht="15.75" thickTop="1">
      <c r="A9" s="13" t="s">
        <v>128</v>
      </c>
      <c r="B9" s="78"/>
      <c r="C9" s="79"/>
      <c r="D9" s="217">
        <v>0</v>
      </c>
      <c r="E9" s="217">
        <v>0</v>
      </c>
      <c r="F9" s="217">
        <v>0</v>
      </c>
      <c r="G9" s="217">
        <v>0</v>
      </c>
      <c r="H9" s="217">
        <v>0</v>
      </c>
      <c r="I9" s="217">
        <v>0</v>
      </c>
      <c r="J9" s="217">
        <v>0</v>
      </c>
      <c r="K9" s="217">
        <v>0</v>
      </c>
      <c r="L9" s="217">
        <v>0</v>
      </c>
      <c r="M9" s="217">
        <v>0</v>
      </c>
      <c r="N9" s="217">
        <v>0</v>
      </c>
      <c r="O9" s="217">
        <v>0</v>
      </c>
      <c r="P9" s="225">
        <f t="shared" si="0"/>
        <v>0</v>
      </c>
    </row>
    <row r="10" spans="1:16" s="77" customFormat="1">
      <c r="A10" s="13" t="s">
        <v>129</v>
      </c>
      <c r="B10" s="78"/>
      <c r="C10" s="79"/>
      <c r="D10" s="218">
        <v>0</v>
      </c>
      <c r="E10" s="218">
        <v>0</v>
      </c>
      <c r="F10" s="218">
        <v>0</v>
      </c>
      <c r="G10" s="218">
        <v>0</v>
      </c>
      <c r="H10" s="218">
        <v>0</v>
      </c>
      <c r="I10" s="218">
        <v>0</v>
      </c>
      <c r="J10" s="218">
        <v>0</v>
      </c>
      <c r="K10" s="218">
        <v>0</v>
      </c>
      <c r="L10" s="218">
        <v>0</v>
      </c>
      <c r="M10" s="218">
        <v>0</v>
      </c>
      <c r="N10" s="218">
        <v>0</v>
      </c>
      <c r="O10" s="218">
        <v>0</v>
      </c>
      <c r="P10" s="226">
        <f t="shared" si="0"/>
        <v>0</v>
      </c>
    </row>
    <row r="11" spans="1:16" s="77" customFormat="1" ht="15.75" thickBot="1">
      <c r="A11" s="75" t="s">
        <v>130</v>
      </c>
      <c r="B11" s="76"/>
      <c r="C11" s="80"/>
      <c r="D11" s="216">
        <v>0</v>
      </c>
      <c r="E11" s="216">
        <v>0</v>
      </c>
      <c r="F11" s="216">
        <v>0</v>
      </c>
      <c r="G11" s="216">
        <v>0</v>
      </c>
      <c r="H11" s="216">
        <v>0</v>
      </c>
      <c r="I11" s="216">
        <v>0</v>
      </c>
      <c r="J11" s="216">
        <v>0</v>
      </c>
      <c r="K11" s="216">
        <v>0</v>
      </c>
      <c r="L11" s="216">
        <v>0</v>
      </c>
      <c r="M11" s="216">
        <v>0</v>
      </c>
      <c r="N11" s="216">
        <v>0</v>
      </c>
      <c r="O11" s="216">
        <v>0</v>
      </c>
      <c r="P11" s="224">
        <f t="shared" si="0"/>
        <v>0</v>
      </c>
    </row>
    <row r="12" spans="1:16" s="84" customFormat="1" ht="15.75" thickTop="1">
      <c r="A12" s="81" t="s">
        <v>131</v>
      </c>
      <c r="B12" s="82"/>
      <c r="C12" s="83"/>
      <c r="D12" s="219">
        <v>0</v>
      </c>
      <c r="E12" s="219">
        <v>0</v>
      </c>
      <c r="F12" s="219">
        <v>0</v>
      </c>
      <c r="G12" s="219">
        <v>0</v>
      </c>
      <c r="H12" s="219">
        <v>0</v>
      </c>
      <c r="I12" s="219">
        <v>0</v>
      </c>
      <c r="J12" s="219">
        <v>0</v>
      </c>
      <c r="K12" s="219">
        <v>0</v>
      </c>
      <c r="L12" s="219">
        <v>0</v>
      </c>
      <c r="M12" s="219">
        <v>0</v>
      </c>
      <c r="N12" s="219">
        <v>0</v>
      </c>
      <c r="O12" s="219">
        <v>0</v>
      </c>
      <c r="P12" s="226">
        <f t="shared" si="0"/>
        <v>0</v>
      </c>
    </row>
    <row r="13" spans="1:16" s="77" customFormat="1">
      <c r="A13" s="81" t="s">
        <v>132</v>
      </c>
      <c r="B13" s="78"/>
      <c r="C13" s="79"/>
      <c r="D13" s="219">
        <v>0</v>
      </c>
      <c r="E13" s="219">
        <v>0</v>
      </c>
      <c r="F13" s="219">
        <v>0</v>
      </c>
      <c r="G13" s="219">
        <v>0</v>
      </c>
      <c r="H13" s="219">
        <v>0</v>
      </c>
      <c r="I13" s="219">
        <v>0</v>
      </c>
      <c r="J13" s="219">
        <v>0</v>
      </c>
      <c r="K13" s="219">
        <v>0</v>
      </c>
      <c r="L13" s="219">
        <v>0</v>
      </c>
      <c r="M13" s="219">
        <v>0</v>
      </c>
      <c r="N13" s="219">
        <v>0</v>
      </c>
      <c r="O13" s="219">
        <v>0</v>
      </c>
      <c r="P13" s="226">
        <f t="shared" si="0"/>
        <v>0</v>
      </c>
    </row>
    <row r="14" spans="1:16" s="77" customFormat="1" ht="15.75" thickBot="1">
      <c r="A14" s="85" t="s">
        <v>32</v>
      </c>
      <c r="B14" s="86"/>
      <c r="C14" s="80"/>
      <c r="D14" s="220">
        <v>0</v>
      </c>
      <c r="E14" s="220">
        <v>0</v>
      </c>
      <c r="F14" s="220">
        <v>0</v>
      </c>
      <c r="G14" s="220">
        <v>0</v>
      </c>
      <c r="H14" s="220">
        <v>0</v>
      </c>
      <c r="I14" s="220">
        <v>0</v>
      </c>
      <c r="J14" s="220">
        <v>0</v>
      </c>
      <c r="K14" s="220">
        <v>0</v>
      </c>
      <c r="L14" s="220">
        <v>0</v>
      </c>
      <c r="M14" s="220">
        <v>0</v>
      </c>
      <c r="N14" s="220">
        <v>0</v>
      </c>
      <c r="O14" s="220">
        <v>0</v>
      </c>
      <c r="P14" s="227">
        <f t="shared" si="0"/>
        <v>0</v>
      </c>
    </row>
    <row r="15" spans="1:16" s="77" customFormat="1" ht="15.75" thickTop="1">
      <c r="A15" s="81" t="s">
        <v>33</v>
      </c>
      <c r="B15" s="87"/>
      <c r="C15" s="78"/>
      <c r="D15" s="221">
        <v>0</v>
      </c>
      <c r="E15" s="221">
        <v>0</v>
      </c>
      <c r="F15" s="221">
        <v>0</v>
      </c>
      <c r="G15" s="221">
        <v>0</v>
      </c>
      <c r="H15" s="221">
        <v>0</v>
      </c>
      <c r="I15" s="221">
        <v>0</v>
      </c>
      <c r="J15" s="221">
        <v>0</v>
      </c>
      <c r="K15" s="221">
        <v>0</v>
      </c>
      <c r="L15" s="221">
        <v>0</v>
      </c>
      <c r="M15" s="221">
        <v>0</v>
      </c>
      <c r="N15" s="221">
        <v>0</v>
      </c>
      <c r="O15" s="221">
        <v>0</v>
      </c>
      <c r="P15" s="228">
        <f t="shared" si="0"/>
        <v>0</v>
      </c>
    </row>
    <row r="16" spans="1:16" s="77" customFormat="1">
      <c r="A16" s="81" t="s">
        <v>120</v>
      </c>
      <c r="B16" s="87"/>
      <c r="C16" s="78"/>
      <c r="D16" s="221">
        <v>0</v>
      </c>
      <c r="E16" s="221">
        <v>0</v>
      </c>
      <c r="F16" s="221">
        <v>0</v>
      </c>
      <c r="G16" s="221">
        <v>0</v>
      </c>
      <c r="H16" s="221">
        <v>0</v>
      </c>
      <c r="I16" s="221">
        <v>0</v>
      </c>
      <c r="J16" s="221">
        <v>0</v>
      </c>
      <c r="K16" s="221">
        <v>0</v>
      </c>
      <c r="L16" s="221">
        <v>0</v>
      </c>
      <c r="M16" s="221">
        <v>0</v>
      </c>
      <c r="N16" s="221">
        <v>0</v>
      </c>
      <c r="O16" s="221">
        <v>0</v>
      </c>
      <c r="P16" s="228">
        <f>SUM(D16:O16)</f>
        <v>0</v>
      </c>
    </row>
    <row r="17" spans="1:16" s="77" customFormat="1" ht="15.75" thickBot="1">
      <c r="A17" s="85" t="s">
        <v>34</v>
      </c>
      <c r="B17" s="86"/>
      <c r="C17" s="76"/>
      <c r="D17" s="222">
        <v>0</v>
      </c>
      <c r="E17" s="222">
        <v>0</v>
      </c>
      <c r="F17" s="222">
        <v>0</v>
      </c>
      <c r="G17" s="222">
        <v>0</v>
      </c>
      <c r="H17" s="222">
        <v>0</v>
      </c>
      <c r="I17" s="222">
        <v>0</v>
      </c>
      <c r="J17" s="222">
        <v>0</v>
      </c>
      <c r="K17" s="222">
        <v>0</v>
      </c>
      <c r="L17" s="222">
        <v>0</v>
      </c>
      <c r="M17" s="222">
        <v>0</v>
      </c>
      <c r="N17" s="222">
        <v>0</v>
      </c>
      <c r="O17" s="222">
        <v>0</v>
      </c>
      <c r="P17" s="229">
        <f>SUM(D17:O17)</f>
        <v>0</v>
      </c>
    </row>
    <row r="18" spans="1:16" s="77" customFormat="1" ht="15.75" thickTop="1">
      <c r="A18" s="81" t="s">
        <v>109</v>
      </c>
      <c r="B18" s="87"/>
      <c r="C18" s="78"/>
      <c r="D18" s="221">
        <v>0</v>
      </c>
      <c r="E18" s="221">
        <v>0</v>
      </c>
      <c r="F18" s="221">
        <v>0</v>
      </c>
      <c r="G18" s="221">
        <v>0</v>
      </c>
      <c r="H18" s="221">
        <v>0</v>
      </c>
      <c r="I18" s="221">
        <v>0</v>
      </c>
      <c r="J18" s="221">
        <v>0</v>
      </c>
      <c r="K18" s="221">
        <v>0</v>
      </c>
      <c r="L18" s="221">
        <v>0</v>
      </c>
      <c r="M18" s="221">
        <v>0</v>
      </c>
      <c r="N18" s="221">
        <v>0</v>
      </c>
      <c r="O18" s="221">
        <v>0</v>
      </c>
      <c r="P18" s="228">
        <f>SUM(D18:O18)</f>
        <v>0</v>
      </c>
    </row>
    <row r="19" spans="1:16" s="77" customFormat="1">
      <c r="A19" s="81" t="s">
        <v>121</v>
      </c>
      <c r="B19" s="87"/>
      <c r="C19" s="78"/>
      <c r="D19" s="221">
        <v>0</v>
      </c>
      <c r="E19" s="221">
        <v>0</v>
      </c>
      <c r="F19" s="221">
        <v>0</v>
      </c>
      <c r="G19" s="221">
        <v>0</v>
      </c>
      <c r="H19" s="221">
        <v>0</v>
      </c>
      <c r="I19" s="221">
        <v>0</v>
      </c>
      <c r="J19" s="221">
        <v>0</v>
      </c>
      <c r="K19" s="221">
        <v>0</v>
      </c>
      <c r="L19" s="221">
        <v>0</v>
      </c>
      <c r="M19" s="221">
        <v>0</v>
      </c>
      <c r="N19" s="221">
        <v>0</v>
      </c>
      <c r="O19" s="221">
        <v>0</v>
      </c>
      <c r="P19" s="228">
        <f>SUM(D19:O19)</f>
        <v>0</v>
      </c>
    </row>
    <row r="20" spans="1:16" s="77" customFormat="1" ht="15.75" thickBot="1">
      <c r="A20" s="85" t="s">
        <v>110</v>
      </c>
      <c r="B20" s="86"/>
      <c r="C20" s="88"/>
      <c r="D20" s="222">
        <v>0</v>
      </c>
      <c r="E20" s="222">
        <v>0</v>
      </c>
      <c r="F20" s="222">
        <v>0</v>
      </c>
      <c r="G20" s="222">
        <v>0</v>
      </c>
      <c r="H20" s="222">
        <v>0</v>
      </c>
      <c r="I20" s="222">
        <v>0</v>
      </c>
      <c r="J20" s="222">
        <v>0</v>
      </c>
      <c r="K20" s="222">
        <v>0</v>
      </c>
      <c r="L20" s="222">
        <v>0</v>
      </c>
      <c r="M20" s="222">
        <v>0</v>
      </c>
      <c r="N20" s="222">
        <v>0</v>
      </c>
      <c r="O20" s="222">
        <v>0</v>
      </c>
      <c r="P20" s="229">
        <f>SUM(D20:O20)</f>
        <v>0</v>
      </c>
    </row>
    <row r="21" spans="1:16" s="77" customFormat="1" ht="15.75" thickTop="1">
      <c r="A21" s="12" t="s">
        <v>83</v>
      </c>
      <c r="B21" s="87"/>
      <c r="C21" s="89"/>
      <c r="D21" s="206"/>
      <c r="E21" s="206"/>
      <c r="F21" s="206"/>
      <c r="G21" s="206"/>
      <c r="H21" s="206"/>
      <c r="I21" s="206"/>
      <c r="J21" s="206"/>
      <c r="K21" s="206"/>
      <c r="L21" s="206"/>
      <c r="M21" s="206"/>
      <c r="N21" s="206"/>
      <c r="O21" s="207"/>
      <c r="P21" s="40"/>
    </row>
    <row r="22" spans="1:16" s="77" customFormat="1">
      <c r="A22" s="90" t="s">
        <v>133</v>
      </c>
      <c r="B22" s="87"/>
      <c r="C22" s="89"/>
      <c r="D22" s="219">
        <v>0</v>
      </c>
      <c r="E22" s="219">
        <v>0</v>
      </c>
      <c r="F22" s="219">
        <v>0</v>
      </c>
      <c r="G22" s="219">
        <v>0</v>
      </c>
      <c r="H22" s="219">
        <v>0</v>
      </c>
      <c r="I22" s="219">
        <v>0</v>
      </c>
      <c r="J22" s="219">
        <v>0</v>
      </c>
      <c r="K22" s="219">
        <v>0</v>
      </c>
      <c r="L22" s="219">
        <v>0</v>
      </c>
      <c r="M22" s="219">
        <v>0</v>
      </c>
      <c r="N22" s="219">
        <v>0</v>
      </c>
      <c r="O22" s="223">
        <v>0</v>
      </c>
      <c r="P22" s="230">
        <f t="shared" ref="P22:P32" si="1">SUM(D22:O22)</f>
        <v>0</v>
      </c>
    </row>
    <row r="23" spans="1:16" s="77" customFormat="1">
      <c r="A23" s="81" t="s">
        <v>134</v>
      </c>
      <c r="B23" s="87"/>
      <c r="C23" s="89"/>
      <c r="D23" s="219">
        <v>0</v>
      </c>
      <c r="E23" s="219">
        <v>0</v>
      </c>
      <c r="F23" s="219">
        <v>0</v>
      </c>
      <c r="G23" s="219">
        <v>0</v>
      </c>
      <c r="H23" s="219">
        <v>0</v>
      </c>
      <c r="I23" s="219">
        <v>0</v>
      </c>
      <c r="J23" s="219">
        <v>0</v>
      </c>
      <c r="K23" s="219">
        <v>0</v>
      </c>
      <c r="L23" s="219">
        <v>0</v>
      </c>
      <c r="M23" s="219">
        <v>0</v>
      </c>
      <c r="N23" s="219">
        <v>0</v>
      </c>
      <c r="O23" s="223">
        <v>0</v>
      </c>
      <c r="P23" s="230">
        <f t="shared" si="1"/>
        <v>0</v>
      </c>
    </row>
    <row r="24" spans="1:16" s="77" customFormat="1">
      <c r="A24" s="81" t="s">
        <v>84</v>
      </c>
      <c r="B24" s="87"/>
      <c r="C24" s="89"/>
      <c r="D24" s="219">
        <v>0</v>
      </c>
      <c r="E24" s="219">
        <v>0</v>
      </c>
      <c r="F24" s="219">
        <v>0</v>
      </c>
      <c r="G24" s="219">
        <v>0</v>
      </c>
      <c r="H24" s="219">
        <v>0</v>
      </c>
      <c r="I24" s="219">
        <v>0</v>
      </c>
      <c r="J24" s="219">
        <v>0</v>
      </c>
      <c r="K24" s="219">
        <v>0</v>
      </c>
      <c r="L24" s="219">
        <v>0</v>
      </c>
      <c r="M24" s="219">
        <v>0</v>
      </c>
      <c r="N24" s="219">
        <v>0</v>
      </c>
      <c r="O24" s="223">
        <v>0</v>
      </c>
      <c r="P24" s="230">
        <f t="shared" si="1"/>
        <v>0</v>
      </c>
    </row>
    <row r="25" spans="1:16" s="77" customFormat="1">
      <c r="A25" s="81" t="s">
        <v>85</v>
      </c>
      <c r="B25" s="87"/>
      <c r="C25" s="89"/>
      <c r="D25" s="221">
        <v>0</v>
      </c>
      <c r="E25" s="221">
        <v>0</v>
      </c>
      <c r="F25" s="221">
        <v>0</v>
      </c>
      <c r="G25" s="221">
        <v>0</v>
      </c>
      <c r="H25" s="221">
        <v>0</v>
      </c>
      <c r="I25" s="221">
        <v>0</v>
      </c>
      <c r="J25" s="221">
        <v>0</v>
      </c>
      <c r="K25" s="221">
        <v>0</v>
      </c>
      <c r="L25" s="221">
        <v>0</v>
      </c>
      <c r="M25" s="221">
        <v>0</v>
      </c>
      <c r="N25" s="221">
        <v>0</v>
      </c>
      <c r="O25" s="221">
        <v>0</v>
      </c>
      <c r="P25" s="228">
        <f t="shared" si="1"/>
        <v>0</v>
      </c>
    </row>
    <row r="26" spans="1:16" s="77" customFormat="1">
      <c r="A26" s="81" t="s">
        <v>122</v>
      </c>
      <c r="B26" s="87"/>
      <c r="C26" s="89"/>
      <c r="D26" s="221">
        <v>0</v>
      </c>
      <c r="E26" s="221">
        <v>0</v>
      </c>
      <c r="F26" s="221">
        <v>0</v>
      </c>
      <c r="G26" s="221">
        <v>0</v>
      </c>
      <c r="H26" s="221">
        <v>0</v>
      </c>
      <c r="I26" s="221">
        <v>0</v>
      </c>
      <c r="J26" s="221">
        <v>0</v>
      </c>
      <c r="K26" s="221">
        <v>0</v>
      </c>
      <c r="L26" s="221">
        <v>0</v>
      </c>
      <c r="M26" s="221">
        <v>0</v>
      </c>
      <c r="N26" s="221">
        <v>0</v>
      </c>
      <c r="O26" s="221">
        <v>0</v>
      </c>
      <c r="P26" s="228">
        <f t="shared" si="1"/>
        <v>0</v>
      </c>
    </row>
    <row r="27" spans="1:16" s="77" customFormat="1">
      <c r="A27" s="81" t="s">
        <v>86</v>
      </c>
      <c r="B27" s="87"/>
      <c r="C27" s="89"/>
      <c r="D27" s="221">
        <v>0</v>
      </c>
      <c r="E27" s="221">
        <v>0</v>
      </c>
      <c r="F27" s="221">
        <v>0</v>
      </c>
      <c r="G27" s="221">
        <v>0</v>
      </c>
      <c r="H27" s="221">
        <v>0</v>
      </c>
      <c r="I27" s="221">
        <v>0</v>
      </c>
      <c r="J27" s="221">
        <v>0</v>
      </c>
      <c r="K27" s="221">
        <v>0</v>
      </c>
      <c r="L27" s="221">
        <v>0</v>
      </c>
      <c r="M27" s="221">
        <v>0</v>
      </c>
      <c r="N27" s="221">
        <v>0</v>
      </c>
      <c r="O27" s="221">
        <v>0</v>
      </c>
      <c r="P27" s="228">
        <f t="shared" si="1"/>
        <v>0</v>
      </c>
    </row>
    <row r="28" spans="1:16" s="77" customFormat="1">
      <c r="A28" s="81" t="s">
        <v>111</v>
      </c>
      <c r="B28" s="87"/>
      <c r="C28" s="78"/>
      <c r="D28" s="221">
        <v>0</v>
      </c>
      <c r="E28" s="221">
        <v>0</v>
      </c>
      <c r="F28" s="221">
        <v>0</v>
      </c>
      <c r="G28" s="221">
        <v>0</v>
      </c>
      <c r="H28" s="221">
        <v>0</v>
      </c>
      <c r="I28" s="221">
        <v>0</v>
      </c>
      <c r="J28" s="221">
        <v>0</v>
      </c>
      <c r="K28" s="221">
        <v>0</v>
      </c>
      <c r="L28" s="221">
        <v>0</v>
      </c>
      <c r="M28" s="221">
        <v>0</v>
      </c>
      <c r="N28" s="221">
        <v>0</v>
      </c>
      <c r="O28" s="221">
        <v>0</v>
      </c>
      <c r="P28" s="228">
        <f t="shared" si="1"/>
        <v>0</v>
      </c>
    </row>
    <row r="29" spans="1:16" s="77" customFormat="1">
      <c r="A29" s="81" t="s">
        <v>123</v>
      </c>
      <c r="B29" s="87"/>
      <c r="C29" s="78"/>
      <c r="D29" s="221">
        <v>0</v>
      </c>
      <c r="E29" s="221">
        <v>0</v>
      </c>
      <c r="F29" s="221">
        <v>0</v>
      </c>
      <c r="G29" s="221">
        <v>0</v>
      </c>
      <c r="H29" s="221">
        <v>0</v>
      </c>
      <c r="I29" s="221">
        <v>0</v>
      </c>
      <c r="J29" s="221">
        <v>0</v>
      </c>
      <c r="K29" s="221">
        <v>0</v>
      </c>
      <c r="L29" s="221">
        <v>0</v>
      </c>
      <c r="M29" s="221">
        <v>0</v>
      </c>
      <c r="N29" s="221">
        <v>0</v>
      </c>
      <c r="O29" s="221">
        <v>0</v>
      </c>
      <c r="P29" s="228">
        <f t="shared" si="1"/>
        <v>0</v>
      </c>
    </row>
    <row r="30" spans="1:16" s="77" customFormat="1">
      <c r="A30" s="81" t="s">
        <v>112</v>
      </c>
      <c r="B30" s="87"/>
      <c r="C30" s="78"/>
      <c r="D30" s="221">
        <v>0</v>
      </c>
      <c r="E30" s="221">
        <v>0</v>
      </c>
      <c r="F30" s="221">
        <v>0</v>
      </c>
      <c r="G30" s="221">
        <v>0</v>
      </c>
      <c r="H30" s="221">
        <v>0</v>
      </c>
      <c r="I30" s="221">
        <v>0</v>
      </c>
      <c r="J30" s="221">
        <v>0</v>
      </c>
      <c r="K30" s="221">
        <v>0</v>
      </c>
      <c r="L30" s="221">
        <v>0</v>
      </c>
      <c r="M30" s="221">
        <v>0</v>
      </c>
      <c r="N30" s="221">
        <v>0</v>
      </c>
      <c r="O30" s="221">
        <v>0</v>
      </c>
      <c r="P30" s="228">
        <f t="shared" si="1"/>
        <v>0</v>
      </c>
    </row>
    <row r="31" spans="1:16" s="77" customFormat="1">
      <c r="A31" s="81" t="s">
        <v>135</v>
      </c>
      <c r="B31" s="87"/>
      <c r="C31" s="78"/>
      <c r="D31" s="217">
        <v>0</v>
      </c>
      <c r="E31" s="217">
        <v>0</v>
      </c>
      <c r="F31" s="217">
        <v>0</v>
      </c>
      <c r="G31" s="217">
        <v>0</v>
      </c>
      <c r="H31" s="217">
        <v>0</v>
      </c>
      <c r="I31" s="217">
        <v>0</v>
      </c>
      <c r="J31" s="217">
        <v>0</v>
      </c>
      <c r="K31" s="217">
        <v>0</v>
      </c>
      <c r="L31" s="217">
        <v>0</v>
      </c>
      <c r="M31" s="217">
        <v>0</v>
      </c>
      <c r="N31" s="217">
        <v>0</v>
      </c>
      <c r="O31" s="217">
        <v>0</v>
      </c>
      <c r="P31" s="230">
        <f t="shared" si="1"/>
        <v>0</v>
      </c>
    </row>
    <row r="32" spans="1:16" s="77" customFormat="1" ht="15.75" thickBot="1">
      <c r="A32" s="85" t="s">
        <v>88</v>
      </c>
      <c r="B32" s="86"/>
      <c r="C32" s="88"/>
      <c r="D32" s="222">
        <v>0</v>
      </c>
      <c r="E32" s="222">
        <v>0</v>
      </c>
      <c r="F32" s="222">
        <v>0</v>
      </c>
      <c r="G32" s="222">
        <v>0</v>
      </c>
      <c r="H32" s="222">
        <v>0</v>
      </c>
      <c r="I32" s="222">
        <v>0</v>
      </c>
      <c r="J32" s="222">
        <v>0</v>
      </c>
      <c r="K32" s="222">
        <v>0</v>
      </c>
      <c r="L32" s="222">
        <v>0</v>
      </c>
      <c r="M32" s="222">
        <v>0</v>
      </c>
      <c r="N32" s="222">
        <v>0</v>
      </c>
      <c r="O32" s="222">
        <v>0</v>
      </c>
      <c r="P32" s="229">
        <f t="shared" si="1"/>
        <v>0</v>
      </c>
    </row>
    <row r="33" spans="1:16" s="77" customFormat="1" ht="21.75" customHeight="1" thickTop="1" thickBot="1">
      <c r="A33" s="91" t="s">
        <v>102</v>
      </c>
      <c r="B33" s="86"/>
      <c r="C33" s="76"/>
      <c r="D33" s="231">
        <v>0</v>
      </c>
      <c r="E33" s="231">
        <v>0</v>
      </c>
      <c r="F33" s="231">
        <v>0</v>
      </c>
      <c r="G33" s="231">
        <v>0</v>
      </c>
      <c r="H33" s="231">
        <v>0</v>
      </c>
      <c r="I33" s="231">
        <v>0</v>
      </c>
      <c r="J33" s="231">
        <v>0</v>
      </c>
      <c r="K33" s="231">
        <v>0</v>
      </c>
      <c r="L33" s="231">
        <v>0</v>
      </c>
      <c r="M33" s="231">
        <v>0</v>
      </c>
      <c r="N33" s="231">
        <v>0</v>
      </c>
      <c r="O33" s="231">
        <v>0</v>
      </c>
      <c r="P33" s="211"/>
    </row>
    <row r="34" spans="1:16" s="77" customFormat="1" ht="21.75" customHeight="1" thickTop="1" thickBot="1">
      <c r="A34" s="92" t="s">
        <v>136</v>
      </c>
      <c r="B34" s="93"/>
      <c r="C34" s="94"/>
      <c r="D34" s="232">
        <v>0</v>
      </c>
      <c r="E34" s="232">
        <v>0</v>
      </c>
      <c r="F34" s="232">
        <v>0</v>
      </c>
      <c r="G34" s="232">
        <v>0</v>
      </c>
      <c r="H34" s="232">
        <v>0</v>
      </c>
      <c r="I34" s="232">
        <v>0</v>
      </c>
      <c r="J34" s="232">
        <v>0</v>
      </c>
      <c r="K34" s="232">
        <v>0</v>
      </c>
      <c r="L34" s="232">
        <v>0</v>
      </c>
      <c r="M34" s="232">
        <v>0</v>
      </c>
      <c r="N34" s="232">
        <v>0</v>
      </c>
      <c r="O34" s="232">
        <v>0</v>
      </c>
      <c r="P34" s="212"/>
    </row>
    <row r="35" spans="1:16" s="77" customFormat="1" ht="21.75" customHeight="1" thickTop="1" thickBot="1">
      <c r="A35" s="92" t="s">
        <v>137</v>
      </c>
      <c r="B35" s="86"/>
      <c r="C35" s="76"/>
      <c r="D35" s="231">
        <v>0</v>
      </c>
      <c r="E35" s="231">
        <v>0</v>
      </c>
      <c r="F35" s="231">
        <v>0</v>
      </c>
      <c r="G35" s="231">
        <v>0</v>
      </c>
      <c r="H35" s="231">
        <v>0</v>
      </c>
      <c r="I35" s="231">
        <v>0</v>
      </c>
      <c r="J35" s="231">
        <v>0</v>
      </c>
      <c r="K35" s="231">
        <v>0</v>
      </c>
      <c r="L35" s="231">
        <v>0</v>
      </c>
      <c r="M35" s="231">
        <v>0</v>
      </c>
      <c r="N35" s="231">
        <v>0</v>
      </c>
      <c r="O35" s="231">
        <v>0</v>
      </c>
      <c r="P35" s="211"/>
    </row>
    <row r="36" spans="1:16" s="77" customFormat="1" ht="21.75" customHeight="1" thickTop="1" thickBot="1">
      <c r="A36" s="92" t="s">
        <v>138</v>
      </c>
      <c r="B36" s="86"/>
      <c r="C36" s="76"/>
      <c r="D36" s="231">
        <v>0</v>
      </c>
      <c r="E36" s="231">
        <v>0</v>
      </c>
      <c r="F36" s="231">
        <v>0</v>
      </c>
      <c r="G36" s="231">
        <v>0</v>
      </c>
      <c r="H36" s="231">
        <v>0</v>
      </c>
      <c r="I36" s="231">
        <v>0</v>
      </c>
      <c r="J36" s="231">
        <v>0</v>
      </c>
      <c r="K36" s="231">
        <v>0</v>
      </c>
      <c r="L36" s="231">
        <v>0</v>
      </c>
      <c r="M36" s="231">
        <v>0</v>
      </c>
      <c r="N36" s="231">
        <v>0</v>
      </c>
      <c r="O36" s="231">
        <v>0</v>
      </c>
      <c r="P36" s="211"/>
    </row>
    <row r="37" spans="1:16" s="97" customFormat="1" ht="21.75" customHeight="1" thickTop="1" thickBot="1">
      <c r="A37" s="92" t="s">
        <v>139</v>
      </c>
      <c r="B37" s="95"/>
      <c r="C37" s="96"/>
      <c r="D37" s="231">
        <v>0</v>
      </c>
      <c r="E37" s="231">
        <v>0</v>
      </c>
      <c r="F37" s="231">
        <v>0</v>
      </c>
      <c r="G37" s="231">
        <v>0</v>
      </c>
      <c r="H37" s="231">
        <v>0</v>
      </c>
      <c r="I37" s="231">
        <v>0</v>
      </c>
      <c r="J37" s="231">
        <v>0</v>
      </c>
      <c r="K37" s="231">
        <v>0</v>
      </c>
      <c r="L37" s="231">
        <v>0</v>
      </c>
      <c r="M37" s="231">
        <v>0</v>
      </c>
      <c r="N37" s="231">
        <v>0</v>
      </c>
      <c r="O37" s="231">
        <v>0</v>
      </c>
      <c r="P37" s="213"/>
    </row>
    <row r="38" spans="1:16" s="77" customFormat="1" ht="21.75" customHeight="1" thickTop="1" thickBot="1">
      <c r="A38" s="92" t="s">
        <v>140</v>
      </c>
      <c r="B38" s="86"/>
      <c r="C38" s="86"/>
      <c r="D38" s="233">
        <f>D35-D36-D37</f>
        <v>0</v>
      </c>
      <c r="E38" s="233">
        <f t="shared" ref="E38:O38" si="2">E35-E36-E37</f>
        <v>0</v>
      </c>
      <c r="F38" s="233">
        <f t="shared" si="2"/>
        <v>0</v>
      </c>
      <c r="G38" s="233">
        <f t="shared" si="2"/>
        <v>0</v>
      </c>
      <c r="H38" s="233">
        <f t="shared" si="2"/>
        <v>0</v>
      </c>
      <c r="I38" s="233">
        <f t="shared" si="2"/>
        <v>0</v>
      </c>
      <c r="J38" s="233">
        <f t="shared" si="2"/>
        <v>0</v>
      </c>
      <c r="K38" s="233">
        <f t="shared" si="2"/>
        <v>0</v>
      </c>
      <c r="L38" s="233">
        <f t="shared" si="2"/>
        <v>0</v>
      </c>
      <c r="M38" s="233">
        <f t="shared" si="2"/>
        <v>0</v>
      </c>
      <c r="N38" s="233">
        <f t="shared" si="2"/>
        <v>0</v>
      </c>
      <c r="O38" s="233">
        <f t="shared" si="2"/>
        <v>0</v>
      </c>
      <c r="P38" s="214"/>
    </row>
    <row r="39" spans="1:16" ht="15.75" thickTop="1">
      <c r="A39" s="98" t="s">
        <v>16</v>
      </c>
      <c r="B39" s="99"/>
      <c r="C39" s="37"/>
      <c r="D39" s="39"/>
      <c r="E39" s="39"/>
      <c r="F39" s="39"/>
      <c r="G39" s="39"/>
      <c r="H39" s="39"/>
      <c r="I39" s="39"/>
      <c r="J39" s="39"/>
      <c r="K39" s="39"/>
      <c r="L39" s="39"/>
      <c r="M39" s="39"/>
      <c r="N39" s="39"/>
      <c r="O39" s="42"/>
      <c r="P39" s="215"/>
    </row>
    <row r="40" spans="1:16" s="103" customFormat="1">
      <c r="A40" s="100" t="s">
        <v>49</v>
      </c>
      <c r="B40" s="101"/>
      <c r="C40" s="102"/>
      <c r="D40" s="234">
        <f>ROUND(IF(ISERR((D15-D18)/D12),0,((D15-D18)/D12)),2)</f>
        <v>0</v>
      </c>
      <c r="E40" s="234">
        <f t="shared" ref="E40:O40" si="3">ROUND(IF(ISERR((E15-E18)/E12),0,((E15-E18)/E12)),2)</f>
        <v>0</v>
      </c>
      <c r="F40" s="234">
        <f t="shared" si="3"/>
        <v>0</v>
      </c>
      <c r="G40" s="234">
        <f t="shared" si="3"/>
        <v>0</v>
      </c>
      <c r="H40" s="234">
        <f t="shared" si="3"/>
        <v>0</v>
      </c>
      <c r="I40" s="234">
        <f t="shared" si="3"/>
        <v>0</v>
      </c>
      <c r="J40" s="234">
        <f t="shared" si="3"/>
        <v>0</v>
      </c>
      <c r="K40" s="234">
        <f t="shared" si="3"/>
        <v>0</v>
      </c>
      <c r="L40" s="234">
        <f t="shared" si="3"/>
        <v>0</v>
      </c>
      <c r="M40" s="234">
        <f t="shared" si="3"/>
        <v>0</v>
      </c>
      <c r="N40" s="234">
        <f t="shared" si="3"/>
        <v>0</v>
      </c>
      <c r="O40" s="234">
        <f t="shared" si="3"/>
        <v>0</v>
      </c>
      <c r="P40" s="235"/>
    </row>
    <row r="41" spans="1:16" s="103" customFormat="1">
      <c r="A41" s="100" t="s">
        <v>50</v>
      </c>
      <c r="B41" s="101"/>
      <c r="C41" s="102"/>
      <c r="D41" s="234">
        <f>IF(D38=0,0,ROUND(IF(ISERR((D9*D38)/D9),0,((D9*D38)/D9)),2))</f>
        <v>0</v>
      </c>
      <c r="E41" s="234">
        <f t="shared" ref="E41:O41" si="4">IF(E38=0,0,ROUND(IF(ISERR((E9*E38)/E9),0,((E9*E38)/E9)),2))</f>
        <v>0</v>
      </c>
      <c r="F41" s="234">
        <f t="shared" si="4"/>
        <v>0</v>
      </c>
      <c r="G41" s="234">
        <f t="shared" si="4"/>
        <v>0</v>
      </c>
      <c r="H41" s="234">
        <f t="shared" si="4"/>
        <v>0</v>
      </c>
      <c r="I41" s="234">
        <f t="shared" si="4"/>
        <v>0</v>
      </c>
      <c r="J41" s="234">
        <f t="shared" si="4"/>
        <v>0</v>
      </c>
      <c r="K41" s="234">
        <f t="shared" si="4"/>
        <v>0</v>
      </c>
      <c r="L41" s="234">
        <f t="shared" si="4"/>
        <v>0</v>
      </c>
      <c r="M41" s="234">
        <f t="shared" si="4"/>
        <v>0</v>
      </c>
      <c r="N41" s="234">
        <f t="shared" si="4"/>
        <v>0</v>
      </c>
      <c r="O41" s="234">
        <f t="shared" si="4"/>
        <v>0</v>
      </c>
      <c r="P41" s="235"/>
    </row>
    <row r="42" spans="1:16" s="103" customFormat="1">
      <c r="A42" s="100" t="s">
        <v>51</v>
      </c>
      <c r="B42" s="101"/>
      <c r="C42" s="102"/>
      <c r="D42" s="234">
        <f>IF(D38=0,0,ROUND(IF(ISERR(((D15-D18)+((D9-D12)*D38))/D9),0,(((D15-D18)+((D9-D12)*D38))/D9)),2))</f>
        <v>0</v>
      </c>
      <c r="E42" s="234">
        <f t="shared" ref="E42:O42" si="5">IF(E38=0,0,ROUND(IF(ISERR(((E15-E18)+((E9-E12)*E38))/E9),0,(((E15-E18)+((E9-E12)*E38))/E9)),2))</f>
        <v>0</v>
      </c>
      <c r="F42" s="234">
        <f t="shared" si="5"/>
        <v>0</v>
      </c>
      <c r="G42" s="234">
        <f t="shared" si="5"/>
        <v>0</v>
      </c>
      <c r="H42" s="234">
        <f t="shared" si="5"/>
        <v>0</v>
      </c>
      <c r="I42" s="234">
        <f t="shared" si="5"/>
        <v>0</v>
      </c>
      <c r="J42" s="234">
        <f t="shared" si="5"/>
        <v>0</v>
      </c>
      <c r="K42" s="234">
        <f t="shared" si="5"/>
        <v>0</v>
      </c>
      <c r="L42" s="234">
        <f t="shared" si="5"/>
        <v>0</v>
      </c>
      <c r="M42" s="234">
        <f t="shared" si="5"/>
        <v>0</v>
      </c>
      <c r="N42" s="234">
        <f t="shared" si="5"/>
        <v>0</v>
      </c>
      <c r="O42" s="234">
        <f t="shared" si="5"/>
        <v>0</v>
      </c>
      <c r="P42" s="235"/>
    </row>
    <row r="43" spans="1:16" s="103" customFormat="1">
      <c r="A43" s="100" t="s">
        <v>92</v>
      </c>
      <c r="B43" s="101"/>
      <c r="C43" s="102"/>
      <c r="D43" s="234">
        <f>ROUND(IF(ISERR((D16-D19)/D13),0,((D16-D19)/D13)),2)</f>
        <v>0</v>
      </c>
      <c r="E43" s="234">
        <f t="shared" ref="E43:O43" si="6">ROUND(IF(ISERR((E16-E19)/E13),0,((E16-E19)/E13)),2)</f>
        <v>0</v>
      </c>
      <c r="F43" s="234">
        <f t="shared" si="6"/>
        <v>0</v>
      </c>
      <c r="G43" s="234">
        <f t="shared" si="6"/>
        <v>0</v>
      </c>
      <c r="H43" s="234">
        <f t="shared" si="6"/>
        <v>0</v>
      </c>
      <c r="I43" s="234">
        <f t="shared" si="6"/>
        <v>0</v>
      </c>
      <c r="J43" s="234">
        <f t="shared" si="6"/>
        <v>0</v>
      </c>
      <c r="K43" s="234">
        <f t="shared" si="6"/>
        <v>0</v>
      </c>
      <c r="L43" s="234">
        <f t="shared" si="6"/>
        <v>0</v>
      </c>
      <c r="M43" s="234">
        <f t="shared" si="6"/>
        <v>0</v>
      </c>
      <c r="N43" s="234">
        <f t="shared" si="6"/>
        <v>0</v>
      </c>
      <c r="O43" s="234">
        <f t="shared" si="6"/>
        <v>0</v>
      </c>
      <c r="P43" s="236"/>
    </row>
    <row r="44" spans="1:16" s="103" customFormat="1">
      <c r="A44" s="100" t="s">
        <v>93</v>
      </c>
      <c r="B44" s="101"/>
      <c r="C44" s="102"/>
      <c r="D44" s="234">
        <f>IF(D38=0,0,ROUND(IF(ISERR((((D10-D58)*D38)+D61)/D10),0,(((D10-D58)*D38)+D61)/D10),2))</f>
        <v>0</v>
      </c>
      <c r="E44" s="234">
        <f t="shared" ref="E44:O44" si="7">IF(E38=0,0,ROUND(IF(ISERR((((E10-E58)*E38)+E61)/E10),0,(((E10-E58)*E38)+E61)/E10),2))</f>
        <v>0</v>
      </c>
      <c r="F44" s="234">
        <f t="shared" si="7"/>
        <v>0</v>
      </c>
      <c r="G44" s="234">
        <f t="shared" si="7"/>
        <v>0</v>
      </c>
      <c r="H44" s="234">
        <f t="shared" si="7"/>
        <v>0</v>
      </c>
      <c r="I44" s="234">
        <f t="shared" si="7"/>
        <v>0</v>
      </c>
      <c r="J44" s="234">
        <f t="shared" si="7"/>
        <v>0</v>
      </c>
      <c r="K44" s="234">
        <f t="shared" si="7"/>
        <v>0</v>
      </c>
      <c r="L44" s="234">
        <f t="shared" si="7"/>
        <v>0</v>
      </c>
      <c r="M44" s="234">
        <f t="shared" si="7"/>
        <v>0</v>
      </c>
      <c r="N44" s="234">
        <f t="shared" si="7"/>
        <v>0</v>
      </c>
      <c r="O44" s="234">
        <f t="shared" si="7"/>
        <v>0</v>
      </c>
      <c r="P44" s="236"/>
    </row>
    <row r="45" spans="1:16" s="103" customFormat="1">
      <c r="A45" s="100" t="s">
        <v>103</v>
      </c>
      <c r="B45" s="101"/>
      <c r="C45" s="102"/>
      <c r="D45" s="234">
        <f>IF(D38=0,0,ROUND(IF(ISERR(((D16-D19)+((D10-D13-D59)*D38)+D62)/D10),0,(((D16-D19)+((D10-D13-D59)*D38)+D62)/D10)),2))</f>
        <v>0</v>
      </c>
      <c r="E45" s="234">
        <f t="shared" ref="E45:O45" si="8">IF(E38=0,0,ROUND(IF(ISERR(((E16-E19)+((E10-E13-E59)*E38)+E62)/E10),0,(((E16-E19)+((E10-E13-E59)*E38)+E62)/E10)),2))</f>
        <v>0</v>
      </c>
      <c r="F45" s="234">
        <f t="shared" si="8"/>
        <v>0</v>
      </c>
      <c r="G45" s="234">
        <f t="shared" si="8"/>
        <v>0</v>
      </c>
      <c r="H45" s="234">
        <f t="shared" si="8"/>
        <v>0</v>
      </c>
      <c r="I45" s="234">
        <f t="shared" si="8"/>
        <v>0</v>
      </c>
      <c r="J45" s="234">
        <f t="shared" si="8"/>
        <v>0</v>
      </c>
      <c r="K45" s="234">
        <f t="shared" si="8"/>
        <v>0</v>
      </c>
      <c r="L45" s="234">
        <f t="shared" si="8"/>
        <v>0</v>
      </c>
      <c r="M45" s="234">
        <f t="shared" si="8"/>
        <v>0</v>
      </c>
      <c r="N45" s="234">
        <f t="shared" si="8"/>
        <v>0</v>
      </c>
      <c r="O45" s="234">
        <f t="shared" si="8"/>
        <v>0</v>
      </c>
      <c r="P45" s="236"/>
    </row>
    <row r="46" spans="1:16" s="103" customFormat="1">
      <c r="A46" s="100" t="s">
        <v>55</v>
      </c>
      <c r="B46" s="101"/>
      <c r="C46" s="102"/>
      <c r="D46" s="234">
        <f>ROUND(IF(ISERR((D17-D20)/D14),0,((D17-D20)/D14)),2)</f>
        <v>0</v>
      </c>
      <c r="E46" s="234">
        <f t="shared" ref="E46:O46" si="9">ROUND(IF(ISERR((E17-E20)/E14),0,((E17-E20)/E14)),2)</f>
        <v>0</v>
      </c>
      <c r="F46" s="234">
        <f t="shared" si="9"/>
        <v>0</v>
      </c>
      <c r="G46" s="234">
        <f t="shared" si="9"/>
        <v>0</v>
      </c>
      <c r="H46" s="234">
        <f t="shared" si="9"/>
        <v>0</v>
      </c>
      <c r="I46" s="234">
        <f t="shared" si="9"/>
        <v>0</v>
      </c>
      <c r="J46" s="234">
        <f t="shared" si="9"/>
        <v>0</v>
      </c>
      <c r="K46" s="234">
        <f t="shared" si="9"/>
        <v>0</v>
      </c>
      <c r="L46" s="234">
        <f t="shared" si="9"/>
        <v>0</v>
      </c>
      <c r="M46" s="234">
        <f t="shared" si="9"/>
        <v>0</v>
      </c>
      <c r="N46" s="234">
        <f t="shared" si="9"/>
        <v>0</v>
      </c>
      <c r="O46" s="234">
        <f t="shared" si="9"/>
        <v>0</v>
      </c>
      <c r="P46" s="236"/>
    </row>
    <row r="47" spans="1:16" s="103" customFormat="1">
      <c r="A47" s="100" t="s">
        <v>104</v>
      </c>
      <c r="B47" s="101"/>
      <c r="C47" s="102"/>
      <c r="D47" s="234">
        <f>IF(D33=0,0,ROUND(IF(ISERR((D11*D33)/D11),0,((D11*D33)/D11)),2))</f>
        <v>0</v>
      </c>
      <c r="E47" s="234">
        <f t="shared" ref="E47:O47" si="10">IF(E33=0,0,ROUND(IF(ISERR((E11*E33)/E11),0,((E11*E33)/E11)),2))</f>
        <v>0</v>
      </c>
      <c r="F47" s="234">
        <f t="shared" si="10"/>
        <v>0</v>
      </c>
      <c r="G47" s="234">
        <f t="shared" si="10"/>
        <v>0</v>
      </c>
      <c r="H47" s="234">
        <f t="shared" si="10"/>
        <v>0</v>
      </c>
      <c r="I47" s="234">
        <f t="shared" si="10"/>
        <v>0</v>
      </c>
      <c r="J47" s="234">
        <f t="shared" si="10"/>
        <v>0</v>
      </c>
      <c r="K47" s="234">
        <f t="shared" si="10"/>
        <v>0</v>
      </c>
      <c r="L47" s="234">
        <f t="shared" si="10"/>
        <v>0</v>
      </c>
      <c r="M47" s="234">
        <f t="shared" si="10"/>
        <v>0</v>
      </c>
      <c r="N47" s="234">
        <f t="shared" si="10"/>
        <v>0</v>
      </c>
      <c r="O47" s="234">
        <f t="shared" si="10"/>
        <v>0</v>
      </c>
      <c r="P47" s="236"/>
    </row>
    <row r="48" spans="1:16" s="103" customFormat="1" ht="15.75" thickBot="1">
      <c r="A48" s="100" t="s">
        <v>105</v>
      </c>
      <c r="B48" s="101"/>
      <c r="C48" s="102"/>
      <c r="D48" s="237">
        <f>IF(D33=0,0,ROUND(IF(ISERR(((D17-D20)+((D11-D14)*D33))/D11),0,(((D17-D20)+((D11-D14)*D33))/D11)),2))</f>
        <v>0</v>
      </c>
      <c r="E48" s="237">
        <f t="shared" ref="E48:O48" si="11">IF(E33=0,0,ROUND(IF(ISERR(((E17-E20)+((E11-E14)*E33))/E11),0,(((E17-E20)+((E11-E14)*E33))/E11)),2))</f>
        <v>0</v>
      </c>
      <c r="F48" s="237">
        <f t="shared" si="11"/>
        <v>0</v>
      </c>
      <c r="G48" s="237">
        <f t="shared" si="11"/>
        <v>0</v>
      </c>
      <c r="H48" s="237">
        <f t="shared" si="11"/>
        <v>0</v>
      </c>
      <c r="I48" s="237">
        <f t="shared" si="11"/>
        <v>0</v>
      </c>
      <c r="J48" s="237">
        <f t="shared" si="11"/>
        <v>0</v>
      </c>
      <c r="K48" s="237">
        <f t="shared" si="11"/>
        <v>0</v>
      </c>
      <c r="L48" s="237">
        <f t="shared" si="11"/>
        <v>0</v>
      </c>
      <c r="M48" s="237">
        <f t="shared" si="11"/>
        <v>0</v>
      </c>
      <c r="N48" s="237">
        <f t="shared" si="11"/>
        <v>0</v>
      </c>
      <c r="O48" s="237">
        <f t="shared" si="11"/>
        <v>0</v>
      </c>
      <c r="P48" s="238"/>
    </row>
    <row r="49" spans="1:16" s="103" customFormat="1" ht="15.75" thickTop="1">
      <c r="A49" s="20" t="s">
        <v>35</v>
      </c>
      <c r="B49" s="104"/>
      <c r="C49" s="21"/>
      <c r="D49" s="41"/>
      <c r="E49" s="41"/>
      <c r="F49" s="41"/>
      <c r="G49" s="41"/>
      <c r="H49" s="41"/>
      <c r="I49" s="41"/>
      <c r="J49" s="41"/>
      <c r="K49" s="41"/>
      <c r="L49" s="41"/>
      <c r="M49" s="41"/>
      <c r="N49" s="41"/>
      <c r="O49" s="43"/>
      <c r="P49" s="105"/>
    </row>
    <row r="50" spans="1:16" s="103" customFormat="1">
      <c r="A50" s="188" t="s">
        <v>18</v>
      </c>
      <c r="B50" s="114"/>
      <c r="C50" s="115"/>
      <c r="D50" s="239">
        <f>ROUND(IF(ISERR(IF((D12/D9)=0,(D9*D41),IF((D12/D9)&lt;0.4,(D9*D42),(D9*D40)))),0,(IF((D12/D9)=0,(D9*D41),IF((D12/D9)&lt;0.4,(D9*D42),(D9*D40))))),0)</f>
        <v>0</v>
      </c>
      <c r="E50" s="239">
        <f t="shared" ref="E50:O50" si="12">ROUND(IF(ISERR(IF((E12/E9)=0,(E9*E41),IF((E12/E9)&lt;0.4,(E9*E42),(E9*E40)))),0,(IF((E12/E9)=0,(E9*E41),IF((E12/E9)&lt;0.4,(E9*E42),(E9*E40))))),0)</f>
        <v>0</v>
      </c>
      <c r="F50" s="239">
        <f t="shared" si="12"/>
        <v>0</v>
      </c>
      <c r="G50" s="239">
        <f t="shared" si="12"/>
        <v>0</v>
      </c>
      <c r="H50" s="239">
        <f t="shared" si="12"/>
        <v>0</v>
      </c>
      <c r="I50" s="239">
        <f t="shared" si="12"/>
        <v>0</v>
      </c>
      <c r="J50" s="239">
        <f t="shared" si="12"/>
        <v>0</v>
      </c>
      <c r="K50" s="239">
        <f t="shared" si="12"/>
        <v>0</v>
      </c>
      <c r="L50" s="239">
        <f t="shared" si="12"/>
        <v>0</v>
      </c>
      <c r="M50" s="239">
        <f t="shared" si="12"/>
        <v>0</v>
      </c>
      <c r="N50" s="239">
        <f t="shared" si="12"/>
        <v>0</v>
      </c>
      <c r="O50" s="239">
        <f t="shared" si="12"/>
        <v>0</v>
      </c>
      <c r="P50" s="228">
        <f>SUM(D50:O50)</f>
        <v>0</v>
      </c>
    </row>
    <row r="51" spans="1:16">
      <c r="A51" s="65" t="s">
        <v>114</v>
      </c>
      <c r="B51" s="109"/>
      <c r="C51" s="5"/>
      <c r="D51" s="239">
        <f>ROUND(IF(ISERR(IF((D13/D10)=0,(D10*D44),IF((D13/D10)&lt;0.4,(D10*D45),(D10*D43)))),0,(IF((D13/D10)=0,(D10*D44),IF((D13/D10)&lt;0.4,(D10*D45),(D10*D43))))),0)</f>
        <v>0</v>
      </c>
      <c r="E51" s="239">
        <f t="shared" ref="E51:O51" si="13">ROUND(IF(ISERR(IF((E13/E10)=0,(E10*E44),IF((E13/E10)&lt;0.4,(E10*E45),(E10*E43)))),0,(IF((E13/E10)=0,(E10*E44),IF((E13/E10)&lt;0.4,(E10*E45),(E10*E43))))),0)</f>
        <v>0</v>
      </c>
      <c r="F51" s="239">
        <f t="shared" si="13"/>
        <v>0</v>
      </c>
      <c r="G51" s="239">
        <f t="shared" si="13"/>
        <v>0</v>
      </c>
      <c r="H51" s="239">
        <f t="shared" si="13"/>
        <v>0</v>
      </c>
      <c r="I51" s="239">
        <f t="shared" si="13"/>
        <v>0</v>
      </c>
      <c r="J51" s="239">
        <f t="shared" si="13"/>
        <v>0</v>
      </c>
      <c r="K51" s="239">
        <f t="shared" si="13"/>
        <v>0</v>
      </c>
      <c r="L51" s="239">
        <f t="shared" si="13"/>
        <v>0</v>
      </c>
      <c r="M51" s="239">
        <f t="shared" si="13"/>
        <v>0</v>
      </c>
      <c r="N51" s="239">
        <f t="shared" si="13"/>
        <v>0</v>
      </c>
      <c r="O51" s="239">
        <f t="shared" si="13"/>
        <v>0</v>
      </c>
      <c r="P51" s="228">
        <f>SUM(D51:O51)</f>
        <v>0</v>
      </c>
    </row>
    <row r="52" spans="1:16">
      <c r="A52" s="65" t="s">
        <v>20</v>
      </c>
      <c r="B52" s="109"/>
      <c r="C52" s="5"/>
      <c r="D52" s="239">
        <f>ROUND(IF(ISERR(IF((D14/D11)=0,(D11*D47),IF((D14/D11)&lt;0.4,(D11*D48),(D11*D46)))),0,(IF((D14/D11)=0,(D11*D47),IF((D14/D11)&lt;0.4,(D11*D48),(D11*D46))))),0)</f>
        <v>0</v>
      </c>
      <c r="E52" s="239">
        <f t="shared" ref="E52:O52" si="14">ROUND(IF(ISERR(IF((E14/E11)=0,(E11*E47),IF((E14/E11)&lt;0.4,(E11*E48),(E11*E46)))),0,(IF((E14/E11)=0,(E11*E47),IF((E14/E11)&lt;0.4,(E11*E48),(E11*E46))))),0)</f>
        <v>0</v>
      </c>
      <c r="F52" s="239">
        <f t="shared" si="14"/>
        <v>0</v>
      </c>
      <c r="G52" s="239">
        <f t="shared" si="14"/>
        <v>0</v>
      </c>
      <c r="H52" s="239">
        <f t="shared" si="14"/>
        <v>0</v>
      </c>
      <c r="I52" s="239">
        <f t="shared" si="14"/>
        <v>0</v>
      </c>
      <c r="J52" s="239">
        <f t="shared" si="14"/>
        <v>0</v>
      </c>
      <c r="K52" s="239">
        <f t="shared" si="14"/>
        <v>0</v>
      </c>
      <c r="L52" s="239">
        <f t="shared" si="14"/>
        <v>0</v>
      </c>
      <c r="M52" s="239">
        <f t="shared" si="14"/>
        <v>0</v>
      </c>
      <c r="N52" s="239">
        <f t="shared" si="14"/>
        <v>0</v>
      </c>
      <c r="O52" s="239">
        <f t="shared" si="14"/>
        <v>0</v>
      </c>
      <c r="P52" s="228">
        <f>SUM(D52:O52)</f>
        <v>0</v>
      </c>
    </row>
    <row r="53" spans="1:16" ht="15.75" thickBot="1">
      <c r="A53" s="56" t="s">
        <v>36</v>
      </c>
      <c r="B53" s="106"/>
      <c r="C53" s="107"/>
      <c r="D53" s="240">
        <f>D50+D51+D52</f>
        <v>0</v>
      </c>
      <c r="E53" s="240">
        <f>E50+E51+E52</f>
        <v>0</v>
      </c>
      <c r="F53" s="240">
        <f>F50+F51+F52</f>
        <v>0</v>
      </c>
      <c r="G53" s="240">
        <f t="shared" ref="G53:O53" si="15">G50+G51+G52</f>
        <v>0</v>
      </c>
      <c r="H53" s="240">
        <f t="shared" si="15"/>
        <v>0</v>
      </c>
      <c r="I53" s="240">
        <f t="shared" si="15"/>
        <v>0</v>
      </c>
      <c r="J53" s="240">
        <f t="shared" si="15"/>
        <v>0</v>
      </c>
      <c r="K53" s="240">
        <f t="shared" si="15"/>
        <v>0</v>
      </c>
      <c r="L53" s="240">
        <f t="shared" si="15"/>
        <v>0</v>
      </c>
      <c r="M53" s="240">
        <f t="shared" si="15"/>
        <v>0</v>
      </c>
      <c r="N53" s="240">
        <f t="shared" si="15"/>
        <v>0</v>
      </c>
      <c r="O53" s="240">
        <f t="shared" si="15"/>
        <v>0</v>
      </c>
      <c r="P53" s="240">
        <f>P50+P51+P52</f>
        <v>0</v>
      </c>
    </row>
    <row r="54" spans="1:16" s="110" customFormat="1" ht="15.75" thickTop="1">
      <c r="A54" s="108" t="s">
        <v>17</v>
      </c>
      <c r="B54" s="109"/>
      <c r="C54" s="5"/>
      <c r="D54" s="135"/>
      <c r="E54" s="135"/>
      <c r="F54" s="135"/>
      <c r="G54" s="135"/>
      <c r="H54" s="135"/>
      <c r="I54" s="135"/>
      <c r="J54" s="135"/>
      <c r="K54" s="135"/>
      <c r="L54" s="135"/>
      <c r="M54" s="135"/>
      <c r="N54" s="135"/>
      <c r="O54" s="135"/>
      <c r="P54" s="44"/>
    </row>
    <row r="55" spans="1:16" s="113" customFormat="1">
      <c r="A55" s="81" t="s">
        <v>141</v>
      </c>
      <c r="B55" s="111"/>
      <c r="C55" s="112"/>
      <c r="D55" s="234">
        <f>ROUND(IF(ISERR(D60/D57),0,(D60/D57)),2)</f>
        <v>0</v>
      </c>
      <c r="E55" s="234">
        <f t="shared" ref="E55:O56" si="16">ROUND(IF(ISERR(E60/E57),0,(E60/E57)),2)</f>
        <v>0</v>
      </c>
      <c r="F55" s="234">
        <f t="shared" si="16"/>
        <v>0</v>
      </c>
      <c r="G55" s="234">
        <f t="shared" si="16"/>
        <v>0</v>
      </c>
      <c r="H55" s="234">
        <f t="shared" si="16"/>
        <v>0</v>
      </c>
      <c r="I55" s="234">
        <f t="shared" si="16"/>
        <v>0</v>
      </c>
      <c r="J55" s="234">
        <f t="shared" si="16"/>
        <v>0</v>
      </c>
      <c r="K55" s="234">
        <f t="shared" si="16"/>
        <v>0</v>
      </c>
      <c r="L55" s="234">
        <f t="shared" si="16"/>
        <v>0</v>
      </c>
      <c r="M55" s="234">
        <f t="shared" si="16"/>
        <v>0</v>
      </c>
      <c r="N55" s="234">
        <f t="shared" si="16"/>
        <v>0</v>
      </c>
      <c r="O55" s="234">
        <f t="shared" si="16"/>
        <v>0</v>
      </c>
      <c r="P55" s="234">
        <f>ROUND(IF(ISERR(P60/P57),0,(P60/P57)),2)</f>
        <v>0</v>
      </c>
    </row>
    <row r="56" spans="1:16" s="113" customFormat="1">
      <c r="A56" s="81" t="s">
        <v>142</v>
      </c>
      <c r="B56" s="111"/>
      <c r="C56" s="112"/>
      <c r="D56" s="234">
        <f>ROUND(IF(ISERR(D61/D58),0,(D61/D58)),2)</f>
        <v>0</v>
      </c>
      <c r="E56" s="234">
        <f t="shared" si="16"/>
        <v>0</v>
      </c>
      <c r="F56" s="234">
        <f t="shared" si="16"/>
        <v>0</v>
      </c>
      <c r="G56" s="234">
        <f t="shared" si="16"/>
        <v>0</v>
      </c>
      <c r="H56" s="234">
        <f t="shared" si="16"/>
        <v>0</v>
      </c>
      <c r="I56" s="234">
        <f t="shared" si="16"/>
        <v>0</v>
      </c>
      <c r="J56" s="234">
        <f t="shared" si="16"/>
        <v>0</v>
      </c>
      <c r="K56" s="234">
        <f t="shared" si="16"/>
        <v>0</v>
      </c>
      <c r="L56" s="234">
        <f t="shared" si="16"/>
        <v>0</v>
      </c>
      <c r="M56" s="234">
        <f t="shared" si="16"/>
        <v>0</v>
      </c>
      <c r="N56" s="234">
        <f t="shared" si="16"/>
        <v>0</v>
      </c>
      <c r="O56" s="234">
        <f t="shared" si="16"/>
        <v>0</v>
      </c>
      <c r="P56" s="234">
        <f>ROUND(IF(ISERR(P61/P58),0,(P61/P58)),2)</f>
        <v>0</v>
      </c>
    </row>
    <row r="57" spans="1:16" s="110" customFormat="1">
      <c r="A57" s="81" t="s">
        <v>143</v>
      </c>
      <c r="B57" s="109"/>
      <c r="C57" s="5"/>
      <c r="D57" s="241">
        <v>0</v>
      </c>
      <c r="E57" s="241">
        <v>0</v>
      </c>
      <c r="F57" s="241">
        <v>0</v>
      </c>
      <c r="G57" s="241">
        <v>0</v>
      </c>
      <c r="H57" s="241">
        <v>0</v>
      </c>
      <c r="I57" s="241">
        <v>0</v>
      </c>
      <c r="J57" s="241">
        <v>0</v>
      </c>
      <c r="K57" s="241">
        <v>0</v>
      </c>
      <c r="L57" s="241">
        <v>0</v>
      </c>
      <c r="M57" s="241">
        <v>0</v>
      </c>
      <c r="N57" s="241">
        <v>0</v>
      </c>
      <c r="O57" s="241">
        <v>0</v>
      </c>
      <c r="P57" s="242">
        <f>SUM(D57:O57)</f>
        <v>0</v>
      </c>
    </row>
    <row r="58" spans="1:16" s="110" customFormat="1">
      <c r="A58" s="81" t="s">
        <v>144</v>
      </c>
      <c r="B58" s="109"/>
      <c r="C58" s="5"/>
      <c r="D58" s="241">
        <v>0</v>
      </c>
      <c r="E58" s="241">
        <v>0</v>
      </c>
      <c r="F58" s="241">
        <v>0</v>
      </c>
      <c r="G58" s="241">
        <v>0</v>
      </c>
      <c r="H58" s="241">
        <v>0</v>
      </c>
      <c r="I58" s="241">
        <v>0</v>
      </c>
      <c r="J58" s="241">
        <v>0</v>
      </c>
      <c r="K58" s="241">
        <v>0</v>
      </c>
      <c r="L58" s="241">
        <v>0</v>
      </c>
      <c r="M58" s="241">
        <v>0</v>
      </c>
      <c r="N58" s="241">
        <v>0</v>
      </c>
      <c r="O58" s="241">
        <v>0</v>
      </c>
      <c r="P58" s="242">
        <f>SUM(D58:O58)</f>
        <v>0</v>
      </c>
    </row>
    <row r="59" spans="1:16" s="113" customFormat="1">
      <c r="A59" s="81" t="s">
        <v>145</v>
      </c>
      <c r="B59" s="114"/>
      <c r="C59" s="115"/>
      <c r="D59" s="242">
        <f>D58-D57</f>
        <v>0</v>
      </c>
      <c r="E59" s="242">
        <f t="shared" ref="E59:O59" si="17">E58-E57</f>
        <v>0</v>
      </c>
      <c r="F59" s="242">
        <f t="shared" si="17"/>
        <v>0</v>
      </c>
      <c r="G59" s="242">
        <f t="shared" si="17"/>
        <v>0</v>
      </c>
      <c r="H59" s="242">
        <f t="shared" si="17"/>
        <v>0</v>
      </c>
      <c r="I59" s="242">
        <f t="shared" si="17"/>
        <v>0</v>
      </c>
      <c r="J59" s="242">
        <f t="shared" si="17"/>
        <v>0</v>
      </c>
      <c r="K59" s="242">
        <f t="shared" si="17"/>
        <v>0</v>
      </c>
      <c r="L59" s="242">
        <f t="shared" si="17"/>
        <v>0</v>
      </c>
      <c r="M59" s="242">
        <f t="shared" si="17"/>
        <v>0</v>
      </c>
      <c r="N59" s="242">
        <f t="shared" si="17"/>
        <v>0</v>
      </c>
      <c r="O59" s="242">
        <f t="shared" si="17"/>
        <v>0</v>
      </c>
      <c r="P59" s="242">
        <f>SUM(D59:O59)</f>
        <v>0</v>
      </c>
    </row>
    <row r="60" spans="1:16" s="118" customFormat="1">
      <c r="A60" s="81" t="s">
        <v>87</v>
      </c>
      <c r="B60" s="116"/>
      <c r="C60" s="117"/>
      <c r="D60" s="221">
        <v>0</v>
      </c>
      <c r="E60" s="221">
        <v>0</v>
      </c>
      <c r="F60" s="221">
        <v>0</v>
      </c>
      <c r="G60" s="221">
        <v>0</v>
      </c>
      <c r="H60" s="221">
        <v>0</v>
      </c>
      <c r="I60" s="221">
        <v>0</v>
      </c>
      <c r="J60" s="221">
        <v>0</v>
      </c>
      <c r="K60" s="221">
        <v>0</v>
      </c>
      <c r="L60" s="221">
        <v>0</v>
      </c>
      <c r="M60" s="221">
        <v>0</v>
      </c>
      <c r="N60" s="221">
        <v>0</v>
      </c>
      <c r="O60" s="221">
        <v>0</v>
      </c>
      <c r="P60" s="239">
        <f>SUM(D60:O60)</f>
        <v>0</v>
      </c>
    </row>
    <row r="61" spans="1:16" s="118" customFormat="1">
      <c r="A61" s="81" t="s">
        <v>58</v>
      </c>
      <c r="B61" s="116"/>
      <c r="C61" s="117"/>
      <c r="D61" s="221">
        <v>0</v>
      </c>
      <c r="E61" s="221">
        <v>0</v>
      </c>
      <c r="F61" s="221">
        <v>0</v>
      </c>
      <c r="G61" s="221">
        <v>0</v>
      </c>
      <c r="H61" s="221">
        <v>0</v>
      </c>
      <c r="I61" s="221">
        <v>0</v>
      </c>
      <c r="J61" s="221">
        <v>0</v>
      </c>
      <c r="K61" s="221">
        <v>0</v>
      </c>
      <c r="L61" s="221">
        <v>0</v>
      </c>
      <c r="M61" s="221">
        <v>0</v>
      </c>
      <c r="N61" s="221">
        <v>0</v>
      </c>
      <c r="O61" s="221">
        <v>0</v>
      </c>
      <c r="P61" s="239">
        <f>SUM(D61:O61)</f>
        <v>0</v>
      </c>
    </row>
    <row r="62" spans="1:16" s="110" customFormat="1">
      <c r="A62" s="81" t="s">
        <v>146</v>
      </c>
      <c r="B62" s="109"/>
      <c r="C62" s="5"/>
      <c r="D62" s="239">
        <f>D61-D60</f>
        <v>0</v>
      </c>
      <c r="E62" s="239">
        <f>E61-E60</f>
        <v>0</v>
      </c>
      <c r="F62" s="239">
        <f t="shared" ref="F62:P62" si="18">F61-F60</f>
        <v>0</v>
      </c>
      <c r="G62" s="239">
        <f t="shared" si="18"/>
        <v>0</v>
      </c>
      <c r="H62" s="239">
        <f t="shared" si="18"/>
        <v>0</v>
      </c>
      <c r="I62" s="239">
        <f t="shared" si="18"/>
        <v>0</v>
      </c>
      <c r="J62" s="239">
        <f t="shared" si="18"/>
        <v>0</v>
      </c>
      <c r="K62" s="239">
        <f t="shared" si="18"/>
        <v>0</v>
      </c>
      <c r="L62" s="239">
        <f t="shared" si="18"/>
        <v>0</v>
      </c>
      <c r="M62" s="239">
        <f t="shared" si="18"/>
        <v>0</v>
      </c>
      <c r="N62" s="239">
        <f t="shared" si="18"/>
        <v>0</v>
      </c>
      <c r="O62" s="239">
        <f t="shared" si="18"/>
        <v>0</v>
      </c>
      <c r="P62" s="239">
        <f t="shared" si="18"/>
        <v>0</v>
      </c>
    </row>
    <row r="63" spans="1:16" s="110" customFormat="1" ht="15.75" thickBot="1">
      <c r="A63" s="189" t="s">
        <v>65</v>
      </c>
      <c r="B63" s="109"/>
      <c r="C63" s="190"/>
      <c r="D63" s="243">
        <f>D53-D61</f>
        <v>0</v>
      </c>
      <c r="E63" s="243">
        <f t="shared" ref="E63:O63" si="19">E53-E61</f>
        <v>0</v>
      </c>
      <c r="F63" s="243">
        <f t="shared" si="19"/>
        <v>0</v>
      </c>
      <c r="G63" s="243">
        <f t="shared" si="19"/>
        <v>0</v>
      </c>
      <c r="H63" s="243">
        <f t="shared" si="19"/>
        <v>0</v>
      </c>
      <c r="I63" s="243">
        <f t="shared" si="19"/>
        <v>0</v>
      </c>
      <c r="J63" s="243">
        <f t="shared" si="19"/>
        <v>0</v>
      </c>
      <c r="K63" s="243">
        <f t="shared" si="19"/>
        <v>0</v>
      </c>
      <c r="L63" s="243">
        <f t="shared" si="19"/>
        <v>0</v>
      </c>
      <c r="M63" s="243">
        <f t="shared" si="19"/>
        <v>0</v>
      </c>
      <c r="N63" s="243">
        <f t="shared" si="19"/>
        <v>0</v>
      </c>
      <c r="O63" s="243">
        <f t="shared" si="19"/>
        <v>0</v>
      </c>
      <c r="P63" s="244">
        <f>P53-P61</f>
        <v>0</v>
      </c>
    </row>
    <row r="64" spans="1:16" ht="15.75" thickTop="1">
      <c r="A64" s="12" t="s">
        <v>222</v>
      </c>
      <c r="B64" s="3"/>
      <c r="C64" s="2"/>
      <c r="D64" s="245"/>
      <c r="E64" s="245"/>
      <c r="F64" s="245"/>
      <c r="G64" s="245"/>
      <c r="H64" s="245"/>
      <c r="I64" s="245"/>
      <c r="J64" s="245"/>
      <c r="K64" s="245"/>
      <c r="L64" s="245"/>
      <c r="M64" s="245"/>
      <c r="N64" s="245"/>
      <c r="O64" s="246"/>
      <c r="P64" s="247"/>
    </row>
    <row r="65" spans="1:16">
      <c r="A65" s="13" t="s">
        <v>21</v>
      </c>
      <c r="B65" s="99"/>
      <c r="C65" s="7"/>
      <c r="D65" s="248">
        <v>0</v>
      </c>
      <c r="E65" s="248">
        <v>0</v>
      </c>
      <c r="F65" s="248">
        <v>0</v>
      </c>
      <c r="G65" s="248">
        <v>0</v>
      </c>
      <c r="H65" s="248">
        <v>0</v>
      </c>
      <c r="I65" s="248">
        <v>0</v>
      </c>
      <c r="J65" s="248">
        <v>0</v>
      </c>
      <c r="K65" s="248">
        <v>0</v>
      </c>
      <c r="L65" s="248">
        <v>0</v>
      </c>
      <c r="M65" s="248">
        <v>0</v>
      </c>
      <c r="N65" s="248">
        <v>0</v>
      </c>
      <c r="O65" s="248">
        <v>0</v>
      </c>
      <c r="P65" s="249">
        <f>SUM(D65:O65)</f>
        <v>0</v>
      </c>
    </row>
    <row r="66" spans="1:16">
      <c r="A66" s="13" t="s">
        <v>22</v>
      </c>
      <c r="B66" s="99"/>
      <c r="C66" s="7"/>
      <c r="D66" s="228">
        <f>D61</f>
        <v>0</v>
      </c>
      <c r="E66" s="228">
        <f t="shared" ref="E66:O66" si="20">E61</f>
        <v>0</v>
      </c>
      <c r="F66" s="228">
        <f t="shared" si="20"/>
        <v>0</v>
      </c>
      <c r="G66" s="228">
        <f t="shared" si="20"/>
        <v>0</v>
      </c>
      <c r="H66" s="228">
        <f t="shared" si="20"/>
        <v>0</v>
      </c>
      <c r="I66" s="228">
        <f t="shared" si="20"/>
        <v>0</v>
      </c>
      <c r="J66" s="228">
        <f t="shared" si="20"/>
        <v>0</v>
      </c>
      <c r="K66" s="228">
        <f t="shared" si="20"/>
        <v>0</v>
      </c>
      <c r="L66" s="228">
        <f t="shared" si="20"/>
        <v>0</v>
      </c>
      <c r="M66" s="228">
        <f t="shared" si="20"/>
        <v>0</v>
      </c>
      <c r="N66" s="228">
        <f t="shared" si="20"/>
        <v>0</v>
      </c>
      <c r="O66" s="250">
        <f t="shared" si="20"/>
        <v>0</v>
      </c>
      <c r="P66" s="249">
        <f>SUM(D66:O66)</f>
        <v>0</v>
      </c>
    </row>
    <row r="67" spans="1:16" s="110" customFormat="1">
      <c r="A67" s="13" t="s">
        <v>14</v>
      </c>
      <c r="B67" s="109"/>
      <c r="C67" s="7"/>
      <c r="D67" s="248">
        <v>0</v>
      </c>
      <c r="E67" s="248">
        <v>0</v>
      </c>
      <c r="F67" s="248">
        <v>0</v>
      </c>
      <c r="G67" s="248">
        <v>0</v>
      </c>
      <c r="H67" s="248">
        <v>0</v>
      </c>
      <c r="I67" s="248">
        <v>0</v>
      </c>
      <c r="J67" s="248">
        <v>0</v>
      </c>
      <c r="K67" s="248">
        <v>0</v>
      </c>
      <c r="L67" s="248">
        <v>0</v>
      </c>
      <c r="M67" s="248">
        <v>0</v>
      </c>
      <c r="N67" s="248">
        <v>0</v>
      </c>
      <c r="O67" s="248">
        <v>0</v>
      </c>
      <c r="P67" s="249">
        <f>SUM(D67:O67)</f>
        <v>0</v>
      </c>
    </row>
    <row r="68" spans="1:16" s="110" customFormat="1">
      <c r="A68" s="282" t="s">
        <v>261</v>
      </c>
      <c r="B68" s="109"/>
      <c r="C68" s="7"/>
      <c r="D68" s="248">
        <v>0</v>
      </c>
      <c r="E68" s="248">
        <v>0</v>
      </c>
      <c r="F68" s="248">
        <v>0</v>
      </c>
      <c r="G68" s="248">
        <v>0</v>
      </c>
      <c r="H68" s="248">
        <v>0</v>
      </c>
      <c r="I68" s="248">
        <v>0</v>
      </c>
      <c r="J68" s="248">
        <v>0</v>
      </c>
      <c r="K68" s="248">
        <v>0</v>
      </c>
      <c r="L68" s="248">
        <v>0</v>
      </c>
      <c r="M68" s="248">
        <v>0</v>
      </c>
      <c r="N68" s="248">
        <v>0</v>
      </c>
      <c r="O68" s="248">
        <v>0</v>
      </c>
      <c r="P68" s="249">
        <f>SUM(D68:O68)</f>
        <v>0</v>
      </c>
    </row>
    <row r="69" spans="1:16" s="110" customFormat="1">
      <c r="A69" s="134" t="s">
        <v>94</v>
      </c>
      <c r="B69" s="109"/>
      <c r="C69" s="7"/>
      <c r="D69" s="228">
        <f>SUM(D65:D68)</f>
        <v>0</v>
      </c>
      <c r="E69" s="283">
        <f t="shared" ref="E69:O69" si="21">SUM(E65:E68)</f>
        <v>0</v>
      </c>
      <c r="F69" s="283">
        <f t="shared" si="21"/>
        <v>0</v>
      </c>
      <c r="G69" s="283">
        <f t="shared" si="21"/>
        <v>0</v>
      </c>
      <c r="H69" s="283">
        <f t="shared" si="21"/>
        <v>0</v>
      </c>
      <c r="I69" s="283">
        <f t="shared" si="21"/>
        <v>0</v>
      </c>
      <c r="J69" s="283">
        <f t="shared" si="21"/>
        <v>0</v>
      </c>
      <c r="K69" s="283">
        <f t="shared" si="21"/>
        <v>0</v>
      </c>
      <c r="L69" s="283">
        <f t="shared" si="21"/>
        <v>0</v>
      </c>
      <c r="M69" s="283">
        <f t="shared" si="21"/>
        <v>0</v>
      </c>
      <c r="N69" s="283">
        <f t="shared" si="21"/>
        <v>0</v>
      </c>
      <c r="O69" s="283">
        <f t="shared" si="21"/>
        <v>0</v>
      </c>
      <c r="P69" s="249">
        <f>SUM(P65:P68)</f>
        <v>0</v>
      </c>
    </row>
    <row r="70" spans="1:16" s="110" customFormat="1">
      <c r="A70" s="13" t="s">
        <v>24</v>
      </c>
      <c r="B70" s="109"/>
      <c r="C70" s="7"/>
      <c r="D70" s="59"/>
      <c r="E70" s="59"/>
      <c r="F70" s="59"/>
      <c r="G70" s="59"/>
      <c r="H70" s="59"/>
      <c r="I70" s="59"/>
      <c r="J70" s="59"/>
      <c r="K70" s="59"/>
      <c r="L70" s="59"/>
      <c r="M70" s="59"/>
      <c r="N70" s="59"/>
      <c r="O70" s="60"/>
      <c r="P70" s="251">
        <v>0</v>
      </c>
    </row>
    <row r="71" spans="1:16" s="110" customFormat="1">
      <c r="A71" s="13" t="s">
        <v>25</v>
      </c>
      <c r="B71" s="109"/>
      <c r="C71" s="7"/>
      <c r="D71" s="59"/>
      <c r="E71" s="59"/>
      <c r="F71" s="59"/>
      <c r="G71" s="59"/>
      <c r="H71" s="59"/>
      <c r="I71" s="59"/>
      <c r="J71" s="59"/>
      <c r="K71" s="59"/>
      <c r="L71" s="59"/>
      <c r="M71" s="59"/>
      <c r="N71" s="59"/>
      <c r="O71" s="60"/>
      <c r="P71" s="251">
        <v>0</v>
      </c>
    </row>
    <row r="72" spans="1:16" s="110" customFormat="1">
      <c r="A72" s="13" t="s">
        <v>26</v>
      </c>
      <c r="B72" s="109"/>
      <c r="C72" s="7"/>
      <c r="D72" s="59"/>
      <c r="E72" s="59"/>
      <c r="F72" s="59"/>
      <c r="G72" s="59"/>
      <c r="H72" s="59"/>
      <c r="I72" s="59"/>
      <c r="J72" s="59"/>
      <c r="K72" s="59"/>
      <c r="L72" s="59"/>
      <c r="M72" s="59"/>
      <c r="N72" s="59"/>
      <c r="O72" s="60"/>
      <c r="P72" s="251">
        <v>0</v>
      </c>
    </row>
    <row r="73" spans="1:16" s="110" customFormat="1">
      <c r="A73" s="13" t="s">
        <v>27</v>
      </c>
      <c r="B73" s="109"/>
      <c r="C73" s="7"/>
      <c r="D73" s="59"/>
      <c r="E73" s="59"/>
      <c r="F73" s="59"/>
      <c r="G73" s="59"/>
      <c r="H73" s="59"/>
      <c r="I73" s="59"/>
      <c r="J73" s="59"/>
      <c r="K73" s="59"/>
      <c r="L73" s="59"/>
      <c r="M73" s="59"/>
      <c r="N73" s="59"/>
      <c r="O73" s="60"/>
      <c r="P73" s="251">
        <v>0</v>
      </c>
    </row>
    <row r="74" spans="1:16" s="110" customFormat="1">
      <c r="A74" s="122" t="s">
        <v>183</v>
      </c>
      <c r="B74" s="16"/>
      <c r="C74" s="187"/>
      <c r="D74" s="259">
        <f>D69+D70+D71+D72+D73</f>
        <v>0</v>
      </c>
      <c r="E74" s="259">
        <f>E69</f>
        <v>0</v>
      </c>
      <c r="F74" s="259">
        <f t="shared" ref="F74:O74" si="22">F69</f>
        <v>0</v>
      </c>
      <c r="G74" s="259">
        <f t="shared" si="22"/>
        <v>0</v>
      </c>
      <c r="H74" s="259">
        <f t="shared" si="22"/>
        <v>0</v>
      </c>
      <c r="I74" s="259">
        <f t="shared" si="22"/>
        <v>0</v>
      </c>
      <c r="J74" s="259">
        <f t="shared" si="22"/>
        <v>0</v>
      </c>
      <c r="K74" s="259">
        <f t="shared" si="22"/>
        <v>0</v>
      </c>
      <c r="L74" s="259">
        <f t="shared" si="22"/>
        <v>0</v>
      </c>
      <c r="M74" s="259">
        <f t="shared" si="22"/>
        <v>0</v>
      </c>
      <c r="N74" s="252">
        <f t="shared" si="22"/>
        <v>0</v>
      </c>
      <c r="O74" s="260">
        <f t="shared" si="22"/>
        <v>0</v>
      </c>
      <c r="P74" s="252">
        <f>P69+P70+P71+P72+P73</f>
        <v>0</v>
      </c>
    </row>
    <row r="75" spans="1:16" s="119" customFormat="1">
      <c r="A75" s="183" t="s">
        <v>184</v>
      </c>
      <c r="B75" s="109"/>
      <c r="C75" s="7"/>
      <c r="D75" s="261"/>
      <c r="E75" s="261"/>
      <c r="F75" s="261"/>
      <c r="G75" s="261"/>
      <c r="H75" s="261"/>
      <c r="I75" s="261"/>
      <c r="J75" s="261"/>
      <c r="K75" s="261"/>
      <c r="L75" s="261"/>
      <c r="M75" s="261"/>
      <c r="N75" s="261"/>
      <c r="O75" s="262"/>
      <c r="P75" s="251">
        <v>0</v>
      </c>
    </row>
    <row r="76" spans="1:16" s="110" customFormat="1">
      <c r="A76" s="184" t="s">
        <v>185</v>
      </c>
      <c r="B76" s="185"/>
      <c r="C76" s="186"/>
      <c r="D76" s="261"/>
      <c r="E76" s="261"/>
      <c r="F76" s="261"/>
      <c r="G76" s="261"/>
      <c r="H76" s="261"/>
      <c r="I76" s="261"/>
      <c r="J76" s="261"/>
      <c r="K76" s="261"/>
      <c r="L76" s="261"/>
      <c r="M76" s="261"/>
      <c r="N76" s="261"/>
      <c r="O76" s="262"/>
      <c r="P76" s="253">
        <f>P74-P75</f>
        <v>0</v>
      </c>
    </row>
    <row r="77" spans="1:16" s="110" customFormat="1">
      <c r="A77" s="15" t="s">
        <v>223</v>
      </c>
      <c r="B77" s="5"/>
      <c r="C77" s="5"/>
      <c r="D77" s="263"/>
      <c r="E77" s="263"/>
      <c r="F77" s="263"/>
      <c r="G77" s="263"/>
      <c r="H77" s="263"/>
      <c r="I77" s="263"/>
      <c r="J77" s="263"/>
      <c r="K77" s="263"/>
      <c r="L77" s="263"/>
      <c r="M77" s="263"/>
      <c r="N77" s="263"/>
      <c r="O77" s="264"/>
      <c r="P77" s="249"/>
    </row>
    <row r="78" spans="1:16" s="110" customFormat="1">
      <c r="A78" s="65" t="s">
        <v>28</v>
      </c>
      <c r="B78" s="5"/>
      <c r="C78" s="5"/>
      <c r="D78" s="261"/>
      <c r="E78" s="261"/>
      <c r="F78" s="261"/>
      <c r="G78" s="261"/>
      <c r="H78" s="261"/>
      <c r="I78" s="261"/>
      <c r="J78" s="261"/>
      <c r="K78" s="261"/>
      <c r="L78" s="261"/>
      <c r="M78" s="261"/>
      <c r="N78" s="261"/>
      <c r="O78" s="262"/>
      <c r="P78" s="251">
        <v>0</v>
      </c>
    </row>
    <row r="79" spans="1:16">
      <c r="A79" s="13" t="s">
        <v>224</v>
      </c>
      <c r="B79" s="37"/>
      <c r="C79" s="37"/>
      <c r="D79" s="221">
        <v>0</v>
      </c>
      <c r="E79" s="221">
        <v>0</v>
      </c>
      <c r="F79" s="221">
        <v>0</v>
      </c>
      <c r="G79" s="221">
        <v>0</v>
      </c>
      <c r="H79" s="221">
        <v>0</v>
      </c>
      <c r="I79" s="221">
        <v>0</v>
      </c>
      <c r="J79" s="221">
        <v>0</v>
      </c>
      <c r="K79" s="221">
        <v>0</v>
      </c>
      <c r="L79" s="221">
        <v>0</v>
      </c>
      <c r="M79" s="221">
        <v>0</v>
      </c>
      <c r="N79" s="221">
        <v>0</v>
      </c>
      <c r="O79" s="221">
        <v>0</v>
      </c>
      <c r="P79" s="254">
        <f>SUM(D79:O79)</f>
        <v>0</v>
      </c>
    </row>
    <row r="80" spans="1:16" s="110" customFormat="1">
      <c r="A80" s="122" t="s">
        <v>29</v>
      </c>
      <c r="B80" s="16"/>
      <c r="C80" s="16"/>
      <c r="D80" s="259">
        <f>D78+D79</f>
        <v>0</v>
      </c>
      <c r="E80" s="259">
        <f t="shared" ref="E80:O80" si="23">E79</f>
        <v>0</v>
      </c>
      <c r="F80" s="259">
        <f t="shared" si="23"/>
        <v>0</v>
      </c>
      <c r="G80" s="259">
        <f t="shared" si="23"/>
        <v>0</v>
      </c>
      <c r="H80" s="259">
        <f t="shared" si="23"/>
        <v>0</v>
      </c>
      <c r="I80" s="259">
        <f t="shared" si="23"/>
        <v>0</v>
      </c>
      <c r="J80" s="259">
        <f t="shared" si="23"/>
        <v>0</v>
      </c>
      <c r="K80" s="259">
        <f t="shared" si="23"/>
        <v>0</v>
      </c>
      <c r="L80" s="259">
        <f t="shared" si="23"/>
        <v>0</v>
      </c>
      <c r="M80" s="259">
        <f t="shared" si="23"/>
        <v>0</v>
      </c>
      <c r="N80" s="259">
        <f t="shared" si="23"/>
        <v>0</v>
      </c>
      <c r="O80" s="259">
        <f t="shared" si="23"/>
        <v>0</v>
      </c>
      <c r="P80" s="252">
        <f>P78+P79</f>
        <v>0</v>
      </c>
    </row>
    <row r="81" spans="1:16" s="110" customFormat="1">
      <c r="A81" s="122" t="s">
        <v>30</v>
      </c>
      <c r="B81" s="16"/>
      <c r="C81" s="18"/>
      <c r="D81" s="259">
        <f t="shared" ref="D81:P81" si="24">IF(D80&gt;D74,D74,D80)</f>
        <v>0</v>
      </c>
      <c r="E81" s="259">
        <f t="shared" si="24"/>
        <v>0</v>
      </c>
      <c r="F81" s="259">
        <f t="shared" si="24"/>
        <v>0</v>
      </c>
      <c r="G81" s="259">
        <f t="shared" si="24"/>
        <v>0</v>
      </c>
      <c r="H81" s="259">
        <f t="shared" si="24"/>
        <v>0</v>
      </c>
      <c r="I81" s="259">
        <f t="shared" si="24"/>
        <v>0</v>
      </c>
      <c r="J81" s="259">
        <f t="shared" si="24"/>
        <v>0</v>
      </c>
      <c r="K81" s="259">
        <f t="shared" si="24"/>
        <v>0</v>
      </c>
      <c r="L81" s="259">
        <f t="shared" si="24"/>
        <v>0</v>
      </c>
      <c r="M81" s="259">
        <f t="shared" si="24"/>
        <v>0</v>
      </c>
      <c r="N81" s="252">
        <f t="shared" si="24"/>
        <v>0</v>
      </c>
      <c r="O81" s="265">
        <f t="shared" si="24"/>
        <v>0</v>
      </c>
      <c r="P81" s="252">
        <f t="shared" si="24"/>
        <v>0</v>
      </c>
    </row>
    <row r="82" spans="1:16" s="110" customFormat="1" ht="15.75" thickBot="1">
      <c r="A82" s="120" t="s">
        <v>225</v>
      </c>
      <c r="B82" s="121"/>
      <c r="C82" s="19"/>
      <c r="D82" s="266"/>
      <c r="E82" s="266"/>
      <c r="F82" s="266"/>
      <c r="G82" s="266"/>
      <c r="H82" s="266"/>
      <c r="I82" s="266"/>
      <c r="J82" s="266"/>
      <c r="K82" s="266"/>
      <c r="L82" s="266"/>
      <c r="M82" s="266"/>
      <c r="N82" s="266"/>
      <c r="O82" s="266"/>
      <c r="P82" s="255">
        <f>IF(P80&gt;P74,P80-P74,0)</f>
        <v>0</v>
      </c>
    </row>
    <row r="83" spans="1:16" s="110" customFormat="1" ht="15.75" thickTop="1">
      <c r="A83" s="179" t="s">
        <v>178</v>
      </c>
      <c r="B83" s="180"/>
      <c r="C83" s="298"/>
      <c r="D83" s="293"/>
      <c r="E83" s="194"/>
      <c r="F83" s="194"/>
      <c r="G83" s="194"/>
      <c r="H83" s="194"/>
      <c r="I83" s="194"/>
      <c r="J83" s="194"/>
      <c r="K83" s="194"/>
      <c r="L83" s="194"/>
      <c r="M83" s="194"/>
      <c r="N83" s="194"/>
      <c r="O83" s="194"/>
      <c r="P83" s="256">
        <f>MAX(P53-(P74-P81),0)</f>
        <v>0</v>
      </c>
    </row>
    <row r="84" spans="1:16" s="110" customFormat="1">
      <c r="A84" s="181" t="s">
        <v>210</v>
      </c>
      <c r="B84" s="182"/>
      <c r="C84" s="299"/>
      <c r="D84" s="294"/>
      <c r="E84" s="195"/>
      <c r="F84" s="195"/>
      <c r="G84" s="195"/>
      <c r="H84" s="195"/>
      <c r="I84" s="195"/>
      <c r="J84" s="195"/>
      <c r="K84" s="195"/>
      <c r="L84" s="195"/>
      <c r="M84" s="195"/>
      <c r="N84" s="195"/>
      <c r="O84" s="195"/>
      <c r="P84" s="256">
        <f>MAX(P74-(P81+P53),0)</f>
        <v>0</v>
      </c>
    </row>
    <row r="85" spans="1:16" s="113" customFormat="1">
      <c r="A85" s="181" t="s">
        <v>179</v>
      </c>
      <c r="C85" s="300"/>
      <c r="D85" s="61"/>
      <c r="E85" s="61"/>
      <c r="F85" s="61"/>
      <c r="G85" s="61"/>
      <c r="H85" s="61"/>
      <c r="I85" s="61"/>
      <c r="J85" s="61"/>
      <c r="K85" s="61"/>
      <c r="L85" s="61"/>
      <c r="M85" s="61"/>
      <c r="N85" s="61"/>
      <c r="O85" s="62"/>
      <c r="P85" s="257">
        <f>MAX(P53-(P76-P81),0)</f>
        <v>0</v>
      </c>
    </row>
    <row r="86" spans="1:16" s="113" customFormat="1">
      <c r="A86" s="122" t="s">
        <v>239</v>
      </c>
      <c r="B86" s="271"/>
      <c r="C86" s="291"/>
      <c r="D86" s="61"/>
      <c r="E86" s="61"/>
      <c r="F86" s="61"/>
      <c r="G86" s="61"/>
      <c r="H86" s="61"/>
      <c r="I86" s="61"/>
      <c r="J86" s="61"/>
      <c r="K86" s="61"/>
      <c r="L86" s="61"/>
      <c r="M86" s="61"/>
      <c r="N86" s="61"/>
      <c r="O86" s="62"/>
      <c r="P86" s="252">
        <f>MAX(P50,0)+(MAX(P51,0)-MIN(P61,MAX(P51,0)))+MAX(P52,0)</f>
        <v>0</v>
      </c>
    </row>
    <row r="87" spans="1:16" s="110" customFormat="1">
      <c r="A87" s="122" t="s">
        <v>189</v>
      </c>
      <c r="B87" s="271"/>
      <c r="C87" s="291"/>
      <c r="D87" s="61"/>
      <c r="E87" s="61"/>
      <c r="F87" s="61"/>
      <c r="G87" s="61"/>
      <c r="H87" s="61"/>
      <c r="I87" s="61"/>
      <c r="J87" s="61"/>
      <c r="K87" s="61"/>
      <c r="L87" s="61"/>
      <c r="M87" s="61"/>
      <c r="N87" s="61"/>
      <c r="O87" s="62"/>
      <c r="P87" s="252">
        <f>IF(ISERR(P86*$C88*P83/P63),0,ROUND((P86*$C88*P83/P63),0))</f>
        <v>0</v>
      </c>
    </row>
    <row r="88" spans="1:16" s="110" customFormat="1" ht="18.75">
      <c r="A88" s="122" t="s">
        <v>190</v>
      </c>
      <c r="B88" s="302" t="s">
        <v>283</v>
      </c>
      <c r="C88" s="304">
        <v>0</v>
      </c>
      <c r="D88" s="61"/>
      <c r="E88" s="61"/>
      <c r="F88" s="61"/>
      <c r="G88" s="61"/>
      <c r="H88" s="61"/>
      <c r="I88" s="61"/>
      <c r="J88" s="61"/>
      <c r="K88" s="61"/>
      <c r="L88" s="61"/>
      <c r="M88" s="61"/>
      <c r="N88" s="61"/>
      <c r="O88" s="62"/>
      <c r="P88" s="252">
        <f>IF(ISERR(P86*$C88*P85/P63),0,ROUND((P86*$C88*P85/P63),0))</f>
        <v>0</v>
      </c>
    </row>
    <row r="89" spans="1:16" s="110" customFormat="1" ht="18.75">
      <c r="A89" s="122" t="s">
        <v>191</v>
      </c>
      <c r="B89" s="303" t="s">
        <v>284</v>
      </c>
      <c r="C89" s="304">
        <v>0</v>
      </c>
      <c r="D89" s="61"/>
      <c r="E89" s="61"/>
      <c r="F89" s="61"/>
      <c r="G89" s="61"/>
      <c r="H89" s="61"/>
      <c r="I89" s="61"/>
      <c r="J89" s="61"/>
      <c r="K89" s="61"/>
      <c r="L89" s="61"/>
      <c r="M89" s="61"/>
      <c r="N89" s="61"/>
      <c r="O89" s="62"/>
      <c r="P89" s="252">
        <f>ROUND(P86*$C89,0)</f>
        <v>0</v>
      </c>
    </row>
    <row r="90" spans="1:16" s="110" customFormat="1" ht="15.75" thickBot="1">
      <c r="A90" s="191" t="s">
        <v>177</v>
      </c>
      <c r="B90" s="292"/>
      <c r="C90" s="198"/>
      <c r="D90" s="199"/>
      <c r="E90" s="199"/>
      <c r="F90" s="199"/>
      <c r="G90" s="199"/>
      <c r="H90" s="199"/>
      <c r="I90" s="199"/>
      <c r="J90" s="199"/>
      <c r="K90" s="199"/>
      <c r="L90" s="199"/>
      <c r="M90" s="199"/>
      <c r="N90" s="199"/>
      <c r="O90" s="199"/>
      <c r="P90" s="258">
        <f>IF(P89&gt;P87,P89-P87,0)</f>
        <v>0</v>
      </c>
    </row>
    <row r="91" spans="1:16" s="110" customFormat="1" ht="15.75" thickTop="1">
      <c r="A91" s="181" t="s">
        <v>248</v>
      </c>
      <c r="B91" s="27"/>
      <c r="C91" s="279"/>
      <c r="D91" s="295">
        <f>IF(ISERR(IF(E6="(Est)",ROUND(IF($P$89&gt;$P$87,$C$89,$C$88*$P$85/$P$63)*D63,0),D92)),0,IF(E6="(Est)",ROUND(IF($P$89&gt;$P$87,$C$89,$C$88*$P$85/$P$63)*D63,0),D92))</f>
        <v>0</v>
      </c>
      <c r="E91" s="280">
        <f>IF(ISERR(IF(F6="(Est)",ROUND(IF($P$89&gt;$P$87,$C$89,$C$88*$P$85/$P$63)*SUM($D63:E63)-D93,0),E92)),0,IF(F6="(Est)",ROUND(IF($P$89&gt;$P$87,$C$89,$C$88*$P$85/$P$63)*SUM($D63:E63)-D93,0),E92))</f>
        <v>0</v>
      </c>
      <c r="F91" s="280">
        <f>IF(ISERR(IF(G6="(Est)",ROUND(IF($P$89&gt;$P$87,$C$89,$C$88*$P$85/$P$63)*SUM($D63:F63)-E93,0),F92)),0,IF(G6="(Est)",ROUND(IF($P$89&gt;$P$87,$C$89,$C$88*$P$85/$P$63)*SUM($D63:F63)-E93,0),F92))</f>
        <v>0</v>
      </c>
      <c r="G91" s="280">
        <f>IF(ISERR(IF(H6="(Est)",ROUND(IF($P$89&gt;$P$87,$C$89,$C$88*$P$85/$P$63)*SUM($D63:G63)-F93,0),G92)),0,IF(H6="(Est)",ROUND(IF($P$89&gt;$P$87,$C$89,$C$88*$P$85/$P$63)*SUM($D63:G63)-F93,0),G92))</f>
        <v>0</v>
      </c>
      <c r="H91" s="280">
        <f>IF(ISERR(IF(I6="(Est)",ROUND(IF($P$89&gt;$P$87,$C$89,$C$88*$P$85/$P$63)*SUM($D63:H63)-G93,0),H92)),0,IF(I6="(Est)",ROUND(IF($P$89&gt;$P$87,$C$89,$C$88*$P$85/$P$63)*SUM($D63:H63)-G93,0),H92))</f>
        <v>0</v>
      </c>
      <c r="I91" s="280">
        <f>IF(ISERR(IF(J6="(Est)",ROUND(IF($P$89&gt;$P$87,$C$89,$C$88*$P$85/$P$63)*SUM($D63:I63)-H93,0),I92)),0,IF(J6="(Est)",ROUND(IF($P$89&gt;$P$87,$C$89,$C$88*$P$85/$P$63)*SUM($D63:I63)-H93,0),I92))</f>
        <v>0</v>
      </c>
      <c r="J91" s="280">
        <f>IF(ISERR(IF(K6="(Est)",ROUND(IF($P$89&gt;$P$87,$C$89,$C$88*$P$85/$P$63)*SUM($D63:J63)-I93,0),J92)),0,IF(K6="(Est)",ROUND(IF($P$89&gt;$P$87,$C$89,$C$88*$P$85/$P$63)*SUM($D63:J63)-I93,0),J92))</f>
        <v>0</v>
      </c>
      <c r="K91" s="280">
        <f>IF(ISERR(IF(L6="(Est)",ROUND(IF($P$89&gt;$P$87,$C$89,$C$88*$P$85/$P$63)*SUM($D63:K63)-J93,0),K92)),0,IF(L6="(Est)",ROUND(IF($P$89&gt;$P$87,$C$89,$C$88*$P$85/$P$63)*SUM($D63:K63)-J93,0),K92))</f>
        <v>0</v>
      </c>
      <c r="L91" s="280">
        <f>IF(ISERR(IF(M6="(Est)",ROUND(IF($P$89&gt;$P$87,$C$89,$C$88*$P$85/$P$63)*SUM($D63:L63)-K93,0),L92)),0,IF(M6="(Est)",ROUND(IF($P$89&gt;$P$87,$C$89,$C$88*$P$85/$P$63)*SUM($D63:L63)-K93,0),L92))</f>
        <v>0</v>
      </c>
      <c r="M91" s="280">
        <f>IF(ISERR(IF(N6="(Est)",ROUND(IF($P$89&gt;$P$87,$C$89,$C$88*$P$85/$P$63)*SUM($D63:M63)-L93,0),M92)),0,IF(N6="(Est)",ROUND(IF($P$89&gt;$P$87,$C$89,$C$88*$P$85/$P$63)*SUM($D63:M63)-L93,0),M92))</f>
        <v>0</v>
      </c>
      <c r="N91" s="280">
        <f>IF(ISERR(IF(O6="(Est)",ROUND(IF($P$89&gt;$P$87,$C$89,$C$88*$P$85/$P$63)*SUM($D63:N63)-M93,0),N92)),0,IF(O6="(Est)",ROUND(IF($P$89&gt;$P$87,$C$89,$C$88*$P$85/$P$63)*SUM($D63:N63)-M93,0),N92))</f>
        <v>0</v>
      </c>
      <c r="O91" s="280">
        <f>IF(ISERR(ROUND(IF($P$89&gt;$P$87,$C$89,$C$88*$P$85/$P$63)*SUM($D63:O63)-N93,0)),0,ROUND(IF($P$89&gt;$P$87,$C$89,$C$88*$P$85/$P$63)*SUM($D63:O63)-N93,0))</f>
        <v>0</v>
      </c>
      <c r="P91" s="275"/>
    </row>
    <row r="92" spans="1:16" s="110" customFormat="1">
      <c r="A92" s="123" t="s">
        <v>249</v>
      </c>
      <c r="B92" s="124"/>
      <c r="C92" s="301"/>
      <c r="D92" s="296">
        <f>IF(E6="(Est)",MAX(D91,0),0)</f>
        <v>0</v>
      </c>
      <c r="E92" s="274">
        <f t="shared" ref="E92:N92" si="25">IF(F6="(Est)",MAX(E91,0),0)</f>
        <v>0</v>
      </c>
      <c r="F92" s="274">
        <f t="shared" si="25"/>
        <v>0</v>
      </c>
      <c r="G92" s="274">
        <f t="shared" si="25"/>
        <v>0</v>
      </c>
      <c r="H92" s="274">
        <f t="shared" si="25"/>
        <v>0</v>
      </c>
      <c r="I92" s="274">
        <f t="shared" si="25"/>
        <v>0</v>
      </c>
      <c r="J92" s="274">
        <f t="shared" si="25"/>
        <v>0</v>
      </c>
      <c r="K92" s="274">
        <f t="shared" si="25"/>
        <v>0</v>
      </c>
      <c r="L92" s="274">
        <f t="shared" si="25"/>
        <v>0</v>
      </c>
      <c r="M92" s="274">
        <f t="shared" si="25"/>
        <v>0</v>
      </c>
      <c r="N92" s="274">
        <f t="shared" si="25"/>
        <v>0</v>
      </c>
      <c r="O92" s="274">
        <f>MAX(O91,0)</f>
        <v>0</v>
      </c>
      <c r="P92" s="267">
        <f>SUM(D92:O92)</f>
        <v>0</v>
      </c>
    </row>
    <row r="93" spans="1:16" s="110" customFormat="1" ht="15.75" thickBot="1">
      <c r="A93" s="17" t="s">
        <v>148</v>
      </c>
      <c r="B93" s="125"/>
      <c r="C93" s="19"/>
      <c r="D93" s="297">
        <f>D92</f>
        <v>0</v>
      </c>
      <c r="E93" s="268">
        <f t="shared" ref="E93:O93" si="26">D93+E92</f>
        <v>0</v>
      </c>
      <c r="F93" s="268">
        <f t="shared" si="26"/>
        <v>0</v>
      </c>
      <c r="G93" s="268">
        <f t="shared" si="26"/>
        <v>0</v>
      </c>
      <c r="H93" s="268">
        <f t="shared" si="26"/>
        <v>0</v>
      </c>
      <c r="I93" s="268">
        <f t="shared" si="26"/>
        <v>0</v>
      </c>
      <c r="J93" s="268">
        <f t="shared" si="26"/>
        <v>0</v>
      </c>
      <c r="K93" s="268">
        <f t="shared" si="26"/>
        <v>0</v>
      </c>
      <c r="L93" s="268">
        <f t="shared" si="26"/>
        <v>0</v>
      </c>
      <c r="M93" s="268">
        <f t="shared" si="26"/>
        <v>0</v>
      </c>
      <c r="N93" s="268">
        <f t="shared" si="26"/>
        <v>0</v>
      </c>
      <c r="O93" s="269">
        <f t="shared" si="26"/>
        <v>0</v>
      </c>
      <c r="P93" s="270">
        <f>O93</f>
        <v>0</v>
      </c>
    </row>
    <row r="94" spans="1:16" s="127" customFormat="1" ht="15" customHeight="1" thickTop="1">
      <c r="A94" s="126" t="s">
        <v>245</v>
      </c>
      <c r="B94" s="54"/>
      <c r="C94" s="53"/>
      <c r="D94" s="54"/>
      <c r="E94" s="54"/>
      <c r="F94" s="55"/>
      <c r="G94" s="54"/>
      <c r="H94" s="54"/>
      <c r="I94" s="54"/>
      <c r="J94" s="54"/>
      <c r="K94" s="54"/>
      <c r="L94" s="54"/>
      <c r="M94" s="54"/>
      <c r="N94" s="54"/>
      <c r="O94" s="54"/>
      <c r="P94" s="54"/>
    </row>
    <row r="95" spans="1:16" s="127" customFormat="1" ht="15" customHeight="1">
      <c r="A95" s="273" t="s">
        <v>250</v>
      </c>
      <c r="B95" s="54"/>
      <c r="C95" s="53"/>
      <c r="D95" s="54"/>
      <c r="E95" s="54"/>
      <c r="F95" s="55"/>
      <c r="G95" s="54"/>
      <c r="H95" s="54"/>
      <c r="I95" s="54"/>
      <c r="J95" s="54"/>
      <c r="K95" s="54"/>
      <c r="L95" s="54"/>
      <c r="M95" s="54"/>
      <c r="N95" s="54"/>
      <c r="O95" s="54"/>
      <c r="P95" s="54"/>
    </row>
    <row r="96" spans="1:16" s="127" customFormat="1" ht="15" customHeight="1">
      <c r="A96" s="273" t="s">
        <v>251</v>
      </c>
      <c r="B96" s="54"/>
      <c r="C96" s="53"/>
      <c r="D96" s="54"/>
      <c r="E96" s="54"/>
      <c r="F96" s="55"/>
      <c r="G96" s="54"/>
      <c r="H96" s="54"/>
      <c r="I96" s="54"/>
      <c r="J96" s="54"/>
      <c r="K96" s="54"/>
      <c r="L96" s="54"/>
      <c r="M96" s="54"/>
      <c r="N96" s="54"/>
      <c r="O96" s="54"/>
      <c r="P96" s="54"/>
    </row>
    <row r="97" spans="1:11" s="128" customFormat="1" ht="15" customHeight="1">
      <c r="A97" s="272" t="s">
        <v>240</v>
      </c>
      <c r="B97" s="126"/>
      <c r="C97" s="126"/>
      <c r="D97" s="126"/>
      <c r="E97" s="126"/>
      <c r="F97" s="126"/>
      <c r="G97" s="126"/>
      <c r="H97" s="126"/>
      <c r="I97" s="126"/>
    </row>
    <row r="98" spans="1:11" s="131" customFormat="1" ht="15" customHeight="1">
      <c r="A98" s="129" t="s">
        <v>118</v>
      </c>
      <c r="B98" s="130"/>
      <c r="C98" s="130"/>
      <c r="D98" s="130"/>
      <c r="E98" s="130"/>
      <c r="F98" s="130"/>
      <c r="G98" s="130"/>
      <c r="H98" s="130"/>
      <c r="I98" s="130"/>
    </row>
    <row r="99" spans="1:11" s="131" customFormat="1" ht="15" customHeight="1">
      <c r="A99" s="129" t="s">
        <v>119</v>
      </c>
      <c r="B99" s="130"/>
      <c r="C99" s="130"/>
      <c r="D99" s="130"/>
      <c r="E99" s="130"/>
      <c r="F99" s="130"/>
      <c r="G99" s="130"/>
      <c r="H99" s="130"/>
      <c r="I99" s="130"/>
    </row>
    <row r="100" spans="1:11" s="131" customFormat="1" ht="15" customHeight="1">
      <c r="A100" s="129"/>
      <c r="B100" s="130"/>
      <c r="C100" s="130"/>
      <c r="D100" s="130"/>
      <c r="E100" s="130"/>
      <c r="F100" s="130"/>
      <c r="G100" s="130"/>
      <c r="H100" s="130"/>
      <c r="I100" s="130"/>
    </row>
    <row r="101" spans="1:11" s="132" customFormat="1" ht="15" customHeight="1">
      <c r="A101" s="192" t="s">
        <v>180</v>
      </c>
      <c r="B101" s="209" t="s">
        <v>217</v>
      </c>
      <c r="K101" s="131"/>
    </row>
    <row r="102" spans="1:11" s="132" customFormat="1" ht="15" customHeight="1">
      <c r="A102" s="192" t="s">
        <v>181</v>
      </c>
      <c r="B102" s="209" t="s">
        <v>218</v>
      </c>
    </row>
    <row r="103" spans="1:11" s="132" customFormat="1" ht="15" customHeight="1">
      <c r="A103" s="192" t="s">
        <v>95</v>
      </c>
      <c r="B103" s="208" t="s">
        <v>219</v>
      </c>
    </row>
    <row r="104" spans="1:11" s="132" customFormat="1" ht="15" customHeight="1">
      <c r="A104" s="192" t="s">
        <v>182</v>
      </c>
      <c r="B104" s="209" t="s">
        <v>220</v>
      </c>
    </row>
    <row r="105" spans="1:11">
      <c r="A105" s="192" t="s">
        <v>108</v>
      </c>
      <c r="B105" s="209" t="s">
        <v>221</v>
      </c>
      <c r="C105" s="132"/>
    </row>
    <row r="106" spans="1:11" s="277" customFormat="1">
      <c r="A106" s="276"/>
    </row>
    <row r="107" spans="1:11" s="277" customFormat="1"/>
    <row r="108" spans="1:11" s="277" customFormat="1"/>
    <row r="109" spans="1:11" s="277" customFormat="1"/>
    <row r="110" spans="1:11" s="277" customFormat="1"/>
    <row r="111" spans="1:11" s="277" customFormat="1"/>
    <row r="112" spans="1:11" s="277" customFormat="1"/>
    <row r="113" s="277" customFormat="1"/>
    <row r="114" s="277" customFormat="1"/>
    <row r="115" s="277" customFormat="1"/>
    <row r="116" s="277" customFormat="1"/>
    <row r="117" s="277" customFormat="1"/>
    <row r="118" s="277" customFormat="1"/>
    <row r="119" s="277" customFormat="1"/>
    <row r="120" s="277" customFormat="1"/>
    <row r="121" s="277" customFormat="1"/>
    <row r="122" s="277" customFormat="1"/>
    <row r="123" s="277" customFormat="1"/>
    <row r="124" s="277" customFormat="1"/>
    <row r="125" s="277" customFormat="1"/>
    <row r="126" s="277" customFormat="1"/>
    <row r="127" s="277" customFormat="1"/>
    <row r="128" s="277" customFormat="1"/>
    <row r="129" s="277" customFormat="1"/>
    <row r="130" s="277" customFormat="1"/>
    <row r="131" s="277" customFormat="1"/>
    <row r="132" s="277" customFormat="1"/>
    <row r="133" s="277" customFormat="1"/>
    <row r="134" s="277" customFormat="1"/>
    <row r="135" s="277" customFormat="1"/>
    <row r="136" s="277" customFormat="1"/>
  </sheetData>
  <sheetProtection password="960F" sheet="1" objects="1" scenarios="1" formatCells="0" formatColumns="0" formatRows="0"/>
  <customSheetViews>
    <customSheetView guid="{D40860F8-774D-11D2-87AB-0008C760F79A}" scale="50" colorId="22" showRuler="0" topLeftCell="I62">
      <selection activeCell="D2" sqref="D2:V67"/>
      <pageMargins left="0.25" right="0.25" top="0.25" bottom="0.25" header="0.25" footer="0.26"/>
      <pageSetup scale="61" orientation="landscape" horizontalDpi="4294967295" verticalDpi="4294967295" r:id="rId1"/>
      <headerFooter alignWithMargins="0">
        <oddHeader>&amp;RGFE - 1</oddHeader>
        <oddFooter>&amp;L&amp;D +&amp;C&amp;Rp:/operate/steve ^</oddFooter>
      </headerFooter>
    </customSheetView>
  </customSheetViews>
  <conditionalFormatting sqref="D92:N92">
    <cfRule type="expression" dxfId="0" priority="1" stopIfTrue="1">
      <formula>E6&lt;&gt;"(Est)"</formula>
    </cfRule>
  </conditionalFormatting>
  <dataValidations disablePrompts="1" count="1">
    <dataValidation allowBlank="1" showErrorMessage="1" promptTitle="Enter Date As:" prompt="YYYY-MM" sqref="E2"/>
  </dataValidations>
  <printOptions horizontalCentered="1"/>
  <pageMargins left="0" right="0" top="0.51181102362204722" bottom="0.39370078740157483" header="0" footer="0.11811023622047245"/>
  <pageSetup paperSize="5" scale="56" fitToHeight="2" orientation="landscape" r:id="rId2"/>
  <headerFooter>
    <oddHeader>&amp;L&amp;G</oddHeader>
    <oddFooter>&amp;CAlberta Energy&amp;R          &amp;P/&amp;N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8"/>
  <sheetViews>
    <sheetView topLeftCell="H1" workbookViewId="0">
      <selection activeCell="T9" sqref="T9"/>
    </sheetView>
  </sheetViews>
  <sheetFormatPr defaultColWidth="12" defaultRowHeight="12.75"/>
  <cols>
    <col min="1" max="4" width="12" style="136"/>
    <col min="5" max="5" width="14.5546875" style="136" customWidth="1"/>
    <col min="6" max="6" width="16.21875" style="136" customWidth="1"/>
    <col min="7" max="7" width="14.44140625" style="136" customWidth="1"/>
    <col min="8" max="8" width="15.21875" style="136" customWidth="1"/>
    <col min="9" max="9" width="15.88671875" style="136" customWidth="1"/>
    <col min="10" max="11" width="12" style="136"/>
    <col min="12" max="12" width="15.21875" style="136" customWidth="1"/>
    <col min="13" max="19" width="12" style="136"/>
    <col min="20" max="20" width="13.21875" style="136" customWidth="1"/>
    <col min="21" max="21" width="13.77734375" style="141" customWidth="1"/>
    <col min="22" max="22" width="14.109375" style="141" customWidth="1"/>
    <col min="23" max="23" width="12" style="141"/>
    <col min="24" max="16384" width="12" style="136"/>
  </cols>
  <sheetData>
    <row r="1" spans="1:34">
      <c r="L1" s="137" t="s">
        <v>149</v>
      </c>
      <c r="M1" s="138" t="s">
        <v>150</v>
      </c>
      <c r="N1" s="139"/>
      <c r="O1" s="140"/>
      <c r="P1" s="140"/>
      <c r="Q1" s="140"/>
      <c r="R1" s="140"/>
      <c r="S1" s="140"/>
      <c r="T1" s="140"/>
    </row>
    <row r="2" spans="1:34" ht="13.5" thickBot="1">
      <c r="A2" s="136" t="s">
        <v>151</v>
      </c>
      <c r="L2" s="142" t="s">
        <v>152</v>
      </c>
      <c r="M2" s="138" t="s">
        <v>153</v>
      </c>
      <c r="N2" s="143"/>
      <c r="O2" s="144"/>
      <c r="P2" s="144"/>
      <c r="Q2" s="144"/>
      <c r="R2" s="144"/>
      <c r="S2" s="144"/>
      <c r="T2" s="144"/>
    </row>
    <row r="3" spans="1:34" ht="39.75" thickTop="1" thickBot="1">
      <c r="A3" s="145" t="s">
        <v>154</v>
      </c>
      <c r="B3" s="145" t="s">
        <v>155</v>
      </c>
      <c r="C3" s="145" t="s">
        <v>156</v>
      </c>
      <c r="D3" s="145" t="s">
        <v>157</v>
      </c>
      <c r="E3" s="145" t="s">
        <v>158</v>
      </c>
      <c r="F3" s="146" t="s">
        <v>159</v>
      </c>
      <c r="G3" s="145" t="s">
        <v>160</v>
      </c>
      <c r="H3" s="145" t="s">
        <v>161</v>
      </c>
      <c r="I3" s="145" t="s">
        <v>162</v>
      </c>
      <c r="J3" s="147" t="s">
        <v>163</v>
      </c>
      <c r="K3" s="148" t="s">
        <v>164</v>
      </c>
      <c r="L3" s="146" t="s">
        <v>165</v>
      </c>
      <c r="M3" s="146" t="s">
        <v>166</v>
      </c>
      <c r="N3" s="146" t="s">
        <v>167</v>
      </c>
      <c r="O3" s="146" t="s">
        <v>168</v>
      </c>
      <c r="P3" s="146" t="s">
        <v>169</v>
      </c>
      <c r="Q3" s="146" t="s">
        <v>170</v>
      </c>
      <c r="R3" s="146" t="s">
        <v>171</v>
      </c>
      <c r="S3" s="146" t="s">
        <v>172</v>
      </c>
      <c r="T3" s="146" t="s">
        <v>173</v>
      </c>
      <c r="U3" s="145" t="s">
        <v>174</v>
      </c>
      <c r="V3" s="145" t="s">
        <v>175</v>
      </c>
      <c r="W3" s="149"/>
      <c r="X3" s="150" t="s">
        <v>176</v>
      </c>
    </row>
    <row r="4" spans="1:34" s="140" customFormat="1" ht="15.75" thickTop="1">
      <c r="A4" s="151">
        <v>2009</v>
      </c>
      <c r="B4" s="310">
        <v>0.25</v>
      </c>
      <c r="C4" s="305">
        <v>3.9E-2</v>
      </c>
      <c r="D4" s="144">
        <f t="shared" ref="D4:D28" si="0">2034-A4</f>
        <v>25</v>
      </c>
      <c r="E4" s="307">
        <v>4964542202</v>
      </c>
      <c r="F4" s="154">
        <f>PMT(C4,D4,-E4,0)</f>
        <v>314440003.6575492</v>
      </c>
      <c r="G4" s="153">
        <f t="shared" ref="G4:G28" si="1">E4*C4</f>
        <v>193617145.87799999</v>
      </c>
      <c r="H4" s="153">
        <f t="shared" ref="H4:H28" si="2">F4-(E4*C4)</f>
        <v>120822857.77954921</v>
      </c>
      <c r="I4" s="153">
        <f t="shared" ref="I4:I28" si="3">E4-H4</f>
        <v>4843719344.2204504</v>
      </c>
      <c r="J4" s="155">
        <f t="shared" ref="J4:J28" si="4">1-1/(1+(B4-0.25)/0.25)</f>
        <v>0</v>
      </c>
      <c r="K4" s="153">
        <f t="shared" ref="K4:K28" si="5">F4*J4</f>
        <v>0</v>
      </c>
      <c r="L4" s="153">
        <f t="shared" ref="L4:L28" si="6">F4-K4</f>
        <v>314440003.6575492</v>
      </c>
      <c r="M4" s="156" t="s">
        <v>153</v>
      </c>
      <c r="N4" s="157">
        <f t="shared" ref="N4:N28" si="7">IF(M4="N",L4,0)</f>
        <v>314440003.6575492</v>
      </c>
      <c r="O4" s="309">
        <f t="shared" ref="O4:O12" si="8">IF(M4="Y",(F4-N4),(L4-N4))</f>
        <v>0</v>
      </c>
      <c r="P4" s="158">
        <v>0</v>
      </c>
      <c r="Q4" s="158">
        <f>O4-P4</f>
        <v>0</v>
      </c>
      <c r="R4" s="153">
        <f>Q4*C4*0.5</f>
        <v>0</v>
      </c>
      <c r="S4" s="153">
        <f t="shared" ref="S4:S28" si="9">Q4+R4</f>
        <v>0</v>
      </c>
      <c r="T4" s="308">
        <f>IF(M4="N", (F4+P4)*(1-J4),0)</f>
        <v>314440003.6575492</v>
      </c>
      <c r="U4" s="159">
        <f t="shared" ref="U4:U28" si="10">T4*B4</f>
        <v>78610000.914387301</v>
      </c>
      <c r="V4" s="159"/>
      <c r="W4" s="159"/>
      <c r="X4" s="153">
        <f t="shared" ref="X4:X28" si="11">E4*C4*(1/(1-(1/(1+C4)^D4)))*(1-J4)</f>
        <v>314440003.6575498</v>
      </c>
      <c r="Y4" s="154"/>
    </row>
    <row r="5" spans="1:34" ht="15">
      <c r="A5" s="160">
        <v>2010</v>
      </c>
      <c r="B5" s="311">
        <v>0.25</v>
      </c>
      <c r="C5" s="306">
        <v>3.73E-2</v>
      </c>
      <c r="D5" s="161">
        <f t="shared" si="0"/>
        <v>24</v>
      </c>
      <c r="E5" s="162">
        <f t="shared" ref="E5:E28" si="12">E4-H4</f>
        <v>4843719344.2204504</v>
      </c>
      <c r="F5" s="154">
        <f t="shared" ref="F5:F28" si="13">PMT(C5,D5,-E5,0)</f>
        <v>308963464.51826817</v>
      </c>
      <c r="G5" s="162">
        <f t="shared" si="1"/>
        <v>180670731.53942281</v>
      </c>
      <c r="H5" s="162">
        <f t="shared" si="2"/>
        <v>128292732.97884536</v>
      </c>
      <c r="I5" s="162">
        <f t="shared" si="3"/>
        <v>4715426611.2416048</v>
      </c>
      <c r="J5" s="163">
        <f t="shared" si="4"/>
        <v>0</v>
      </c>
      <c r="K5" s="153">
        <f t="shared" si="5"/>
        <v>0</v>
      </c>
      <c r="L5" s="164">
        <f t="shared" si="6"/>
        <v>308963464.51826817</v>
      </c>
      <c r="M5" s="165" t="s">
        <v>153</v>
      </c>
      <c r="N5" s="166">
        <f t="shared" si="7"/>
        <v>308963464.51826817</v>
      </c>
      <c r="O5" s="309">
        <f t="shared" si="8"/>
        <v>0</v>
      </c>
      <c r="P5" s="168">
        <f t="shared" ref="P5:P28" si="14">IF(M5="N",S4,0)</f>
        <v>0</v>
      </c>
      <c r="Q5" s="168">
        <f t="shared" ref="Q5:Q28" si="15">S4+O5-P5</f>
        <v>0</v>
      </c>
      <c r="R5" s="167">
        <f t="shared" ref="R5:R28" si="16">IF(S4=0,Q5*0.5*C5,Q5*C5)</f>
        <v>0</v>
      </c>
      <c r="S5" s="167">
        <f t="shared" si="9"/>
        <v>0</v>
      </c>
      <c r="T5" s="308">
        <f t="shared" ref="T5:T28" si="17">IF(M5="N", (F5+P5)*(1-J5),0)</f>
        <v>308963464.51826817</v>
      </c>
      <c r="U5" s="159">
        <f t="shared" si="10"/>
        <v>77240866.129567042</v>
      </c>
      <c r="V5" s="281">
        <v>0</v>
      </c>
      <c r="W5" s="159"/>
      <c r="X5" s="162">
        <f t="shared" si="11"/>
        <v>308963464.51826787</v>
      </c>
      <c r="Y5" s="170"/>
    </row>
    <row r="6" spans="1:34" ht="15">
      <c r="A6" s="160">
        <v>2011</v>
      </c>
      <c r="B6" s="311">
        <v>0.25</v>
      </c>
      <c r="C6" s="306">
        <v>3.2899999999999999E-2</v>
      </c>
      <c r="D6" s="161">
        <f t="shared" si="0"/>
        <v>23</v>
      </c>
      <c r="E6" s="162">
        <f t="shared" si="12"/>
        <v>4715426611.2416048</v>
      </c>
      <c r="F6" s="154">
        <f t="shared" si="13"/>
        <v>295479145.0252887</v>
      </c>
      <c r="G6" s="162">
        <f t="shared" si="1"/>
        <v>155137535.5098488</v>
      </c>
      <c r="H6" s="162">
        <f t="shared" si="2"/>
        <v>140341609.5154399</v>
      </c>
      <c r="I6" s="162">
        <f t="shared" si="3"/>
        <v>4575085001.7261648</v>
      </c>
      <c r="J6" s="163">
        <f t="shared" si="4"/>
        <v>0</v>
      </c>
      <c r="K6" s="153">
        <f t="shared" si="5"/>
        <v>0</v>
      </c>
      <c r="L6" s="164">
        <f t="shared" si="6"/>
        <v>295479145.0252887</v>
      </c>
      <c r="M6" s="171" t="s">
        <v>153</v>
      </c>
      <c r="N6" s="166">
        <f t="shared" si="7"/>
        <v>295479145.0252887</v>
      </c>
      <c r="O6" s="309">
        <f t="shared" si="8"/>
        <v>0</v>
      </c>
      <c r="P6" s="168">
        <f t="shared" si="14"/>
        <v>0</v>
      </c>
      <c r="Q6" s="168">
        <f t="shared" si="15"/>
        <v>0</v>
      </c>
      <c r="R6" s="167">
        <f t="shared" si="16"/>
        <v>0</v>
      </c>
      <c r="S6" s="167">
        <f t="shared" si="9"/>
        <v>0</v>
      </c>
      <c r="T6" s="308">
        <f t="shared" si="17"/>
        <v>295479145.0252887</v>
      </c>
      <c r="U6" s="159">
        <f t="shared" si="10"/>
        <v>73869786.256322175</v>
      </c>
      <c r="V6" s="281">
        <v>0</v>
      </c>
      <c r="W6" s="159"/>
      <c r="X6" s="162">
        <f t="shared" si="11"/>
        <v>295479145.02528906</v>
      </c>
      <c r="Y6" s="170"/>
    </row>
    <row r="7" spans="1:34" ht="15">
      <c r="A7" s="160">
        <v>2012</v>
      </c>
      <c r="B7" s="311">
        <v>0.25</v>
      </c>
      <c r="C7" s="306">
        <v>2.4299999999999999E-2</v>
      </c>
      <c r="D7" s="161">
        <f t="shared" si="0"/>
        <v>22</v>
      </c>
      <c r="E7" s="162">
        <f t="shared" si="12"/>
        <v>4575085001.7261648</v>
      </c>
      <c r="F7" s="154">
        <f t="shared" si="13"/>
        <v>270933277.97935706</v>
      </c>
      <c r="G7" s="162">
        <f t="shared" si="1"/>
        <v>111174565.5419458</v>
      </c>
      <c r="H7" s="162">
        <f t="shared" si="2"/>
        <v>159758712.43741125</v>
      </c>
      <c r="I7" s="162">
        <f t="shared" si="3"/>
        <v>4415326289.2887535</v>
      </c>
      <c r="J7" s="163">
        <f t="shared" si="4"/>
        <v>0</v>
      </c>
      <c r="K7" s="153">
        <f t="shared" si="5"/>
        <v>0</v>
      </c>
      <c r="L7" s="164">
        <f t="shared" si="6"/>
        <v>270933277.97935706</v>
      </c>
      <c r="M7" s="165" t="s">
        <v>153</v>
      </c>
      <c r="N7" s="166">
        <f t="shared" si="7"/>
        <v>270933277.97935706</v>
      </c>
      <c r="O7" s="309">
        <f t="shared" si="8"/>
        <v>0</v>
      </c>
      <c r="P7" s="168">
        <f t="shared" si="14"/>
        <v>0</v>
      </c>
      <c r="Q7" s="168">
        <f t="shared" si="15"/>
        <v>0</v>
      </c>
      <c r="R7" s="167">
        <f t="shared" si="16"/>
        <v>0</v>
      </c>
      <c r="S7" s="167">
        <f t="shared" si="9"/>
        <v>0</v>
      </c>
      <c r="T7" s="308">
        <f t="shared" si="17"/>
        <v>270933277.97935706</v>
      </c>
      <c r="U7" s="159">
        <f t="shared" si="10"/>
        <v>67733319.494839266</v>
      </c>
      <c r="V7" s="281">
        <v>0</v>
      </c>
      <c r="W7" s="159"/>
      <c r="X7" s="162">
        <f t="shared" si="11"/>
        <v>270933277.97935724</v>
      </c>
      <c r="Y7" s="170"/>
    </row>
    <row r="8" spans="1:34" ht="15">
      <c r="A8" s="160">
        <v>2013</v>
      </c>
      <c r="B8" s="311">
        <v>0.25</v>
      </c>
      <c r="C8" s="306">
        <v>2.8400000000000002E-2</v>
      </c>
      <c r="D8" s="161">
        <f t="shared" si="0"/>
        <v>21</v>
      </c>
      <c r="E8" s="162">
        <f t="shared" si="12"/>
        <v>4415326289.2887535</v>
      </c>
      <c r="F8" s="154">
        <f t="shared" si="13"/>
        <v>282033088.89030379</v>
      </c>
      <c r="G8" s="162">
        <f t="shared" si="1"/>
        <v>125395266.6158006</v>
      </c>
      <c r="H8" s="162">
        <f t="shared" si="2"/>
        <v>156637822.27450317</v>
      </c>
      <c r="I8" s="162">
        <f t="shared" si="3"/>
        <v>4258688467.0142503</v>
      </c>
      <c r="J8" s="163">
        <f t="shared" si="4"/>
        <v>0</v>
      </c>
      <c r="K8" s="153">
        <f t="shared" si="5"/>
        <v>0</v>
      </c>
      <c r="L8" s="164">
        <f t="shared" si="6"/>
        <v>282033088.89030379</v>
      </c>
      <c r="M8" s="165" t="s">
        <v>153</v>
      </c>
      <c r="N8" s="166">
        <f t="shared" si="7"/>
        <v>282033088.89030379</v>
      </c>
      <c r="O8" s="309">
        <f t="shared" si="8"/>
        <v>0</v>
      </c>
      <c r="P8" s="168">
        <f t="shared" si="14"/>
        <v>0</v>
      </c>
      <c r="Q8" s="168">
        <f t="shared" si="15"/>
        <v>0</v>
      </c>
      <c r="R8" s="167">
        <f t="shared" si="16"/>
        <v>0</v>
      </c>
      <c r="S8" s="167">
        <f t="shared" si="9"/>
        <v>0</v>
      </c>
      <c r="T8" s="308">
        <f t="shared" si="17"/>
        <v>282033088.89030379</v>
      </c>
      <c r="U8" s="159">
        <f t="shared" si="10"/>
        <v>70508272.222575948</v>
      </c>
      <c r="V8" s="281">
        <v>0</v>
      </c>
      <c r="W8" s="159"/>
      <c r="X8" s="162">
        <f t="shared" si="11"/>
        <v>282033088.89030403</v>
      </c>
      <c r="Y8" s="170"/>
    </row>
    <row r="9" spans="1:34" ht="15">
      <c r="A9" s="160">
        <v>2014</v>
      </c>
      <c r="B9" s="311">
        <v>0.25</v>
      </c>
      <c r="C9" s="306">
        <v>2.7300000000000001E-2</v>
      </c>
      <c r="D9" s="161">
        <f t="shared" si="0"/>
        <v>20</v>
      </c>
      <c r="E9" s="162">
        <f t="shared" si="12"/>
        <v>4258688467.0142503</v>
      </c>
      <c r="F9" s="154">
        <f t="shared" si="13"/>
        <v>279152971.20729089</v>
      </c>
      <c r="G9" s="162">
        <f t="shared" si="1"/>
        <v>116262195.14948905</v>
      </c>
      <c r="H9" s="162">
        <f>F9-(E9*C9)</f>
        <v>162890776.05780184</v>
      </c>
      <c r="I9" s="162">
        <f t="shared" si="3"/>
        <v>4095797690.9564486</v>
      </c>
      <c r="J9" s="163">
        <f t="shared" si="4"/>
        <v>0</v>
      </c>
      <c r="K9" s="153">
        <f t="shared" si="5"/>
        <v>0</v>
      </c>
      <c r="L9" s="164">
        <f t="shared" si="6"/>
        <v>279152971.20729089</v>
      </c>
      <c r="M9" s="165" t="s">
        <v>153</v>
      </c>
      <c r="N9" s="166">
        <f t="shared" si="7"/>
        <v>279152971.20729089</v>
      </c>
      <c r="O9" s="309">
        <f t="shared" si="8"/>
        <v>0</v>
      </c>
      <c r="P9" s="168">
        <f>IF(M9="N",S8,0)</f>
        <v>0</v>
      </c>
      <c r="Q9" s="168">
        <f t="shared" si="15"/>
        <v>0</v>
      </c>
      <c r="R9" s="167">
        <f t="shared" si="16"/>
        <v>0</v>
      </c>
      <c r="S9" s="167">
        <f t="shared" si="9"/>
        <v>0</v>
      </c>
      <c r="T9" s="308">
        <f t="shared" si="17"/>
        <v>279152971.20729089</v>
      </c>
      <c r="U9" s="159">
        <f t="shared" si="10"/>
        <v>69788242.801822722</v>
      </c>
      <c r="V9" s="281">
        <v>0</v>
      </c>
      <c r="W9" s="159"/>
      <c r="X9" s="162">
        <f t="shared" si="11"/>
        <v>279152971.20729029</v>
      </c>
      <c r="Y9" s="170"/>
    </row>
    <row r="10" spans="1:34" ht="15">
      <c r="A10" s="160">
        <v>2015</v>
      </c>
      <c r="B10" s="311">
        <v>0.25</v>
      </c>
      <c r="C10" s="306">
        <v>2.1700000000000001E-2</v>
      </c>
      <c r="D10" s="161">
        <f t="shared" si="0"/>
        <v>19</v>
      </c>
      <c r="E10" s="162">
        <f t="shared" si="12"/>
        <v>4095797690.9564486</v>
      </c>
      <c r="F10" s="154">
        <f t="shared" si="13"/>
        <v>265350974.37499374</v>
      </c>
      <c r="G10" s="162">
        <f>E10*C10</f>
        <v>88878809.893754929</v>
      </c>
      <c r="H10" s="162">
        <f>F10-(E10*C10)</f>
        <v>176472164.48123881</v>
      </c>
      <c r="I10" s="162">
        <f>E10-H10</f>
        <v>3919325526.4752097</v>
      </c>
      <c r="J10" s="163">
        <f t="shared" si="4"/>
        <v>0</v>
      </c>
      <c r="K10" s="153">
        <f t="shared" si="5"/>
        <v>0</v>
      </c>
      <c r="L10" s="164">
        <f>F10-K10</f>
        <v>265350974.37499374</v>
      </c>
      <c r="M10" s="171" t="s">
        <v>285</v>
      </c>
      <c r="N10" s="166">
        <f>IF(M10="N",L10,0)</f>
        <v>0</v>
      </c>
      <c r="O10" s="309">
        <f t="shared" si="8"/>
        <v>265350974.37499374</v>
      </c>
      <c r="P10" s="168">
        <f>IF(M10="N",S9,0)</f>
        <v>0</v>
      </c>
      <c r="Q10" s="168">
        <f t="shared" si="15"/>
        <v>265350974.37499374</v>
      </c>
      <c r="R10" s="167">
        <f>IF(S9=0,Q10*0.5*C10,Q10*C10)</f>
        <v>2879058.0719686821</v>
      </c>
      <c r="S10" s="167">
        <f>Q10+R10</f>
        <v>268230032.44696242</v>
      </c>
      <c r="T10" s="308">
        <f t="shared" si="17"/>
        <v>0</v>
      </c>
      <c r="U10" s="159">
        <f t="shared" si="10"/>
        <v>0</v>
      </c>
      <c r="V10" s="281">
        <v>0</v>
      </c>
      <c r="W10" s="159"/>
      <c r="X10" s="162">
        <f t="shared" si="11"/>
        <v>265350974.37499267</v>
      </c>
      <c r="Y10" s="170"/>
    </row>
    <row r="11" spans="1:34" ht="15">
      <c r="A11" s="136">
        <v>2016</v>
      </c>
      <c r="B11" s="311">
        <v>0.25170769999999998</v>
      </c>
      <c r="C11" s="306">
        <v>1.9199999999999998E-2</v>
      </c>
      <c r="D11" s="161">
        <f t="shared" si="0"/>
        <v>18</v>
      </c>
      <c r="E11" s="162">
        <f t="shared" si="12"/>
        <v>3919325526.4752097</v>
      </c>
      <c r="F11" s="154">
        <f t="shared" si="13"/>
        <v>259592019.83115205</v>
      </c>
      <c r="G11" s="162">
        <f t="shared" si="1"/>
        <v>75251050.108324021</v>
      </c>
      <c r="H11" s="162">
        <f t="shared" si="2"/>
        <v>184340969.72282803</v>
      </c>
      <c r="I11" s="162">
        <f t="shared" si="3"/>
        <v>3734984556.7523818</v>
      </c>
      <c r="J11" s="163">
        <f t="shared" si="4"/>
        <v>6.784456732948474E-3</v>
      </c>
      <c r="K11" s="153">
        <f t="shared" si="5"/>
        <v>1761190.8267631533</v>
      </c>
      <c r="L11" s="164">
        <f t="shared" si="6"/>
        <v>257830829.0043889</v>
      </c>
      <c r="M11" s="165" t="s">
        <v>285</v>
      </c>
      <c r="N11" s="166">
        <f t="shared" si="7"/>
        <v>0</v>
      </c>
      <c r="O11" s="309">
        <f t="shared" si="8"/>
        <v>259592019.83115205</v>
      </c>
      <c r="P11" s="168">
        <f t="shared" si="14"/>
        <v>0</v>
      </c>
      <c r="Q11" s="168">
        <f>S10+O11-P11</f>
        <v>527822052.27811444</v>
      </c>
      <c r="R11" s="167">
        <f t="shared" si="16"/>
        <v>10134183.403739797</v>
      </c>
      <c r="S11" s="167">
        <f t="shared" si="9"/>
        <v>537956235.68185425</v>
      </c>
      <c r="T11" s="308">
        <f t="shared" si="17"/>
        <v>0</v>
      </c>
      <c r="U11" s="159">
        <f t="shared" si="10"/>
        <v>0</v>
      </c>
      <c r="V11" s="169"/>
      <c r="W11" s="159"/>
      <c r="X11" s="162">
        <f t="shared" si="11"/>
        <v>257830829.00438765</v>
      </c>
      <c r="Y11" s="170"/>
      <c r="AD11" s="172"/>
      <c r="AE11" s="172"/>
    </row>
    <row r="12" spans="1:34" ht="15">
      <c r="A12" s="136">
        <v>2017</v>
      </c>
      <c r="B12" s="311">
        <v>0.27411540000000001</v>
      </c>
      <c r="C12" s="306">
        <v>2.2800000000000001E-2</v>
      </c>
      <c r="D12" s="161">
        <f t="shared" si="0"/>
        <v>17</v>
      </c>
      <c r="E12" s="162">
        <f t="shared" si="12"/>
        <v>3734984556.7523818</v>
      </c>
      <c r="F12" s="154">
        <f t="shared" si="13"/>
        <v>267492093.2396642</v>
      </c>
      <c r="G12" s="162">
        <f t="shared" si="1"/>
        <v>85157647.893954307</v>
      </c>
      <c r="H12" s="162">
        <f t="shared" si="2"/>
        <v>182334445.34570989</v>
      </c>
      <c r="I12" s="162">
        <f t="shared" si="3"/>
        <v>3552650111.406672</v>
      </c>
      <c r="J12" s="163">
        <f>1-1/(1+(B12-0.25)/0.25)</f>
        <v>8.7975356364509261E-2</v>
      </c>
      <c r="K12" s="153">
        <f>F12*J12</f>
        <v>23532712.227447998</v>
      </c>
      <c r="L12" s="164">
        <f>F12-K12</f>
        <v>243959381.01221621</v>
      </c>
      <c r="M12" s="165" t="s">
        <v>153</v>
      </c>
      <c r="N12" s="166">
        <f>IF(M12="N",L12,0)</f>
        <v>243959381.01221621</v>
      </c>
      <c r="O12" s="309">
        <f t="shared" si="8"/>
        <v>0</v>
      </c>
      <c r="P12" s="168">
        <f t="shared" si="14"/>
        <v>537956235.68185425</v>
      </c>
      <c r="Q12" s="168">
        <f t="shared" si="15"/>
        <v>0</v>
      </c>
      <c r="R12" s="167">
        <f t="shared" si="16"/>
        <v>0</v>
      </c>
      <c r="S12" s="167">
        <f t="shared" si="9"/>
        <v>0</v>
      </c>
      <c r="T12" s="308">
        <f t="shared" si="17"/>
        <v>734588725.15144944</v>
      </c>
      <c r="U12" s="159">
        <f>T12*B12</f>
        <v>201362082.23037964</v>
      </c>
      <c r="V12" s="169"/>
      <c r="W12" s="159"/>
      <c r="X12" s="162">
        <f t="shared" si="11"/>
        <v>243959381.01221719</v>
      </c>
      <c r="Y12" s="170"/>
    </row>
    <row r="13" spans="1:34">
      <c r="A13" s="136">
        <v>2018</v>
      </c>
      <c r="B13" s="312">
        <v>0</v>
      </c>
      <c r="C13" s="152">
        <v>0</v>
      </c>
      <c r="D13" s="161">
        <f t="shared" si="0"/>
        <v>16</v>
      </c>
      <c r="E13" s="162">
        <f t="shared" si="12"/>
        <v>3552650111.406672</v>
      </c>
      <c r="F13" s="154">
        <f t="shared" si="13"/>
        <v>222040631.962917</v>
      </c>
      <c r="G13" s="162">
        <f t="shared" si="1"/>
        <v>0</v>
      </c>
      <c r="H13" s="162">
        <f t="shared" si="2"/>
        <v>222040631.962917</v>
      </c>
      <c r="I13" s="162">
        <f t="shared" si="3"/>
        <v>3330609479.4437551</v>
      </c>
      <c r="J13" s="163" t="e">
        <f t="shared" si="4"/>
        <v>#DIV/0!</v>
      </c>
      <c r="K13" s="153" t="e">
        <f t="shared" si="5"/>
        <v>#DIV/0!</v>
      </c>
      <c r="L13" s="164" t="e">
        <f t="shared" si="6"/>
        <v>#DIV/0!</v>
      </c>
      <c r="M13" s="165" t="s">
        <v>153</v>
      </c>
      <c r="N13" s="166" t="e">
        <f t="shared" si="7"/>
        <v>#DIV/0!</v>
      </c>
      <c r="O13" s="309" t="e">
        <f t="shared" ref="O13:O28" si="18">IF(M13="Y",(F13-N13),(L13-N13))</f>
        <v>#DIV/0!</v>
      </c>
      <c r="P13" s="168">
        <f t="shared" si="14"/>
        <v>0</v>
      </c>
      <c r="Q13" s="168" t="e">
        <f t="shared" si="15"/>
        <v>#DIV/0!</v>
      </c>
      <c r="R13" s="167" t="e">
        <f t="shared" si="16"/>
        <v>#DIV/0!</v>
      </c>
      <c r="S13" s="167" t="e">
        <f t="shared" si="9"/>
        <v>#DIV/0!</v>
      </c>
      <c r="T13" s="308" t="e">
        <f t="shared" si="17"/>
        <v>#DIV/0!</v>
      </c>
      <c r="U13" s="159" t="e">
        <f t="shared" si="10"/>
        <v>#DIV/0!</v>
      </c>
      <c r="V13" s="169"/>
      <c r="W13" s="159"/>
      <c r="X13" s="162" t="e">
        <f t="shared" si="11"/>
        <v>#DIV/0!</v>
      </c>
      <c r="Y13" s="170"/>
      <c r="Z13" s="170"/>
      <c r="AA13" s="170"/>
      <c r="AB13" s="170"/>
      <c r="AD13" s="170"/>
      <c r="AE13" s="170"/>
      <c r="AF13" s="170"/>
      <c r="AG13" s="170"/>
      <c r="AH13" s="170"/>
    </row>
    <row r="14" spans="1:34">
      <c r="A14" s="136">
        <v>2019</v>
      </c>
      <c r="B14" s="312">
        <v>0</v>
      </c>
      <c r="C14" s="152">
        <v>0</v>
      </c>
      <c r="D14" s="161">
        <f t="shared" si="0"/>
        <v>15</v>
      </c>
      <c r="E14" s="162">
        <f t="shared" si="12"/>
        <v>3330609479.4437551</v>
      </c>
      <c r="F14" s="154">
        <f t="shared" si="13"/>
        <v>222040631.962917</v>
      </c>
      <c r="G14" s="162">
        <f t="shared" si="1"/>
        <v>0</v>
      </c>
      <c r="H14" s="162">
        <f t="shared" si="2"/>
        <v>222040631.962917</v>
      </c>
      <c r="I14" s="162">
        <f t="shared" si="3"/>
        <v>3108568847.4808383</v>
      </c>
      <c r="J14" s="163" t="e">
        <f t="shared" si="4"/>
        <v>#DIV/0!</v>
      </c>
      <c r="K14" s="153" t="e">
        <f t="shared" si="5"/>
        <v>#DIV/0!</v>
      </c>
      <c r="L14" s="164" t="e">
        <f t="shared" si="6"/>
        <v>#DIV/0!</v>
      </c>
      <c r="M14" s="165" t="s">
        <v>153</v>
      </c>
      <c r="N14" s="166" t="e">
        <f t="shared" si="7"/>
        <v>#DIV/0!</v>
      </c>
      <c r="O14" s="309" t="e">
        <f t="shared" si="18"/>
        <v>#DIV/0!</v>
      </c>
      <c r="P14" s="168" t="e">
        <f t="shared" si="14"/>
        <v>#DIV/0!</v>
      </c>
      <c r="Q14" s="168" t="e">
        <f t="shared" si="15"/>
        <v>#DIV/0!</v>
      </c>
      <c r="R14" s="167" t="e">
        <f t="shared" si="16"/>
        <v>#DIV/0!</v>
      </c>
      <c r="S14" s="167" t="e">
        <f t="shared" si="9"/>
        <v>#DIV/0!</v>
      </c>
      <c r="T14" s="308" t="e">
        <f t="shared" si="17"/>
        <v>#DIV/0!</v>
      </c>
      <c r="U14" s="159" t="e">
        <f t="shared" si="10"/>
        <v>#DIV/0!</v>
      </c>
      <c r="V14" s="169"/>
      <c r="W14" s="159"/>
      <c r="X14" s="162" t="e">
        <f t="shared" si="11"/>
        <v>#DIV/0!</v>
      </c>
      <c r="Y14" s="170"/>
      <c r="AD14" s="170"/>
      <c r="AE14" s="170"/>
      <c r="AF14" s="170"/>
      <c r="AG14" s="170"/>
      <c r="AH14" s="170"/>
    </row>
    <row r="15" spans="1:34">
      <c r="A15" s="136">
        <v>2020</v>
      </c>
      <c r="B15" s="312">
        <v>0</v>
      </c>
      <c r="C15" s="152">
        <v>0</v>
      </c>
      <c r="D15" s="161">
        <f t="shared" si="0"/>
        <v>14</v>
      </c>
      <c r="E15" s="162">
        <f t="shared" si="12"/>
        <v>3108568847.4808383</v>
      </c>
      <c r="F15" s="154">
        <f t="shared" si="13"/>
        <v>222040631.96291703</v>
      </c>
      <c r="G15" s="162">
        <f t="shared" si="1"/>
        <v>0</v>
      </c>
      <c r="H15" s="162">
        <f t="shared" si="2"/>
        <v>222040631.96291703</v>
      </c>
      <c r="I15" s="162">
        <f t="shared" si="3"/>
        <v>2886528215.5179214</v>
      </c>
      <c r="J15" s="163" t="e">
        <f t="shared" si="4"/>
        <v>#DIV/0!</v>
      </c>
      <c r="K15" s="153" t="e">
        <f t="shared" si="5"/>
        <v>#DIV/0!</v>
      </c>
      <c r="L15" s="164" t="e">
        <f t="shared" si="6"/>
        <v>#DIV/0!</v>
      </c>
      <c r="M15" s="165" t="s">
        <v>153</v>
      </c>
      <c r="N15" s="166" t="e">
        <f t="shared" si="7"/>
        <v>#DIV/0!</v>
      </c>
      <c r="O15" s="309" t="e">
        <f t="shared" si="18"/>
        <v>#DIV/0!</v>
      </c>
      <c r="P15" s="168" t="e">
        <f t="shared" si="14"/>
        <v>#DIV/0!</v>
      </c>
      <c r="Q15" s="168" t="e">
        <f t="shared" si="15"/>
        <v>#DIV/0!</v>
      </c>
      <c r="R15" s="167" t="e">
        <f t="shared" si="16"/>
        <v>#DIV/0!</v>
      </c>
      <c r="S15" s="167" t="e">
        <f t="shared" si="9"/>
        <v>#DIV/0!</v>
      </c>
      <c r="T15" s="308" t="e">
        <f t="shared" si="17"/>
        <v>#DIV/0!</v>
      </c>
      <c r="U15" s="159" t="e">
        <f t="shared" si="10"/>
        <v>#DIV/0!</v>
      </c>
      <c r="V15" s="169"/>
      <c r="W15" s="159"/>
      <c r="X15" s="162" t="e">
        <f t="shared" si="11"/>
        <v>#DIV/0!</v>
      </c>
      <c r="Y15" s="170"/>
      <c r="AD15" s="170"/>
      <c r="AE15" s="170"/>
      <c r="AF15" s="170"/>
      <c r="AG15" s="170"/>
      <c r="AH15" s="170"/>
    </row>
    <row r="16" spans="1:34">
      <c r="A16" s="136">
        <v>2021</v>
      </c>
      <c r="B16" s="312">
        <v>0</v>
      </c>
      <c r="C16" s="152">
        <v>0</v>
      </c>
      <c r="D16" s="161">
        <f t="shared" si="0"/>
        <v>13</v>
      </c>
      <c r="E16" s="162">
        <f t="shared" si="12"/>
        <v>2886528215.5179214</v>
      </c>
      <c r="F16" s="154">
        <f t="shared" si="13"/>
        <v>222040631.96291703</v>
      </c>
      <c r="G16" s="162">
        <f t="shared" si="1"/>
        <v>0</v>
      </c>
      <c r="H16" s="162">
        <f t="shared" si="2"/>
        <v>222040631.96291703</v>
      </c>
      <c r="I16" s="162">
        <f t="shared" si="3"/>
        <v>2664487583.5550046</v>
      </c>
      <c r="J16" s="163" t="e">
        <f t="shared" si="4"/>
        <v>#DIV/0!</v>
      </c>
      <c r="K16" s="153" t="e">
        <f t="shared" si="5"/>
        <v>#DIV/0!</v>
      </c>
      <c r="L16" s="164" t="e">
        <f t="shared" si="6"/>
        <v>#DIV/0!</v>
      </c>
      <c r="M16" s="165" t="s">
        <v>153</v>
      </c>
      <c r="N16" s="166" t="e">
        <f t="shared" si="7"/>
        <v>#DIV/0!</v>
      </c>
      <c r="O16" s="309" t="e">
        <f t="shared" si="18"/>
        <v>#DIV/0!</v>
      </c>
      <c r="P16" s="168" t="e">
        <f t="shared" si="14"/>
        <v>#DIV/0!</v>
      </c>
      <c r="Q16" s="168" t="e">
        <f t="shared" si="15"/>
        <v>#DIV/0!</v>
      </c>
      <c r="R16" s="167" t="e">
        <f t="shared" si="16"/>
        <v>#DIV/0!</v>
      </c>
      <c r="S16" s="167" t="e">
        <f t="shared" si="9"/>
        <v>#DIV/0!</v>
      </c>
      <c r="T16" s="308" t="e">
        <f t="shared" si="17"/>
        <v>#DIV/0!</v>
      </c>
      <c r="U16" s="159" t="e">
        <f t="shared" si="10"/>
        <v>#DIV/0!</v>
      </c>
      <c r="V16" s="169"/>
      <c r="W16" s="159"/>
      <c r="X16" s="162" t="e">
        <f t="shared" si="11"/>
        <v>#DIV/0!</v>
      </c>
      <c r="Y16" s="170"/>
      <c r="AD16" s="170"/>
      <c r="AE16" s="170"/>
      <c r="AF16" s="170"/>
      <c r="AG16" s="170"/>
      <c r="AH16" s="170"/>
    </row>
    <row r="17" spans="1:34">
      <c r="A17" s="136">
        <v>2022</v>
      </c>
      <c r="B17" s="312">
        <v>0</v>
      </c>
      <c r="C17" s="152">
        <v>0</v>
      </c>
      <c r="D17" s="161">
        <f t="shared" si="0"/>
        <v>12</v>
      </c>
      <c r="E17" s="162">
        <f t="shared" si="12"/>
        <v>2664487583.5550046</v>
      </c>
      <c r="F17" s="154">
        <f t="shared" si="13"/>
        <v>222040631.96291706</v>
      </c>
      <c r="G17" s="162">
        <f t="shared" si="1"/>
        <v>0</v>
      </c>
      <c r="H17" s="162">
        <f t="shared" si="2"/>
        <v>222040631.96291706</v>
      </c>
      <c r="I17" s="162">
        <f t="shared" si="3"/>
        <v>2442446951.5920877</v>
      </c>
      <c r="J17" s="163" t="e">
        <f t="shared" si="4"/>
        <v>#DIV/0!</v>
      </c>
      <c r="K17" s="153" t="e">
        <f t="shared" si="5"/>
        <v>#DIV/0!</v>
      </c>
      <c r="L17" s="164" t="e">
        <f t="shared" si="6"/>
        <v>#DIV/0!</v>
      </c>
      <c r="M17" s="165" t="s">
        <v>153</v>
      </c>
      <c r="N17" s="166" t="e">
        <f>IF(M17="N",L17,0)</f>
        <v>#DIV/0!</v>
      </c>
      <c r="O17" s="309" t="e">
        <f t="shared" si="18"/>
        <v>#DIV/0!</v>
      </c>
      <c r="P17" s="168" t="e">
        <f>IF(M17="N",S16,0)</f>
        <v>#DIV/0!</v>
      </c>
      <c r="Q17" s="168" t="e">
        <f t="shared" si="15"/>
        <v>#DIV/0!</v>
      </c>
      <c r="R17" s="167" t="e">
        <f t="shared" si="16"/>
        <v>#DIV/0!</v>
      </c>
      <c r="S17" s="167" t="e">
        <f t="shared" si="9"/>
        <v>#DIV/0!</v>
      </c>
      <c r="T17" s="308" t="e">
        <f>IF(M17="N", (F17+P17)*(1-J17),0)</f>
        <v>#DIV/0!</v>
      </c>
      <c r="U17" s="159" t="e">
        <f t="shared" si="10"/>
        <v>#DIV/0!</v>
      </c>
      <c r="V17" s="169"/>
      <c r="W17" s="159"/>
      <c r="X17" s="162" t="e">
        <f t="shared" si="11"/>
        <v>#DIV/0!</v>
      </c>
      <c r="Y17" s="170"/>
      <c r="AD17" s="170"/>
      <c r="AE17" s="170"/>
      <c r="AF17" s="170"/>
      <c r="AG17" s="170"/>
      <c r="AH17" s="170"/>
    </row>
    <row r="18" spans="1:34">
      <c r="A18" s="136">
        <v>2023</v>
      </c>
      <c r="B18" s="312">
        <v>0</v>
      </c>
      <c r="C18" s="152">
        <v>0</v>
      </c>
      <c r="D18" s="161">
        <f t="shared" si="0"/>
        <v>11</v>
      </c>
      <c r="E18" s="162">
        <f t="shared" si="12"/>
        <v>2442446951.5920877</v>
      </c>
      <c r="F18" s="154">
        <f t="shared" si="13"/>
        <v>222040631.96291706</v>
      </c>
      <c r="G18" s="162">
        <f t="shared" si="1"/>
        <v>0</v>
      </c>
      <c r="H18" s="162">
        <f t="shared" si="2"/>
        <v>222040631.96291706</v>
      </c>
      <c r="I18" s="162">
        <f t="shared" si="3"/>
        <v>2220406319.6291709</v>
      </c>
      <c r="J18" s="163" t="e">
        <f t="shared" si="4"/>
        <v>#DIV/0!</v>
      </c>
      <c r="K18" s="153" t="e">
        <f t="shared" si="5"/>
        <v>#DIV/0!</v>
      </c>
      <c r="L18" s="164" t="e">
        <f t="shared" si="6"/>
        <v>#DIV/0!</v>
      </c>
      <c r="M18" s="165" t="s">
        <v>153</v>
      </c>
      <c r="N18" s="166" t="e">
        <f t="shared" si="7"/>
        <v>#DIV/0!</v>
      </c>
      <c r="O18" s="309" t="e">
        <f t="shared" si="18"/>
        <v>#DIV/0!</v>
      </c>
      <c r="P18" s="168" t="e">
        <f>IF(M18="N",S17,0)</f>
        <v>#DIV/0!</v>
      </c>
      <c r="Q18" s="168" t="e">
        <f t="shared" si="15"/>
        <v>#DIV/0!</v>
      </c>
      <c r="R18" s="167" t="e">
        <f t="shared" si="16"/>
        <v>#DIV/0!</v>
      </c>
      <c r="S18" s="167" t="e">
        <f t="shared" si="9"/>
        <v>#DIV/0!</v>
      </c>
      <c r="T18" s="308" t="e">
        <f>IF(M18="N", (F18+P18)*(1-J18),0)</f>
        <v>#DIV/0!</v>
      </c>
      <c r="U18" s="159" t="e">
        <f t="shared" si="10"/>
        <v>#DIV/0!</v>
      </c>
      <c r="V18" s="169"/>
      <c r="W18" s="159"/>
      <c r="X18" s="162" t="e">
        <f t="shared" si="11"/>
        <v>#DIV/0!</v>
      </c>
      <c r="Y18" s="170"/>
      <c r="Z18" s="162"/>
      <c r="AA18" s="162"/>
      <c r="AB18" s="162"/>
      <c r="AD18" s="170"/>
      <c r="AE18" s="170"/>
      <c r="AF18" s="170"/>
      <c r="AG18" s="170"/>
      <c r="AH18" s="170"/>
    </row>
    <row r="19" spans="1:34">
      <c r="A19" s="136">
        <v>2024</v>
      </c>
      <c r="B19" s="312">
        <v>0</v>
      </c>
      <c r="C19" s="152">
        <v>0</v>
      </c>
      <c r="D19" s="161">
        <f t="shared" si="0"/>
        <v>10</v>
      </c>
      <c r="E19" s="162">
        <f t="shared" si="12"/>
        <v>2220406319.6291709</v>
      </c>
      <c r="F19" s="154">
        <f t="shared" si="13"/>
        <v>222040631.96291709</v>
      </c>
      <c r="G19" s="162">
        <f t="shared" si="1"/>
        <v>0</v>
      </c>
      <c r="H19" s="162">
        <f t="shared" si="2"/>
        <v>222040631.96291709</v>
      </c>
      <c r="I19" s="162">
        <f t="shared" si="3"/>
        <v>1998365687.6662538</v>
      </c>
      <c r="J19" s="163" t="e">
        <f t="shared" si="4"/>
        <v>#DIV/0!</v>
      </c>
      <c r="K19" s="153" t="e">
        <f t="shared" si="5"/>
        <v>#DIV/0!</v>
      </c>
      <c r="L19" s="164" t="e">
        <f t="shared" si="6"/>
        <v>#DIV/0!</v>
      </c>
      <c r="M19" s="165" t="s">
        <v>153</v>
      </c>
      <c r="N19" s="166" t="e">
        <f t="shared" si="7"/>
        <v>#DIV/0!</v>
      </c>
      <c r="O19" s="309" t="e">
        <f t="shared" si="18"/>
        <v>#DIV/0!</v>
      </c>
      <c r="P19" s="168" t="e">
        <f t="shared" si="14"/>
        <v>#DIV/0!</v>
      </c>
      <c r="Q19" s="168" t="e">
        <f t="shared" si="15"/>
        <v>#DIV/0!</v>
      </c>
      <c r="R19" s="167" t="e">
        <f t="shared" si="16"/>
        <v>#DIV/0!</v>
      </c>
      <c r="S19" s="167" t="e">
        <f t="shared" si="9"/>
        <v>#DIV/0!</v>
      </c>
      <c r="T19" s="308" t="e">
        <f t="shared" si="17"/>
        <v>#DIV/0!</v>
      </c>
      <c r="U19" s="159" t="e">
        <f t="shared" si="10"/>
        <v>#DIV/0!</v>
      </c>
      <c r="V19" s="169"/>
      <c r="W19" s="159"/>
      <c r="X19" s="162" t="e">
        <f t="shared" si="11"/>
        <v>#DIV/0!</v>
      </c>
      <c r="Y19" s="170"/>
      <c r="AD19" s="170"/>
      <c r="AE19" s="170"/>
      <c r="AF19" s="170"/>
      <c r="AG19" s="170"/>
      <c r="AH19" s="170"/>
    </row>
    <row r="20" spans="1:34">
      <c r="A20" s="136">
        <v>2025</v>
      </c>
      <c r="B20" s="312">
        <v>0</v>
      </c>
      <c r="C20" s="152">
        <v>0</v>
      </c>
      <c r="D20" s="161">
        <f t="shared" si="0"/>
        <v>9</v>
      </c>
      <c r="E20" s="162">
        <f t="shared" si="12"/>
        <v>1998365687.6662538</v>
      </c>
      <c r="F20" s="154">
        <f t="shared" si="13"/>
        <v>222040631.96291709</v>
      </c>
      <c r="G20" s="162">
        <f t="shared" si="1"/>
        <v>0</v>
      </c>
      <c r="H20" s="162">
        <f t="shared" si="2"/>
        <v>222040631.96291709</v>
      </c>
      <c r="I20" s="162">
        <f t="shared" si="3"/>
        <v>1776325055.7033367</v>
      </c>
      <c r="J20" s="163" t="e">
        <f t="shared" si="4"/>
        <v>#DIV/0!</v>
      </c>
      <c r="K20" s="153" t="e">
        <f t="shared" si="5"/>
        <v>#DIV/0!</v>
      </c>
      <c r="L20" s="164" t="e">
        <f t="shared" si="6"/>
        <v>#DIV/0!</v>
      </c>
      <c r="M20" s="165" t="s">
        <v>153</v>
      </c>
      <c r="N20" s="166" t="e">
        <f t="shared" si="7"/>
        <v>#DIV/0!</v>
      </c>
      <c r="O20" s="309" t="e">
        <f t="shared" si="18"/>
        <v>#DIV/0!</v>
      </c>
      <c r="P20" s="168" t="e">
        <f t="shared" si="14"/>
        <v>#DIV/0!</v>
      </c>
      <c r="Q20" s="168" t="e">
        <f t="shared" si="15"/>
        <v>#DIV/0!</v>
      </c>
      <c r="R20" s="167" t="e">
        <f t="shared" si="16"/>
        <v>#DIV/0!</v>
      </c>
      <c r="S20" s="167" t="e">
        <f t="shared" si="9"/>
        <v>#DIV/0!</v>
      </c>
      <c r="T20" s="308" t="e">
        <f t="shared" si="17"/>
        <v>#DIV/0!</v>
      </c>
      <c r="U20" s="159" t="e">
        <f t="shared" si="10"/>
        <v>#DIV/0!</v>
      </c>
      <c r="V20" s="169"/>
      <c r="W20" s="159"/>
      <c r="X20" s="162" t="e">
        <f t="shared" si="11"/>
        <v>#DIV/0!</v>
      </c>
      <c r="Y20" s="170"/>
      <c r="AD20" s="170"/>
      <c r="AE20" s="170"/>
      <c r="AF20" s="170"/>
      <c r="AG20" s="170"/>
      <c r="AH20" s="170"/>
    </row>
    <row r="21" spans="1:34">
      <c r="A21" s="136">
        <v>2026</v>
      </c>
      <c r="B21" s="312">
        <v>0</v>
      </c>
      <c r="C21" s="152">
        <v>0</v>
      </c>
      <c r="D21" s="161">
        <f t="shared" si="0"/>
        <v>8</v>
      </c>
      <c r="E21" s="162">
        <f t="shared" si="12"/>
        <v>1776325055.7033367</v>
      </c>
      <c r="F21" s="154">
        <f t="shared" si="13"/>
        <v>222040631.96291709</v>
      </c>
      <c r="G21" s="162">
        <f t="shared" si="1"/>
        <v>0</v>
      </c>
      <c r="H21" s="162">
        <f t="shared" si="2"/>
        <v>222040631.96291709</v>
      </c>
      <c r="I21" s="162">
        <f t="shared" si="3"/>
        <v>1554284423.7404196</v>
      </c>
      <c r="J21" s="163" t="e">
        <f t="shared" si="4"/>
        <v>#DIV/0!</v>
      </c>
      <c r="K21" s="153" t="e">
        <f t="shared" si="5"/>
        <v>#DIV/0!</v>
      </c>
      <c r="L21" s="164" t="e">
        <f t="shared" si="6"/>
        <v>#DIV/0!</v>
      </c>
      <c r="M21" s="165" t="s">
        <v>153</v>
      </c>
      <c r="N21" s="166" t="e">
        <f t="shared" si="7"/>
        <v>#DIV/0!</v>
      </c>
      <c r="O21" s="309" t="e">
        <f t="shared" si="18"/>
        <v>#DIV/0!</v>
      </c>
      <c r="P21" s="168" t="e">
        <f t="shared" si="14"/>
        <v>#DIV/0!</v>
      </c>
      <c r="Q21" s="168" t="e">
        <f t="shared" si="15"/>
        <v>#DIV/0!</v>
      </c>
      <c r="R21" s="167" t="e">
        <f t="shared" si="16"/>
        <v>#DIV/0!</v>
      </c>
      <c r="S21" s="167" t="e">
        <f t="shared" si="9"/>
        <v>#DIV/0!</v>
      </c>
      <c r="T21" s="308" t="e">
        <f t="shared" si="17"/>
        <v>#DIV/0!</v>
      </c>
      <c r="U21" s="159" t="e">
        <f t="shared" si="10"/>
        <v>#DIV/0!</v>
      </c>
      <c r="V21" s="169"/>
      <c r="W21" s="159"/>
      <c r="X21" s="162" t="e">
        <f t="shared" si="11"/>
        <v>#DIV/0!</v>
      </c>
      <c r="Y21" s="170"/>
      <c r="AD21" s="170"/>
      <c r="AE21" s="170"/>
      <c r="AF21" s="170"/>
      <c r="AG21" s="170"/>
      <c r="AH21" s="170"/>
    </row>
    <row r="22" spans="1:34">
      <c r="A22" s="136">
        <v>2027</v>
      </c>
      <c r="B22" s="312">
        <v>0</v>
      </c>
      <c r="C22" s="152">
        <v>0</v>
      </c>
      <c r="D22" s="161">
        <f t="shared" si="0"/>
        <v>7</v>
      </c>
      <c r="E22" s="162">
        <f t="shared" si="12"/>
        <v>1554284423.7404196</v>
      </c>
      <c r="F22" s="154">
        <f t="shared" si="13"/>
        <v>222040631.96291709</v>
      </c>
      <c r="G22" s="162">
        <f t="shared" si="1"/>
        <v>0</v>
      </c>
      <c r="H22" s="162">
        <f t="shared" si="2"/>
        <v>222040631.96291709</v>
      </c>
      <c r="I22" s="162">
        <f t="shared" si="3"/>
        <v>1332243791.7775025</v>
      </c>
      <c r="J22" s="163" t="e">
        <f t="shared" si="4"/>
        <v>#DIV/0!</v>
      </c>
      <c r="K22" s="153" t="e">
        <f t="shared" si="5"/>
        <v>#DIV/0!</v>
      </c>
      <c r="L22" s="164" t="e">
        <f t="shared" si="6"/>
        <v>#DIV/0!</v>
      </c>
      <c r="M22" s="165" t="s">
        <v>153</v>
      </c>
      <c r="N22" s="166" t="e">
        <f t="shared" si="7"/>
        <v>#DIV/0!</v>
      </c>
      <c r="O22" s="309" t="e">
        <f t="shared" si="18"/>
        <v>#DIV/0!</v>
      </c>
      <c r="P22" s="168" t="e">
        <f t="shared" si="14"/>
        <v>#DIV/0!</v>
      </c>
      <c r="Q22" s="168" t="e">
        <f t="shared" si="15"/>
        <v>#DIV/0!</v>
      </c>
      <c r="R22" s="167" t="e">
        <f t="shared" si="16"/>
        <v>#DIV/0!</v>
      </c>
      <c r="S22" s="167" t="e">
        <f t="shared" si="9"/>
        <v>#DIV/0!</v>
      </c>
      <c r="T22" s="308" t="e">
        <f t="shared" si="17"/>
        <v>#DIV/0!</v>
      </c>
      <c r="U22" s="159" t="e">
        <f t="shared" si="10"/>
        <v>#DIV/0!</v>
      </c>
      <c r="V22" s="169"/>
      <c r="W22" s="159"/>
      <c r="X22" s="162" t="e">
        <f t="shared" si="11"/>
        <v>#DIV/0!</v>
      </c>
      <c r="Y22" s="170"/>
      <c r="AD22" s="170"/>
      <c r="AE22" s="170"/>
      <c r="AF22" s="170"/>
      <c r="AG22" s="170"/>
      <c r="AH22" s="170"/>
    </row>
    <row r="23" spans="1:34">
      <c r="A23" s="136">
        <v>2028</v>
      </c>
      <c r="B23" s="312">
        <v>0</v>
      </c>
      <c r="C23" s="152">
        <v>0</v>
      </c>
      <c r="D23" s="161">
        <f t="shared" si="0"/>
        <v>6</v>
      </c>
      <c r="E23" s="162">
        <f t="shared" si="12"/>
        <v>1332243791.7775025</v>
      </c>
      <c r="F23" s="154">
        <f t="shared" si="13"/>
        <v>222040631.96291709</v>
      </c>
      <c r="G23" s="162">
        <f t="shared" si="1"/>
        <v>0</v>
      </c>
      <c r="H23" s="162">
        <f t="shared" si="2"/>
        <v>222040631.96291709</v>
      </c>
      <c r="I23" s="162">
        <f t="shared" si="3"/>
        <v>1110203159.8145854</v>
      </c>
      <c r="J23" s="163" t="e">
        <f t="shared" si="4"/>
        <v>#DIV/0!</v>
      </c>
      <c r="K23" s="153" t="e">
        <f t="shared" si="5"/>
        <v>#DIV/0!</v>
      </c>
      <c r="L23" s="164" t="e">
        <f t="shared" si="6"/>
        <v>#DIV/0!</v>
      </c>
      <c r="M23" s="165" t="s">
        <v>153</v>
      </c>
      <c r="N23" s="166" t="e">
        <f t="shared" si="7"/>
        <v>#DIV/0!</v>
      </c>
      <c r="O23" s="309" t="e">
        <f t="shared" si="18"/>
        <v>#DIV/0!</v>
      </c>
      <c r="P23" s="168" t="e">
        <f t="shared" si="14"/>
        <v>#DIV/0!</v>
      </c>
      <c r="Q23" s="168" t="e">
        <f t="shared" si="15"/>
        <v>#DIV/0!</v>
      </c>
      <c r="R23" s="167" t="e">
        <f t="shared" si="16"/>
        <v>#DIV/0!</v>
      </c>
      <c r="S23" s="167" t="e">
        <f t="shared" si="9"/>
        <v>#DIV/0!</v>
      </c>
      <c r="T23" s="308" t="e">
        <f t="shared" si="17"/>
        <v>#DIV/0!</v>
      </c>
      <c r="U23" s="159" t="e">
        <f t="shared" si="10"/>
        <v>#DIV/0!</v>
      </c>
      <c r="V23" s="169"/>
      <c r="W23" s="159"/>
      <c r="X23" s="162" t="e">
        <f t="shared" si="11"/>
        <v>#DIV/0!</v>
      </c>
      <c r="Y23" s="170"/>
      <c r="AD23" s="170"/>
      <c r="AE23" s="170"/>
      <c r="AF23" s="170"/>
      <c r="AG23" s="170"/>
      <c r="AH23" s="170"/>
    </row>
    <row r="24" spans="1:34">
      <c r="A24" s="136">
        <v>2029</v>
      </c>
      <c r="B24" s="312">
        <v>0</v>
      </c>
      <c r="C24" s="152">
        <v>0</v>
      </c>
      <c r="D24" s="161">
        <f t="shared" si="0"/>
        <v>5</v>
      </c>
      <c r="E24" s="162">
        <f t="shared" si="12"/>
        <v>1110203159.8145854</v>
      </c>
      <c r="F24" s="154">
        <f t="shared" si="13"/>
        <v>222040631.96291709</v>
      </c>
      <c r="G24" s="162">
        <f t="shared" si="1"/>
        <v>0</v>
      </c>
      <c r="H24" s="162">
        <f t="shared" si="2"/>
        <v>222040631.96291709</v>
      </c>
      <c r="I24" s="162">
        <f t="shared" si="3"/>
        <v>888162527.85166836</v>
      </c>
      <c r="J24" s="163" t="e">
        <f t="shared" si="4"/>
        <v>#DIV/0!</v>
      </c>
      <c r="K24" s="153" t="e">
        <f t="shared" si="5"/>
        <v>#DIV/0!</v>
      </c>
      <c r="L24" s="164" t="e">
        <f t="shared" si="6"/>
        <v>#DIV/0!</v>
      </c>
      <c r="M24" s="165" t="s">
        <v>153</v>
      </c>
      <c r="N24" s="166" t="e">
        <f t="shared" si="7"/>
        <v>#DIV/0!</v>
      </c>
      <c r="O24" s="309" t="e">
        <f t="shared" si="18"/>
        <v>#DIV/0!</v>
      </c>
      <c r="P24" s="168" t="e">
        <f t="shared" si="14"/>
        <v>#DIV/0!</v>
      </c>
      <c r="Q24" s="168" t="e">
        <f t="shared" si="15"/>
        <v>#DIV/0!</v>
      </c>
      <c r="R24" s="167" t="e">
        <f t="shared" si="16"/>
        <v>#DIV/0!</v>
      </c>
      <c r="S24" s="167" t="e">
        <f t="shared" si="9"/>
        <v>#DIV/0!</v>
      </c>
      <c r="T24" s="308" t="e">
        <f t="shared" si="17"/>
        <v>#DIV/0!</v>
      </c>
      <c r="U24" s="159" t="e">
        <f t="shared" si="10"/>
        <v>#DIV/0!</v>
      </c>
      <c r="V24" s="169"/>
      <c r="W24" s="159"/>
      <c r="X24" s="162" t="e">
        <f t="shared" si="11"/>
        <v>#DIV/0!</v>
      </c>
      <c r="Y24" s="170"/>
      <c r="AD24" s="170"/>
      <c r="AE24" s="170"/>
      <c r="AF24" s="170"/>
      <c r="AG24" s="170"/>
      <c r="AH24" s="170"/>
    </row>
    <row r="25" spans="1:34">
      <c r="A25" s="136">
        <v>2030</v>
      </c>
      <c r="B25" s="312">
        <v>0</v>
      </c>
      <c r="C25" s="152">
        <v>0</v>
      </c>
      <c r="D25" s="161">
        <f t="shared" si="0"/>
        <v>4</v>
      </c>
      <c r="E25" s="162">
        <f t="shared" si="12"/>
        <v>888162527.85166836</v>
      </c>
      <c r="F25" s="154">
        <f t="shared" si="13"/>
        <v>222040631.96291709</v>
      </c>
      <c r="G25" s="162">
        <f t="shared" si="1"/>
        <v>0</v>
      </c>
      <c r="H25" s="162">
        <f t="shared" si="2"/>
        <v>222040631.96291709</v>
      </c>
      <c r="I25" s="162">
        <f t="shared" si="3"/>
        <v>666121895.88875127</v>
      </c>
      <c r="J25" s="163" t="e">
        <f t="shared" si="4"/>
        <v>#DIV/0!</v>
      </c>
      <c r="K25" s="153" t="e">
        <f t="shared" si="5"/>
        <v>#DIV/0!</v>
      </c>
      <c r="L25" s="164" t="e">
        <f t="shared" si="6"/>
        <v>#DIV/0!</v>
      </c>
      <c r="M25" s="165" t="s">
        <v>153</v>
      </c>
      <c r="N25" s="166" t="e">
        <f t="shared" si="7"/>
        <v>#DIV/0!</v>
      </c>
      <c r="O25" s="309" t="e">
        <f t="shared" si="18"/>
        <v>#DIV/0!</v>
      </c>
      <c r="P25" s="168" t="e">
        <f t="shared" si="14"/>
        <v>#DIV/0!</v>
      </c>
      <c r="Q25" s="168" t="e">
        <f t="shared" si="15"/>
        <v>#DIV/0!</v>
      </c>
      <c r="R25" s="167" t="e">
        <f t="shared" si="16"/>
        <v>#DIV/0!</v>
      </c>
      <c r="S25" s="167" t="e">
        <f t="shared" si="9"/>
        <v>#DIV/0!</v>
      </c>
      <c r="T25" s="308" t="e">
        <f t="shared" si="17"/>
        <v>#DIV/0!</v>
      </c>
      <c r="U25" s="159" t="e">
        <f t="shared" si="10"/>
        <v>#DIV/0!</v>
      </c>
      <c r="V25" s="169"/>
      <c r="W25" s="159"/>
      <c r="X25" s="162" t="e">
        <f t="shared" si="11"/>
        <v>#DIV/0!</v>
      </c>
      <c r="Y25" s="170"/>
      <c r="AD25" s="170"/>
      <c r="AE25" s="170"/>
      <c r="AF25" s="170"/>
      <c r="AG25" s="170"/>
      <c r="AH25" s="170"/>
    </row>
    <row r="26" spans="1:34">
      <c r="A26" s="136">
        <v>2031</v>
      </c>
      <c r="B26" s="312">
        <v>0</v>
      </c>
      <c r="C26" s="152">
        <v>0</v>
      </c>
      <c r="D26" s="161">
        <f t="shared" si="0"/>
        <v>3</v>
      </c>
      <c r="E26" s="162">
        <f t="shared" si="12"/>
        <v>666121895.88875127</v>
      </c>
      <c r="F26" s="154">
        <f t="shared" si="13"/>
        <v>222040631.96291709</v>
      </c>
      <c r="G26" s="162">
        <f t="shared" si="1"/>
        <v>0</v>
      </c>
      <c r="H26" s="162">
        <f t="shared" si="2"/>
        <v>222040631.96291709</v>
      </c>
      <c r="I26" s="162">
        <f t="shared" si="3"/>
        <v>444081263.92583418</v>
      </c>
      <c r="J26" s="163" t="e">
        <f t="shared" si="4"/>
        <v>#DIV/0!</v>
      </c>
      <c r="K26" s="153" t="e">
        <f t="shared" si="5"/>
        <v>#DIV/0!</v>
      </c>
      <c r="L26" s="164" t="e">
        <f t="shared" si="6"/>
        <v>#DIV/0!</v>
      </c>
      <c r="M26" s="165" t="s">
        <v>153</v>
      </c>
      <c r="N26" s="166" t="e">
        <f t="shared" si="7"/>
        <v>#DIV/0!</v>
      </c>
      <c r="O26" s="309" t="e">
        <f t="shared" si="18"/>
        <v>#DIV/0!</v>
      </c>
      <c r="P26" s="168" t="e">
        <f t="shared" si="14"/>
        <v>#DIV/0!</v>
      </c>
      <c r="Q26" s="168" t="e">
        <f t="shared" si="15"/>
        <v>#DIV/0!</v>
      </c>
      <c r="R26" s="167" t="e">
        <f t="shared" si="16"/>
        <v>#DIV/0!</v>
      </c>
      <c r="S26" s="167" t="e">
        <f t="shared" si="9"/>
        <v>#DIV/0!</v>
      </c>
      <c r="T26" s="308" t="e">
        <f t="shared" si="17"/>
        <v>#DIV/0!</v>
      </c>
      <c r="U26" s="159" t="e">
        <f t="shared" si="10"/>
        <v>#DIV/0!</v>
      </c>
      <c r="V26" s="169"/>
      <c r="W26" s="159"/>
      <c r="X26" s="162" t="e">
        <f t="shared" si="11"/>
        <v>#DIV/0!</v>
      </c>
      <c r="Y26" s="170"/>
      <c r="Z26" s="170"/>
      <c r="AA26" s="170"/>
      <c r="AB26" s="170"/>
      <c r="AD26" s="170"/>
      <c r="AE26" s="170"/>
      <c r="AF26" s="170"/>
      <c r="AG26" s="170"/>
      <c r="AH26" s="170"/>
    </row>
    <row r="27" spans="1:34">
      <c r="A27" s="136">
        <v>2032</v>
      </c>
      <c r="B27" s="312">
        <v>0</v>
      </c>
      <c r="C27" s="152">
        <v>0</v>
      </c>
      <c r="D27" s="161">
        <f t="shared" si="0"/>
        <v>2</v>
      </c>
      <c r="E27" s="162">
        <f t="shared" si="12"/>
        <v>444081263.92583418</v>
      </c>
      <c r="F27" s="154">
        <f t="shared" si="13"/>
        <v>222040631.96291709</v>
      </c>
      <c r="G27" s="162">
        <f t="shared" si="1"/>
        <v>0</v>
      </c>
      <c r="H27" s="162">
        <f t="shared" si="2"/>
        <v>222040631.96291709</v>
      </c>
      <c r="I27" s="162">
        <f t="shared" si="3"/>
        <v>222040631.96291709</v>
      </c>
      <c r="J27" s="163" t="e">
        <f t="shared" si="4"/>
        <v>#DIV/0!</v>
      </c>
      <c r="K27" s="153" t="e">
        <f t="shared" si="5"/>
        <v>#DIV/0!</v>
      </c>
      <c r="L27" s="164" t="e">
        <f t="shared" si="6"/>
        <v>#DIV/0!</v>
      </c>
      <c r="M27" s="165" t="s">
        <v>153</v>
      </c>
      <c r="N27" s="166" t="e">
        <f t="shared" si="7"/>
        <v>#DIV/0!</v>
      </c>
      <c r="O27" s="309" t="e">
        <f t="shared" si="18"/>
        <v>#DIV/0!</v>
      </c>
      <c r="P27" s="168" t="e">
        <f t="shared" si="14"/>
        <v>#DIV/0!</v>
      </c>
      <c r="Q27" s="168" t="e">
        <f t="shared" si="15"/>
        <v>#DIV/0!</v>
      </c>
      <c r="R27" s="167" t="e">
        <f t="shared" si="16"/>
        <v>#DIV/0!</v>
      </c>
      <c r="S27" s="167" t="e">
        <f t="shared" si="9"/>
        <v>#DIV/0!</v>
      </c>
      <c r="T27" s="308" t="e">
        <f t="shared" si="17"/>
        <v>#DIV/0!</v>
      </c>
      <c r="U27" s="159" t="e">
        <f t="shared" si="10"/>
        <v>#DIV/0!</v>
      </c>
      <c r="V27" s="169"/>
      <c r="W27" s="159"/>
      <c r="X27" s="162" t="e">
        <f t="shared" si="11"/>
        <v>#DIV/0!</v>
      </c>
      <c r="Y27" s="170"/>
      <c r="AD27" s="170"/>
      <c r="AE27" s="170"/>
      <c r="AF27" s="170"/>
      <c r="AG27" s="170"/>
      <c r="AH27" s="170"/>
    </row>
    <row r="28" spans="1:34">
      <c r="A28" s="136">
        <v>2033</v>
      </c>
      <c r="B28" s="312">
        <v>0</v>
      </c>
      <c r="C28" s="152">
        <v>0</v>
      </c>
      <c r="D28" s="161">
        <f t="shared" si="0"/>
        <v>1</v>
      </c>
      <c r="E28" s="162">
        <f t="shared" si="12"/>
        <v>222040631.96291709</v>
      </c>
      <c r="F28" s="154">
        <f t="shared" si="13"/>
        <v>222040631.96291709</v>
      </c>
      <c r="G28" s="162">
        <f t="shared" si="1"/>
        <v>0</v>
      </c>
      <c r="H28" s="162">
        <f t="shared" si="2"/>
        <v>222040631.96291709</v>
      </c>
      <c r="I28" s="162">
        <f t="shared" si="3"/>
        <v>0</v>
      </c>
      <c r="J28" s="163" t="e">
        <f t="shared" si="4"/>
        <v>#DIV/0!</v>
      </c>
      <c r="K28" s="153" t="e">
        <f t="shared" si="5"/>
        <v>#DIV/0!</v>
      </c>
      <c r="L28" s="164" t="e">
        <f t="shared" si="6"/>
        <v>#DIV/0!</v>
      </c>
      <c r="M28" s="165" t="s">
        <v>153</v>
      </c>
      <c r="N28" s="166" t="e">
        <f t="shared" si="7"/>
        <v>#DIV/0!</v>
      </c>
      <c r="O28" s="309" t="e">
        <f t="shared" si="18"/>
        <v>#DIV/0!</v>
      </c>
      <c r="P28" s="168" t="e">
        <f t="shared" si="14"/>
        <v>#DIV/0!</v>
      </c>
      <c r="Q28" s="168" t="e">
        <f t="shared" si="15"/>
        <v>#DIV/0!</v>
      </c>
      <c r="R28" s="167" t="e">
        <f t="shared" si="16"/>
        <v>#DIV/0!</v>
      </c>
      <c r="S28" s="167" t="e">
        <f t="shared" si="9"/>
        <v>#DIV/0!</v>
      </c>
      <c r="T28" s="308" t="e">
        <f t="shared" si="17"/>
        <v>#DIV/0!</v>
      </c>
      <c r="U28" s="159" t="e">
        <f t="shared" si="10"/>
        <v>#DIV/0!</v>
      </c>
      <c r="V28" s="169"/>
      <c r="W28" s="159"/>
      <c r="X28" s="162" t="e">
        <f t="shared" si="11"/>
        <v>#DIV/0!</v>
      </c>
      <c r="Y28" s="170"/>
      <c r="AD28" s="170"/>
      <c r="AE28" s="170"/>
      <c r="AF28" s="170"/>
      <c r="AG28" s="170"/>
      <c r="AH28" s="170"/>
    </row>
    <row r="29" spans="1:34">
      <c r="U29" s="159"/>
      <c r="AD29" s="170"/>
      <c r="AE29" s="170"/>
      <c r="AF29" s="170"/>
      <c r="AG29" s="170"/>
      <c r="AH29" s="170"/>
    </row>
    <row r="30" spans="1:34">
      <c r="AD30" s="170"/>
      <c r="AE30" s="170"/>
      <c r="AF30" s="170"/>
      <c r="AG30" s="170"/>
      <c r="AH30" s="170"/>
    </row>
    <row r="31" spans="1:34">
      <c r="AD31" s="170"/>
      <c r="AE31" s="170"/>
      <c r="AF31" s="170"/>
      <c r="AG31" s="170"/>
      <c r="AH31" s="170"/>
    </row>
    <row r="32" spans="1:34">
      <c r="AD32" s="170"/>
      <c r="AE32" s="170"/>
      <c r="AF32" s="170"/>
      <c r="AG32" s="170"/>
      <c r="AH32" s="170"/>
    </row>
    <row r="33" spans="1:34">
      <c r="A33" s="136" t="s">
        <v>286</v>
      </c>
      <c r="F33" s="170"/>
      <c r="Q33" s="162"/>
      <c r="AD33" s="170"/>
      <c r="AE33" s="170"/>
      <c r="AF33" s="170"/>
      <c r="AG33" s="170"/>
      <c r="AH33" s="170"/>
    </row>
    <row r="34" spans="1:34">
      <c r="AD34" s="170"/>
      <c r="AE34" s="170"/>
      <c r="AF34" s="170"/>
      <c r="AG34" s="170"/>
      <c r="AH34" s="170"/>
    </row>
    <row r="35" spans="1:34">
      <c r="AD35" s="170"/>
      <c r="AE35" s="170"/>
      <c r="AF35" s="170"/>
      <c r="AG35" s="170"/>
      <c r="AH35" s="170"/>
    </row>
    <row r="36" spans="1:34">
      <c r="AD36" s="170"/>
      <c r="AE36" s="170"/>
      <c r="AF36" s="170"/>
      <c r="AG36" s="170"/>
      <c r="AH36" s="170"/>
    </row>
    <row r="37" spans="1:34">
      <c r="AD37" s="170"/>
      <c r="AE37" s="170"/>
      <c r="AF37" s="170"/>
      <c r="AG37" s="170"/>
      <c r="AH37" s="170"/>
    </row>
    <row r="38" spans="1:34">
      <c r="AD38" s="170"/>
      <c r="AE38" s="170"/>
    </row>
  </sheetData>
  <pageMargins left="0.70866141732283472" right="0.70866141732283472" top="0.74803149606299213" bottom="0.74803149606299213" header="0.31496062992125984" footer="0.31496062992125984"/>
  <pageSetup paperSize="5" scale="43" orientation="landscape" r:id="rId1"/>
  <headerFooter>
    <oddHeader>&amp;L&amp;G</oddHeader>
    <oddFooter>&amp;CAlberta Energy</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0"/>
  <sheetViews>
    <sheetView topLeftCell="A109" zoomScale="120" zoomScaleNormal="120" workbookViewId="0">
      <selection activeCell="G9" sqref="G9"/>
    </sheetView>
  </sheetViews>
  <sheetFormatPr defaultRowHeight="15"/>
  <cols>
    <col min="1" max="1" width="63.6640625" style="46" customWidth="1"/>
    <col min="2" max="2" width="80.21875" style="52" customWidth="1"/>
    <col min="3" max="5" width="8.88671875" style="46"/>
    <col min="6" max="6" width="10.21875" style="46" customWidth="1"/>
    <col min="7" max="16384" width="8.88671875" style="46"/>
  </cols>
  <sheetData>
    <row r="1" spans="1:2">
      <c r="A1" s="45" t="s">
        <v>212</v>
      </c>
      <c r="B1" s="45" t="s">
        <v>38</v>
      </c>
    </row>
    <row r="2" spans="1:2">
      <c r="A2" s="47" t="s">
        <v>192</v>
      </c>
      <c r="B2" s="45"/>
    </row>
    <row r="3" spans="1:2">
      <c r="A3" s="30" t="s">
        <v>49</v>
      </c>
      <c r="B3" s="48" t="s">
        <v>68</v>
      </c>
    </row>
    <row r="4" spans="1:2">
      <c r="A4" s="30"/>
      <c r="B4" s="48" t="s">
        <v>69</v>
      </c>
    </row>
    <row r="5" spans="1:2">
      <c r="A5" s="30"/>
      <c r="B5" s="48"/>
    </row>
    <row r="6" spans="1:2">
      <c r="A6" s="30" t="s">
        <v>50</v>
      </c>
      <c r="B6" s="48" t="s">
        <v>96</v>
      </c>
    </row>
    <row r="7" spans="1:2">
      <c r="A7" s="30"/>
      <c r="B7" s="48" t="s">
        <v>80</v>
      </c>
    </row>
    <row r="8" spans="1:2">
      <c r="A8" s="30"/>
      <c r="B8" s="48"/>
    </row>
    <row r="9" spans="1:2" ht="25.5">
      <c r="A9" s="30" t="s">
        <v>51</v>
      </c>
      <c r="B9" s="48" t="s">
        <v>97</v>
      </c>
    </row>
    <row r="10" spans="1:2">
      <c r="A10" s="30"/>
      <c r="B10" s="48" t="s">
        <v>70</v>
      </c>
    </row>
    <row r="11" spans="1:2">
      <c r="A11" s="30"/>
      <c r="B11" s="48"/>
    </row>
    <row r="12" spans="1:2">
      <c r="A12" s="30" t="s">
        <v>52</v>
      </c>
      <c r="B12" s="48" t="s">
        <v>71</v>
      </c>
    </row>
    <row r="13" spans="1:2">
      <c r="A13" s="30"/>
      <c r="B13" s="48" t="s">
        <v>72</v>
      </c>
    </row>
    <row r="14" spans="1:2">
      <c r="A14" s="30"/>
      <c r="B14" s="48"/>
    </row>
    <row r="15" spans="1:2" ht="25.5">
      <c r="A15" s="30" t="s">
        <v>53</v>
      </c>
      <c r="B15" s="48" t="s">
        <v>98</v>
      </c>
    </row>
    <row r="16" spans="1:2">
      <c r="A16" s="30"/>
      <c r="B16" s="48" t="s">
        <v>81</v>
      </c>
    </row>
    <row r="17" spans="1:2">
      <c r="A17" s="30"/>
      <c r="B17" s="48"/>
    </row>
    <row r="18" spans="1:2" ht="38.25">
      <c r="A18" s="30" t="s">
        <v>54</v>
      </c>
      <c r="B18" s="49" t="s">
        <v>99</v>
      </c>
    </row>
    <row r="19" spans="1:2">
      <c r="A19" s="30"/>
      <c r="B19" s="49" t="s">
        <v>82</v>
      </c>
    </row>
    <row r="20" spans="1:2">
      <c r="A20" s="30"/>
      <c r="B20" s="49"/>
    </row>
    <row r="21" spans="1:2" ht="25.5">
      <c r="A21" s="30" t="s">
        <v>55</v>
      </c>
      <c r="B21" s="48" t="s">
        <v>73</v>
      </c>
    </row>
    <row r="22" spans="1:2">
      <c r="A22" s="30"/>
      <c r="B22" s="48" t="s">
        <v>72</v>
      </c>
    </row>
    <row r="23" spans="1:2">
      <c r="A23" s="30"/>
      <c r="B23" s="48"/>
    </row>
    <row r="24" spans="1:2">
      <c r="A24" s="30" t="s">
        <v>56</v>
      </c>
      <c r="B24" s="48" t="s">
        <v>74</v>
      </c>
    </row>
    <row r="25" spans="1:2">
      <c r="A25" s="30"/>
      <c r="B25" s="48" t="s">
        <v>80</v>
      </c>
    </row>
    <row r="26" spans="1:2">
      <c r="A26" s="30"/>
      <c r="B26" s="48"/>
    </row>
    <row r="27" spans="1:2" ht="38.25">
      <c r="A27" s="30" t="s">
        <v>57</v>
      </c>
      <c r="B27" s="48" t="s">
        <v>75</v>
      </c>
    </row>
    <row r="28" spans="1:2">
      <c r="A28" s="30"/>
      <c r="B28" s="48" t="s">
        <v>76</v>
      </c>
    </row>
    <row r="29" spans="1:2">
      <c r="A29" s="22"/>
      <c r="B29" s="50"/>
    </row>
    <row r="30" spans="1:2">
      <c r="A30" s="193" t="s">
        <v>226</v>
      </c>
      <c r="B30" s="50" t="s">
        <v>44</v>
      </c>
    </row>
    <row r="31" spans="1:2">
      <c r="A31" s="22"/>
      <c r="B31" s="50" t="s">
        <v>45</v>
      </c>
    </row>
    <row r="32" spans="1:2">
      <c r="A32" s="22"/>
      <c r="B32" s="50" t="s">
        <v>46</v>
      </c>
    </row>
    <row r="33" spans="1:2">
      <c r="A33" s="22"/>
      <c r="B33" s="50" t="s">
        <v>236</v>
      </c>
    </row>
    <row r="34" spans="1:2">
      <c r="A34" s="22"/>
      <c r="B34" s="50" t="s">
        <v>101</v>
      </c>
    </row>
    <row r="35" spans="1:2">
      <c r="A35" s="22"/>
      <c r="B35" s="50" t="s">
        <v>100</v>
      </c>
    </row>
    <row r="36" spans="1:2">
      <c r="A36" s="22"/>
      <c r="B36" s="50" t="s">
        <v>47</v>
      </c>
    </row>
    <row r="37" spans="1:2">
      <c r="A37" s="22"/>
      <c r="B37" s="50" t="s">
        <v>48</v>
      </c>
    </row>
    <row r="38" spans="1:2">
      <c r="A38" s="22"/>
      <c r="B38" s="50" t="s">
        <v>79</v>
      </c>
    </row>
    <row r="39" spans="1:2">
      <c r="A39" s="22"/>
      <c r="B39" s="50"/>
    </row>
    <row r="40" spans="1:2">
      <c r="A40" s="193" t="s">
        <v>193</v>
      </c>
      <c r="B40" s="50" t="s">
        <v>126</v>
      </c>
    </row>
    <row r="41" spans="1:2">
      <c r="A41" s="22"/>
      <c r="B41" s="50"/>
    </row>
    <row r="42" spans="1:2">
      <c r="A42" s="28" t="s">
        <v>244</v>
      </c>
      <c r="B42" s="50"/>
    </row>
    <row r="43" spans="1:2">
      <c r="A43" s="23" t="s">
        <v>18</v>
      </c>
      <c r="B43" s="50"/>
    </row>
    <row r="44" spans="1:2">
      <c r="A44" s="23" t="s">
        <v>39</v>
      </c>
      <c r="B44" s="50" t="s">
        <v>227</v>
      </c>
    </row>
    <row r="45" spans="1:2">
      <c r="A45" s="23" t="s">
        <v>40</v>
      </c>
      <c r="B45" s="50" t="s">
        <v>228</v>
      </c>
    </row>
    <row r="46" spans="1:2">
      <c r="A46" s="23" t="s">
        <v>41</v>
      </c>
      <c r="B46" s="50" t="s">
        <v>229</v>
      </c>
    </row>
    <row r="47" spans="1:2">
      <c r="A47" s="1" t="s">
        <v>19</v>
      </c>
      <c r="B47" s="50"/>
    </row>
    <row r="48" spans="1:2">
      <c r="A48" s="23" t="s">
        <v>39</v>
      </c>
      <c r="B48" s="50" t="s">
        <v>230</v>
      </c>
    </row>
    <row r="49" spans="1:2">
      <c r="A49" s="23" t="s">
        <v>40</v>
      </c>
      <c r="B49" s="50" t="s">
        <v>231</v>
      </c>
    </row>
    <row r="50" spans="1:2">
      <c r="A50" s="23" t="s">
        <v>41</v>
      </c>
      <c r="B50" s="50" t="s">
        <v>232</v>
      </c>
    </row>
    <row r="51" spans="1:2">
      <c r="A51" s="1" t="s">
        <v>20</v>
      </c>
      <c r="B51" s="50"/>
    </row>
    <row r="52" spans="1:2">
      <c r="A52" s="23" t="s">
        <v>39</v>
      </c>
      <c r="B52" s="50" t="s">
        <v>233</v>
      </c>
    </row>
    <row r="53" spans="1:2">
      <c r="A53" s="23" t="s">
        <v>40</v>
      </c>
      <c r="B53" s="50" t="s">
        <v>234</v>
      </c>
    </row>
    <row r="54" spans="1:2">
      <c r="A54" s="23" t="s">
        <v>41</v>
      </c>
      <c r="B54" s="50" t="s">
        <v>235</v>
      </c>
    </row>
    <row r="55" spans="1:2">
      <c r="A55" s="5"/>
      <c r="B55" s="50"/>
    </row>
    <row r="56" spans="1:2">
      <c r="A56" s="24" t="s">
        <v>22</v>
      </c>
      <c r="B56" s="50"/>
    </row>
    <row r="57" spans="1:2">
      <c r="A57" s="5" t="s">
        <v>59</v>
      </c>
      <c r="B57" s="50" t="s">
        <v>63</v>
      </c>
    </row>
    <row r="58" spans="1:2">
      <c r="A58" s="5" t="s">
        <v>60</v>
      </c>
      <c r="B58" s="50" t="s">
        <v>61</v>
      </c>
    </row>
    <row r="59" spans="1:2">
      <c r="A59" s="22" t="s">
        <v>77</v>
      </c>
      <c r="B59" s="50" t="s">
        <v>62</v>
      </c>
    </row>
    <row r="60" spans="1:2">
      <c r="A60" s="22" t="s">
        <v>78</v>
      </c>
      <c r="B60" s="50" t="s">
        <v>64</v>
      </c>
    </row>
    <row r="61" spans="1:2">
      <c r="A61" s="25"/>
      <c r="B61" s="50"/>
    </row>
    <row r="62" spans="1:2">
      <c r="A62" s="29" t="s">
        <v>37</v>
      </c>
      <c r="B62" s="50"/>
    </row>
    <row r="63" spans="1:2" ht="22.5" customHeight="1">
      <c r="A63" s="31" t="s">
        <v>23</v>
      </c>
      <c r="B63" s="48" t="s">
        <v>42</v>
      </c>
    </row>
    <row r="64" spans="1:2" s="51" customFormat="1" ht="36.75" customHeight="1">
      <c r="A64" s="32" t="s">
        <v>183</v>
      </c>
      <c r="B64" s="48" t="s">
        <v>43</v>
      </c>
    </row>
    <row r="65" spans="1:2" s="51" customFormat="1" ht="36.75" customHeight="1">
      <c r="A65" s="32" t="s">
        <v>185</v>
      </c>
      <c r="B65" s="48" t="s">
        <v>202</v>
      </c>
    </row>
    <row r="66" spans="1:2" s="51" customFormat="1" ht="27" customHeight="1">
      <c r="A66" s="31" t="s">
        <v>29</v>
      </c>
      <c r="B66" s="48" t="s">
        <v>89</v>
      </c>
    </row>
    <row r="67" spans="1:2" ht="22.5" customHeight="1">
      <c r="A67" s="31" t="s">
        <v>30</v>
      </c>
      <c r="B67" s="48" t="s">
        <v>247</v>
      </c>
    </row>
    <row r="68" spans="1:2" ht="19.5" customHeight="1">
      <c r="A68" s="31" t="s">
        <v>203</v>
      </c>
      <c r="B68" s="48" t="s">
        <v>204</v>
      </c>
    </row>
    <row r="69" spans="1:2" ht="19.5" customHeight="1">
      <c r="A69" s="31" t="s">
        <v>22</v>
      </c>
      <c r="B69" s="48" t="s">
        <v>67</v>
      </c>
    </row>
    <row r="70" spans="1:2" ht="19.5" customHeight="1">
      <c r="A70" s="31"/>
      <c r="B70" s="48"/>
    </row>
    <row r="71" spans="1:2" ht="25.5">
      <c r="A71" s="11" t="s">
        <v>194</v>
      </c>
      <c r="B71" s="50" t="s">
        <v>196</v>
      </c>
    </row>
    <row r="72" spans="1:2">
      <c r="A72" s="11"/>
      <c r="B72" s="50"/>
    </row>
    <row r="73" spans="1:2">
      <c r="A73" s="11" t="s">
        <v>195</v>
      </c>
      <c r="B73" s="50" t="s">
        <v>66</v>
      </c>
    </row>
    <row r="74" spans="1:2">
      <c r="A74" s="11"/>
      <c r="B74" s="50"/>
    </row>
    <row r="75" spans="1:2" ht="25.5">
      <c r="A75" s="26" t="s">
        <v>197</v>
      </c>
      <c r="B75" s="50" t="s">
        <v>199</v>
      </c>
    </row>
    <row r="76" spans="1:2">
      <c r="A76" s="26"/>
      <c r="B76" s="50"/>
    </row>
    <row r="77" spans="1:2" ht="25.5">
      <c r="A77" s="26" t="s">
        <v>200</v>
      </c>
      <c r="B77" s="50" t="s">
        <v>201</v>
      </c>
    </row>
    <row r="78" spans="1:2">
      <c r="A78" s="26"/>
      <c r="B78" s="50"/>
    </row>
    <row r="79" spans="1:2" ht="25.5">
      <c r="A79" s="26" t="s">
        <v>198</v>
      </c>
      <c r="B79" s="50" t="s">
        <v>205</v>
      </c>
    </row>
    <row r="80" spans="1:2">
      <c r="A80" s="26"/>
      <c r="B80" s="50"/>
    </row>
    <row r="81" spans="1:2" ht="25.5">
      <c r="A81" s="26" t="s">
        <v>206</v>
      </c>
      <c r="B81" s="50" t="s">
        <v>211</v>
      </c>
    </row>
    <row r="82" spans="1:2" ht="19.5" customHeight="1">
      <c r="A82" s="31"/>
      <c r="B82" s="48"/>
    </row>
    <row r="83" spans="1:2" ht="27.75" customHeight="1">
      <c r="A83" s="11" t="s">
        <v>237</v>
      </c>
      <c r="B83" s="48" t="s">
        <v>238</v>
      </c>
    </row>
    <row r="84" spans="1:2" ht="25.5" customHeight="1">
      <c r="A84" s="31"/>
      <c r="B84" s="210" t="s">
        <v>207</v>
      </c>
    </row>
    <row r="85" spans="1:2" ht="25.5" customHeight="1">
      <c r="A85" s="31"/>
      <c r="B85" s="210"/>
    </row>
    <row r="86" spans="1:2" ht="32.25" customHeight="1">
      <c r="A86" s="11" t="s">
        <v>241</v>
      </c>
      <c r="B86" s="196" t="s">
        <v>276</v>
      </c>
    </row>
    <row r="87" spans="1:2" ht="28.5" customHeight="1">
      <c r="A87" s="11"/>
      <c r="B87" s="46"/>
    </row>
    <row r="88" spans="1:2" ht="28.5" customHeight="1">
      <c r="A88" s="11" t="s">
        <v>242</v>
      </c>
      <c r="B88" s="196" t="s">
        <v>277</v>
      </c>
    </row>
    <row r="89" spans="1:2" ht="19.5" customHeight="1">
      <c r="A89" s="11"/>
      <c r="B89" s="50"/>
    </row>
    <row r="90" spans="1:2" ht="19.5" customHeight="1">
      <c r="A90" s="11" t="s">
        <v>243</v>
      </c>
      <c r="B90" s="197" t="s">
        <v>263</v>
      </c>
    </row>
    <row r="91" spans="1:2" ht="19.5" customHeight="1">
      <c r="A91" s="11"/>
      <c r="B91" s="197"/>
    </row>
    <row r="92" spans="1:2" ht="16.5">
      <c r="A92" s="11" t="s">
        <v>281</v>
      </c>
      <c r="B92" s="50" t="s">
        <v>282</v>
      </c>
    </row>
    <row r="93" spans="1:2" ht="16.5">
      <c r="A93" s="11"/>
      <c r="B93" s="50" t="s">
        <v>264</v>
      </c>
    </row>
    <row r="94" spans="1:2">
      <c r="A94" s="11"/>
      <c r="B94" s="50" t="s">
        <v>265</v>
      </c>
    </row>
    <row r="95" spans="1:2">
      <c r="A95" s="11"/>
      <c r="B95" s="50" t="s">
        <v>266</v>
      </c>
    </row>
    <row r="96" spans="1:2">
      <c r="A96" s="11"/>
      <c r="B96" s="50"/>
    </row>
    <row r="97" spans="1:2" ht="16.5">
      <c r="A97" s="11" t="s">
        <v>267</v>
      </c>
      <c r="B97" s="50" t="s">
        <v>278</v>
      </c>
    </row>
    <row r="98" spans="1:2" ht="16.5">
      <c r="A98" s="11"/>
      <c r="B98" s="50" t="s">
        <v>268</v>
      </c>
    </row>
    <row r="99" spans="1:2">
      <c r="A99" s="11"/>
      <c r="B99" s="50" t="s">
        <v>269</v>
      </c>
    </row>
    <row r="100" spans="1:2">
      <c r="A100" s="11"/>
      <c r="B100" s="50" t="s">
        <v>270</v>
      </c>
    </row>
    <row r="101" spans="1:2">
      <c r="A101" s="11"/>
      <c r="B101" s="50"/>
    </row>
    <row r="102" spans="1:2" ht="16.5">
      <c r="A102" s="11" t="s">
        <v>271</v>
      </c>
      <c r="B102" s="50" t="s">
        <v>272</v>
      </c>
    </row>
    <row r="103" spans="1:2" ht="16.5">
      <c r="A103" s="11"/>
      <c r="B103" s="50" t="s">
        <v>273</v>
      </c>
    </row>
    <row r="104" spans="1:2" ht="16.5">
      <c r="A104" s="11"/>
      <c r="B104" s="50" t="s">
        <v>274</v>
      </c>
    </row>
    <row r="105" spans="1:2">
      <c r="A105" s="11"/>
      <c r="B105" s="50" t="s">
        <v>265</v>
      </c>
    </row>
    <row r="106" spans="1:2">
      <c r="A106" s="11"/>
      <c r="B106" s="50" t="s">
        <v>266</v>
      </c>
    </row>
    <row r="107" spans="1:2">
      <c r="A107" s="11"/>
      <c r="B107" s="50"/>
    </row>
    <row r="108" spans="1:2">
      <c r="A108" s="11" t="s">
        <v>208</v>
      </c>
      <c r="B108" s="50" t="s">
        <v>253</v>
      </c>
    </row>
    <row r="109" spans="1:2">
      <c r="A109" s="11"/>
      <c r="B109" s="50"/>
    </row>
    <row r="110" spans="1:2" ht="38.25">
      <c r="A110" s="11" t="s">
        <v>252</v>
      </c>
      <c r="B110" s="50" t="s">
        <v>209</v>
      </c>
    </row>
    <row r="111" spans="1:2" ht="28.5">
      <c r="A111" s="6"/>
      <c r="B111" s="50" t="s">
        <v>279</v>
      </c>
    </row>
    <row r="112" spans="1:2" ht="28.5">
      <c r="A112" s="6"/>
      <c r="B112" s="50" t="s">
        <v>280</v>
      </c>
    </row>
    <row r="113" spans="1:2">
      <c r="A113" s="6"/>
      <c r="B113" s="50" t="s">
        <v>255</v>
      </c>
    </row>
    <row r="114" spans="1:2" ht="25.5">
      <c r="B114" s="278" t="s">
        <v>256</v>
      </c>
    </row>
    <row r="115" spans="1:2">
      <c r="A115" s="11"/>
      <c r="B115" s="50"/>
    </row>
    <row r="116" spans="1:2" ht="25.5">
      <c r="A116" s="11" t="s">
        <v>254</v>
      </c>
      <c r="B116" s="50" t="s">
        <v>257</v>
      </c>
    </row>
    <row r="117" spans="1:2" ht="25.5">
      <c r="A117" s="11"/>
      <c r="B117" s="50" t="s">
        <v>258</v>
      </c>
    </row>
    <row r="118" spans="1:2" ht="25.5">
      <c r="A118" s="11"/>
      <c r="B118" s="50" t="s">
        <v>259</v>
      </c>
    </row>
    <row r="119" spans="1:2">
      <c r="A119" s="11"/>
      <c r="B119" s="50"/>
    </row>
    <row r="120" spans="1:2">
      <c r="A120" s="27" t="s">
        <v>148</v>
      </c>
      <c r="B120" s="50" t="s">
        <v>260</v>
      </c>
    </row>
    <row r="121" spans="1:2">
      <c r="A121" s="11"/>
      <c r="B121" s="50"/>
    </row>
    <row r="122" spans="1:2" ht="15" customHeight="1">
      <c r="A122" s="11"/>
      <c r="B122" s="50"/>
    </row>
    <row r="123" spans="1:2">
      <c r="A123" s="11"/>
      <c r="B123" s="50"/>
    </row>
    <row r="124" spans="1:2">
      <c r="A124" s="6"/>
      <c r="B124" s="50"/>
    </row>
    <row r="125" spans="1:2">
      <c r="A125" s="6"/>
      <c r="B125" s="50"/>
    </row>
    <row r="126" spans="1:2">
      <c r="A126" s="11"/>
      <c r="B126" s="50"/>
    </row>
    <row r="127" spans="1:2">
      <c r="A127" s="11"/>
      <c r="B127" s="50"/>
    </row>
    <row r="128" spans="1:2">
      <c r="A128" s="11"/>
      <c r="B128" s="50"/>
    </row>
    <row r="129" spans="1:2">
      <c r="A129" s="11"/>
      <c r="B129" s="50"/>
    </row>
    <row r="130" spans="1:2">
      <c r="A130" s="27"/>
      <c r="B130" s="50"/>
    </row>
  </sheetData>
  <sheetProtection password="960F" sheet="1" objects="1" scenarios="1" formatCells="0" formatColumns="0" formatRows="0"/>
  <printOptions horizontalCentered="1" gridLines="1"/>
  <pageMargins left="0.70866141732283472" right="0.70866141732283472" top="0.74803149606299213" bottom="0.74803149606299213" header="0.31496062992125984" footer="0.31496062992125984"/>
  <pageSetup paperSize="5" scale="50" fitToHeight="2" orientation="landscape" r:id="rId1"/>
  <headerFooter>
    <oddHeader>&amp;L&amp;G</oddHeader>
    <oddFooter>&amp;CAlberta Energy&amp;R&amp;P/&amp;N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
  <sheetViews>
    <sheetView workbookViewId="0">
      <selection activeCell="L17" sqref="L17"/>
    </sheetView>
  </sheetViews>
  <sheetFormatPr defaultRowHeight="15"/>
  <cols>
    <col min="2" max="2" width="17.77734375" customWidth="1"/>
  </cols>
  <sheetData>
    <row r="1" spans="1:9" s="176" customFormat="1" ht="18">
      <c r="A1" s="175" t="s">
        <v>186</v>
      </c>
      <c r="B1" s="175"/>
      <c r="C1" s="175"/>
      <c r="D1" s="175"/>
      <c r="E1" s="175"/>
      <c r="F1" s="175"/>
      <c r="G1" s="175"/>
      <c r="H1" s="175"/>
      <c r="I1" s="175"/>
    </row>
    <row r="2" spans="1:9">
      <c r="A2" t="s">
        <v>187</v>
      </c>
      <c r="B2" s="177" t="s">
        <v>262</v>
      </c>
    </row>
    <row r="3" spans="1:9">
      <c r="A3" t="s">
        <v>188</v>
      </c>
      <c r="B3" s="178">
        <v>1</v>
      </c>
    </row>
  </sheetData>
  <sheetProtection password="960F" sheet="1" objects="1" scenarios="1"/>
  <pageMargins left="0.70866141732283472" right="0.70866141732283472" top="0.74803149606299213" bottom="0.74803149606299213" header="0.31496062992125984" footer="0.31496062992125984"/>
  <pageSetup paperSize="5" orientation="landscape" r:id="rId1"/>
  <headerFooter>
    <oddFooter>&amp;CAlberta Energy&amp;R&amp;P/&amp;N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dedacd1-8ed8-4364-83a4-3ca25ad2d99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922325150E20C64CBDDD4993EE182ADE" ma:contentTypeVersion="6" ma:contentTypeDescription="Create a new document." ma:contentTypeScope="" ma:versionID="5f516a1b77ea0cd08054257b39e06595">
  <xsd:schema xmlns:xsd="http://www.w3.org/2001/XMLSchema" xmlns:xs="http://www.w3.org/2001/XMLSchema" xmlns:p="http://schemas.microsoft.com/office/2006/metadata/properties" xmlns:ns1="http://schemas.microsoft.com/sharepoint/v3" targetNamespace="http://schemas.microsoft.com/office/2006/metadata/properties" ma:root="true" ma:fieldsID="37909f842baaef5904b8d05faf41bc2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D39B8-1DAD-43E8-A2FD-1927E48CA1BB}">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B1CF164-5AEE-4BA8-B8A8-DA8E8D479428}">
  <ds:schemaRefs>
    <ds:schemaRef ds:uri="http://schemas.microsoft.com/office/2006/metadata/longProperties"/>
  </ds:schemaRefs>
</ds:datastoreItem>
</file>

<file path=customXml/itemProps3.xml><?xml version="1.0" encoding="utf-8"?>
<ds:datastoreItem xmlns:ds="http://schemas.openxmlformats.org/officeDocument/2006/customXml" ds:itemID="{475B32BA-5F9D-4DCE-A6ED-7378158AB702}">
  <ds:schemaRefs>
    <ds:schemaRef ds:uri="http://schemas.microsoft.com/sharepoint/v3/contenttype/forms"/>
  </ds:schemaRefs>
</ds:datastoreItem>
</file>

<file path=customXml/itemProps4.xml><?xml version="1.0" encoding="utf-8"?>
<ds:datastoreItem xmlns:ds="http://schemas.openxmlformats.org/officeDocument/2006/customXml" ds:itemID="{4AB2C3CB-5677-4D7D-8FC8-95FDEBA27384}">
  <ds:schemaRefs>
    <ds:schemaRef ds:uri="Microsoft.SharePoint.Taxonomy.ContentTypeSync"/>
  </ds:schemaRefs>
</ds:datastoreItem>
</file>

<file path=customXml/itemProps5.xml><?xml version="1.0" encoding="utf-8"?>
<ds:datastoreItem xmlns:ds="http://schemas.openxmlformats.org/officeDocument/2006/customXml" ds:itemID="{D64A0335-4028-4615-B5D1-F7AA043E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GFE</vt:lpstr>
      <vt:lpstr>UGC</vt:lpstr>
      <vt:lpstr>Calculated Fields</vt:lpstr>
      <vt:lpstr>ADMIN</vt:lpstr>
      <vt:lpstr>GFE</vt:lpstr>
      <vt:lpstr>GFE!Print_Area</vt:lpstr>
      <vt:lpstr>'Calculated Fields'!Print_Titles</vt:lpstr>
      <vt:lpstr>GFE!Print_Titles</vt:lpstr>
    </vt:vector>
  </TitlesOfParts>
  <Company>Alberta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Government of Alberta</dc:creator>
  <cp:lastModifiedBy>Maria.Lee</cp:lastModifiedBy>
  <cp:lastPrinted>2014-01-31T20:04:02Z</cp:lastPrinted>
  <dcterms:created xsi:type="dcterms:W3CDTF">1997-10-08T15:15:58Z</dcterms:created>
  <dcterms:modified xsi:type="dcterms:W3CDTF">2019-07-30T21:37:04Z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0x010100922325150E20C64CBDDD4993EE182ADE</vt:lpwstr>
  </property>
</Properties>
</file>