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15" windowWidth="20700" windowHeight="6030" tabRatio="920"/>
  </bookViews>
  <sheets>
    <sheet name="CoverPg" sheetId="1" r:id="rId1"/>
    <sheet name="F" sheetId="3" r:id="rId2"/>
    <sheet name="S" sheetId="4" r:id="rId3"/>
    <sheet name="OF" sheetId="2" r:id="rId4"/>
    <sheet name="AllSitesA" sheetId="35" r:id="rId5"/>
    <sheet name="SaveVarsA" sheetId="36" state="hidden" r:id="rId6"/>
    <sheet name="Calibration Stats" sheetId="37" r:id="rId7"/>
    <sheet name="AllSitesE" sheetId="38" state="hidden" r:id="rId8"/>
    <sheet name="AllSitesEsub" sheetId="39" state="hidden" r:id="rId9"/>
    <sheet name="WS" sheetId="8" r:id="rId10"/>
    <sheet name="SFS" sheetId="31" r:id="rId11"/>
    <sheet name="WC" sheetId="12" r:id="rId12"/>
    <sheet name="SR" sheetId="9" r:id="rId13"/>
    <sheet name="PR" sheetId="10" r:id="rId14"/>
    <sheet name="NR" sheetId="11" r:id="rId15"/>
    <sheet name="OE" sheetId="14" r:id="rId16"/>
    <sheet name="INV" sheetId="15" r:id="rId17"/>
    <sheet name="FH" sheetId="17" r:id="rId18"/>
    <sheet name="AM" sheetId="18" r:id="rId19"/>
    <sheet name="WB" sheetId="20" r:id="rId20"/>
    <sheet name="SBRM" sheetId="21" r:id="rId21"/>
    <sheet name="PH" sheetId="23" r:id="rId22"/>
    <sheet name="FIRE" sheetId="46" r:id="rId23"/>
    <sheet name="HU" sheetId="27" r:id="rId24"/>
    <sheet name="Scores" sheetId="5" r:id="rId25"/>
    <sheet name="RarePlants" sheetId="43" r:id="rId26"/>
    <sheet name="RareAnimals" sheetId="44" r:id="rId27"/>
  </sheets>
  <externalReferences>
    <externalReference r:id="rId28"/>
    <externalReference r:id="rId29"/>
  </externalReferences>
  <definedNames>
    <definedName name="__IBA12" localSheetId="22">#REF!</definedName>
    <definedName name="__IBA12">#REF!</definedName>
    <definedName name="__WBF5" localSheetId="22">#REF!</definedName>
    <definedName name="__WBF5">#REF!</definedName>
    <definedName name="_Bog6">OE!$D$7</definedName>
    <definedName name="_GDD1">WS!$G$7</definedName>
    <definedName name="_GDD10" localSheetId="22">FH!#REF!</definedName>
    <definedName name="_GDD10">FH!#REF!</definedName>
    <definedName name="_GDD11" localSheetId="22">AM!#REF!</definedName>
    <definedName name="_GDD11">AM!#REF!</definedName>
    <definedName name="_GDD12" localSheetId="22">#REF!</definedName>
    <definedName name="_GDD12">#REF!</definedName>
    <definedName name="_GDD13" localSheetId="22">FIRE!#REF!</definedName>
    <definedName name="_GDD13">WB!#REF!</definedName>
    <definedName name="_GDD14" localSheetId="22">SBRM!#REF!</definedName>
    <definedName name="_GDD14">SBRM!#REF!</definedName>
    <definedName name="_GDD2" localSheetId="22">SR!#REF!</definedName>
    <definedName name="_GDD2">SR!#REF!</definedName>
    <definedName name="_GDD3" localSheetId="22">PR!#REF!</definedName>
    <definedName name="_GDD3">PR!#REF!</definedName>
    <definedName name="_GpA1" localSheetId="22">WS!#REF!</definedName>
    <definedName name="_GpA1">WS!#REF!</definedName>
    <definedName name="_Ice11" localSheetId="22">AM!#REF!</definedName>
    <definedName name="_Ice11">AM!#REF!</definedName>
    <definedName name="_Ice12" localSheetId="22">#REF!</definedName>
    <definedName name="_Ice12">#REF!</definedName>
    <definedName name="_Iso2">SR!$G$34</definedName>
    <definedName name="_Nup4" localSheetId="22">NR!#REF!</definedName>
    <definedName name="_Nup4">NR!#REF!</definedName>
    <definedName name="_OMX5" localSheetId="22">OE!#REF!</definedName>
    <definedName name="_OMX5">OE!#REF!</definedName>
    <definedName name="_Out3" localSheetId="22">PR!#REF!</definedName>
    <definedName name="_Out3">PR!#REF!</definedName>
    <definedName name="_Pt2" localSheetId="22">S!#REF!</definedName>
    <definedName name="_Pt2">S!#REF!</definedName>
    <definedName name="_Pt3" localSheetId="22">S!#REF!</definedName>
    <definedName name="_Pt3">S!#REF!</definedName>
    <definedName name="_pt4" localSheetId="22">S!#REF!</definedName>
    <definedName name="_pt4">S!#REF!</definedName>
    <definedName name="AbioSens" localSheetId="22">#REF!</definedName>
    <definedName name="AbioSens">#REF!</definedName>
    <definedName name="ABpct12" localSheetId="22">#REF!</definedName>
    <definedName name="ABpct12" localSheetId="2">[1]WBF!$G$72</definedName>
    <definedName name="ABpct9" localSheetId="22">#REF!</definedName>
    <definedName name="ABpct9">#REF!</definedName>
    <definedName name="Access10" localSheetId="22">FH!#REF!</definedName>
    <definedName name="Access10" localSheetId="2">[1]FR!#REF!</definedName>
    <definedName name="Access11" localSheetId="22">AM!#REF!</definedName>
    <definedName name="Access11" localSheetId="2">[1]AM!$D$4</definedName>
    <definedName name="Access12" localSheetId="22">#REF!</definedName>
    <definedName name="Access12">#REF!</definedName>
    <definedName name="Access1a">HU!$G$68</definedName>
    <definedName name="Access1b" localSheetId="22">HU!#REF!</definedName>
    <definedName name="Access1b">HU!#REF!</definedName>
    <definedName name="Access8" localSheetId="22">INV!#REF!</definedName>
    <definedName name="Access8" localSheetId="2">[1]INV!$G$115</definedName>
    <definedName name="Access9" localSheetId="22">#REF!</definedName>
    <definedName name="Access9" localSheetId="2">[1]FA!#REF!</definedName>
    <definedName name="AccessFR10" localSheetId="22">FH!#REF!</definedName>
    <definedName name="AccessFR10" localSheetId="2">[1]FR!$D$96</definedName>
    <definedName name="Acidic13" localSheetId="22">FIRE!#REF!</definedName>
    <definedName name="Acidic13">WB!$G$116</definedName>
    <definedName name="AcidicPool10">FH!$G$68</definedName>
    <definedName name="AcidPool10">FH!$D$68</definedName>
    <definedName name="AcidPool7" localSheetId="22">#REF!</definedName>
    <definedName name="AcidPool7">#REF!</definedName>
    <definedName name="ADSORB1A">PR!$G$111</definedName>
    <definedName name="ADSORB1B">PR!#REF!</definedName>
    <definedName name="Adsorb3" localSheetId="22">PR!#REF!</definedName>
    <definedName name="Adsorb3">PR!#REF!</definedName>
    <definedName name="AfishAccess9" localSheetId="22">#REF!</definedName>
    <definedName name="AfishAccess9" localSheetId="2">[1]FA!$D$7</definedName>
    <definedName name="AfishShed" localSheetId="22">#REF!</definedName>
    <definedName name="AfishShed" localSheetId="2">#REF!</definedName>
    <definedName name="AfishShed9" localSheetId="22">#REF!</definedName>
    <definedName name="AfishShed9" localSheetId="2">[1]FA!$D$6</definedName>
    <definedName name="AFshed" localSheetId="22">#REF!</definedName>
    <definedName name="AFshed" localSheetId="2">#REF!</definedName>
    <definedName name="agland0" localSheetId="22">#REF!</definedName>
    <definedName name="agland0" localSheetId="2">[1]POL!$G$107</definedName>
    <definedName name="aglandprox" localSheetId="22">#REF!</definedName>
    <definedName name="aglandprox" localSheetId="2">[1]POL!$G$113</definedName>
    <definedName name="Algae" localSheetId="22">#REF!</definedName>
    <definedName name="Algae">#REF!</definedName>
    <definedName name="Algae12" localSheetId="22">#REF!</definedName>
    <definedName name="Algae12">#REF!</definedName>
    <definedName name="Algae21">HU!$G$19</definedName>
    <definedName name="Algae3">PR!$G$75</definedName>
    <definedName name="AlkPlaya" localSheetId="22">#REF!</definedName>
    <definedName name="AlkPlaya" localSheetId="2">#REF!</definedName>
    <definedName name="AllDry10" localSheetId="22">FH!#REF!</definedName>
    <definedName name="AllDry10" localSheetId="2">[1]FR!#REF!</definedName>
    <definedName name="AllDry11" localSheetId="2">[1]AM!$D$5</definedName>
    <definedName name="AllDry12" localSheetId="22">#REF!</definedName>
    <definedName name="AllDry12" localSheetId="2">[1]WBF!$D$23</definedName>
    <definedName name="AllDry13" localSheetId="22">FIRE!#REF!</definedName>
    <definedName name="AllDry13" localSheetId="2">[1]WBN!#REF!</definedName>
    <definedName name="AllDry2" localSheetId="22">SR!#REF!</definedName>
    <definedName name="AllDry2" localSheetId="2">[1]SR!$D$9</definedName>
    <definedName name="AllDry5" localSheetId="22">#REF!</definedName>
    <definedName name="AllDry5" localSheetId="2">[1]CS!#REF!</definedName>
    <definedName name="AllDry5a" localSheetId="22">#REF!</definedName>
    <definedName name="AllDry5a">#REF!</definedName>
    <definedName name="AllDry6" localSheetId="22">OE!#REF!</definedName>
    <definedName name="AllDry6" localSheetId="2">[1]OE!#REF!</definedName>
    <definedName name="AllDry6a" localSheetId="22">OE!#REF!</definedName>
    <definedName name="AllDry6a" localSheetId="2">[1]OE!$D$21</definedName>
    <definedName name="Alldry7" localSheetId="22">WC!#REF!</definedName>
    <definedName name="Alldry7" localSheetId="2">[1]T!$D$5</definedName>
    <definedName name="AllDry7a" localSheetId="22">WC!#REF!</definedName>
    <definedName name="AllDry7a">WC!#REF!</definedName>
    <definedName name="AllDry8" localSheetId="22">INV!#REF!</definedName>
    <definedName name="AllDry8" localSheetId="2">[1]INV!$D$15</definedName>
    <definedName name="AllDry8a" localSheetId="22">INV!#REF!</definedName>
    <definedName name="AllDry8a">INV!#REF!</definedName>
    <definedName name="AllDry9" localSheetId="22">#REF!</definedName>
    <definedName name="AllDry9" localSheetId="2">[1]FA!$D$20</definedName>
    <definedName name="AllFlowDry" localSheetId="22">F!#REF!</definedName>
    <definedName name="AllFlowDry">F!#REF!</definedName>
    <definedName name="AllFlowing" localSheetId="22">F!#REF!</definedName>
    <definedName name="AllFlowing">F!#REF!</definedName>
    <definedName name="AllFlowingDry" localSheetId="22">F!#REF!</definedName>
    <definedName name="AllFlowingDry">F!#REF!</definedName>
    <definedName name="AllFlowingWet" localSheetId="22">F!#REF!</definedName>
    <definedName name="AllFlowingWet">F!#REF!</definedName>
    <definedName name="AllForbCov">F!$D$100</definedName>
    <definedName name="AllHerbCov">F!$D$94</definedName>
    <definedName name="AllMoss">F!$D$62</definedName>
    <definedName name="AllNat">F!$D$253</definedName>
    <definedName name="AllOpenPond">F!$D$179</definedName>
    <definedName name="AllSat" localSheetId="22">F!#REF!</definedName>
    <definedName name="AllSat">F!#REF!</definedName>
    <definedName name="AllSat1">F!$D$126</definedName>
    <definedName name="AllSat2">F!$D$125</definedName>
    <definedName name="AllWater14" localSheetId="22">SBRM!#REF!</definedName>
    <definedName name="AllWater14">SBRM!#REF!</definedName>
    <definedName name="AllWet">F!$D$133</definedName>
    <definedName name="AllWoody1">WS!$G$20</definedName>
    <definedName name="AltTime10">FH!$G$112</definedName>
    <definedName name="AltTime11" localSheetId="22">AM!#REF!</definedName>
    <definedName name="AltTime11">AM!#REF!</definedName>
    <definedName name="AltTime20">PH!$G$174</definedName>
    <definedName name="AltTime8">INV!$G$149</definedName>
    <definedName name="AltTime9" localSheetId="22">#REF!</definedName>
    <definedName name="AltTime9">#REF!</definedName>
    <definedName name="AltTiming" localSheetId="22">#REF!</definedName>
    <definedName name="AltTiming" localSheetId="2">[1]STR!$G$4</definedName>
    <definedName name="AltTimingIN" localSheetId="22">#REF!</definedName>
    <definedName name="AltTimingIN">#REF!</definedName>
    <definedName name="AltTimingOut" localSheetId="22">#REF!</definedName>
    <definedName name="AltTimingOut" localSheetId="2">[1]STR!$G$5</definedName>
    <definedName name="Amphib" localSheetId="22">INV!#REF!</definedName>
    <definedName name="Amphib" localSheetId="2">[1]INV!$G$161</definedName>
    <definedName name="AmphibScore" localSheetId="22">AM!#REF!</definedName>
    <definedName name="AmphibScore">AM!#REF!</definedName>
    <definedName name="AmphibScore8" localSheetId="22">INV!#REF!</definedName>
    <definedName name="AmphibScore8">INV!#REF!</definedName>
    <definedName name="AmphScore" localSheetId="22">#REF!</definedName>
    <definedName name="AmphScore">#REF!</definedName>
    <definedName name="AmPres11" localSheetId="22">AM!#REF!</definedName>
    <definedName name="AmPres11">AM!#REF!</definedName>
    <definedName name="AmpSiteS" localSheetId="22">#REF!</definedName>
    <definedName name="AmpSiteS">#REF!</definedName>
    <definedName name="Anad3" localSheetId="22">PR!#REF!</definedName>
    <definedName name="Anad3">PR!#REF!</definedName>
    <definedName name="Anad4" localSheetId="22">NR!#REF!</definedName>
    <definedName name="Anad4">NR!#REF!</definedName>
    <definedName name="AnadFish" localSheetId="22">INV!#REF!</definedName>
    <definedName name="AnadFish" localSheetId="2">[1]INV!$G$159</definedName>
    <definedName name="AnadFish7" localSheetId="22">WC!#REF!</definedName>
    <definedName name="AnadFish7">WC!#REF!</definedName>
    <definedName name="AnadHUC7" localSheetId="22">WC!#REF!</definedName>
    <definedName name="AnadHUC7" localSheetId="2">[1]T!$G$37</definedName>
    <definedName name="AnadPrio7" localSheetId="22">WC!#REF!</definedName>
    <definedName name="AnadPrio7" localSheetId="2">[1]T!#REF!</definedName>
    <definedName name="AnadPrioShed" localSheetId="22">#REF!</definedName>
    <definedName name="AnadPrioShed" localSheetId="2">[1]FA!$G$123</definedName>
    <definedName name="AnadScore2_" localSheetId="22">SFS!#REF!</definedName>
    <definedName name="AnadScore2_">SFS!#REF!</definedName>
    <definedName name="AnimSens_S" localSheetId="22">#REF!</definedName>
    <definedName name="AnimSens_S" localSheetId="2">[1]Sen!#REF!</definedName>
    <definedName name="AnnCropCA" localSheetId="22">OF!#REF!</definedName>
    <definedName name="AnnCropCA">OF!#REF!</definedName>
    <definedName name="AnoxF1a">FH!$G$125</definedName>
    <definedName name="AnoxF1b">FH!#REF!</definedName>
    <definedName name="AnoxRisk10" localSheetId="22">FH!#REF!</definedName>
    <definedName name="AnoxRisk10">FH!#REF!</definedName>
    <definedName name="AqCov8">INV!$G$106</definedName>
    <definedName name="AqFertilPD" localSheetId="22">PH!#REF!</definedName>
    <definedName name="AqFertilPD">PH!#REF!</definedName>
    <definedName name="AqPest8" localSheetId="22">INV!#REF!</definedName>
    <definedName name="AqPest8" localSheetId="2">[1]INV!$G$76</definedName>
    <definedName name="AqPlantCov9" localSheetId="22">#REF!</definedName>
    <definedName name="AqPlantCov9">#REF!</definedName>
    <definedName name="AqStruc11" localSheetId="22">AM!#REF!</definedName>
    <definedName name="AqStruc11">AM!#REF!</definedName>
    <definedName name="Aquif1" localSheetId="22">WS!#REF!</definedName>
    <definedName name="Aquif1" localSheetId="2">[1]WS!#REF!</definedName>
    <definedName name="Aquifer" localSheetId="22">WS!#REF!</definedName>
    <definedName name="Aquifer" localSheetId="2">[1]WS!#REF!</definedName>
    <definedName name="Aquifer4" localSheetId="22">NR!#REF!</definedName>
    <definedName name="Aquifer4" localSheetId="2">[1]NR!$G$151</definedName>
    <definedName name="AquifVul" localSheetId="22">OF!#REF!</definedName>
    <definedName name="AquifVul">OF!#REF!</definedName>
    <definedName name="AqVul">OF!#REF!</definedName>
    <definedName name="Aspect">OF!$E$2</definedName>
    <definedName name="aspect0" localSheetId="22">#REF!</definedName>
    <definedName name="aspect0">#REF!</definedName>
    <definedName name="Aspect1" localSheetId="22">WS!#REF!</definedName>
    <definedName name="Aspect1">WS!#REF!</definedName>
    <definedName name="Aspect11" localSheetId="22">AM!#REF!</definedName>
    <definedName name="Aspect11">AM!#REF!</definedName>
    <definedName name="Aspect2_" localSheetId="22">SFS!#REF!</definedName>
    <definedName name="Aspect2_">SFS!#REF!</definedName>
    <definedName name="Aspect4" localSheetId="22">NR!#REF!</definedName>
    <definedName name="Aspect4">NR!#REF!</definedName>
    <definedName name="Aspect7" localSheetId="22">WC!#REF!</definedName>
    <definedName name="Aspect7">WC!#REF!</definedName>
    <definedName name="Aspect7v" localSheetId="22">WC!#REF!</definedName>
    <definedName name="Aspect7v">WC!#REF!</definedName>
    <definedName name="Aspect7vw" localSheetId="22">#REF!</definedName>
    <definedName name="Aspect7vw">#REF!</definedName>
    <definedName name="Aspect7w" localSheetId="22">#REF!</definedName>
    <definedName name="Aspect7w">#REF!</definedName>
    <definedName name="AspectCA" localSheetId="22">OF!#REF!</definedName>
    <definedName name="AspectCA">OF!#REF!</definedName>
    <definedName name="AspectPD" localSheetId="22">PH!#REF!</definedName>
    <definedName name="AspectPD">PH!#REF!</definedName>
    <definedName name="BareGpct" localSheetId="22">#REF!</definedName>
    <definedName name="BareGpct">#REF!</definedName>
    <definedName name="BearHab9" localSheetId="22">#REF!</definedName>
    <definedName name="BearHab9">#REF!</definedName>
    <definedName name="BearPD" localSheetId="22">PH!#REF!</definedName>
    <definedName name="BearPD">PH!#REF!</definedName>
    <definedName name="BearShed" localSheetId="22">#REF!</definedName>
    <definedName name="BearShed">#REF!</definedName>
    <definedName name="BearShed14" localSheetId="22">SBRM!#REF!</definedName>
    <definedName name="BearShed14">SBRM!#REF!</definedName>
    <definedName name="BearShed9" localSheetId="22">#REF!</definedName>
    <definedName name="BearShed9">#REF!</definedName>
    <definedName name="Beaver_S" localSheetId="22">#REF!</definedName>
    <definedName name="Beaver_S">#REF!</definedName>
    <definedName name="Beaver10">FH!$G$79</definedName>
    <definedName name="Beaver11">AM!$G$96</definedName>
    <definedName name="Beaver12" localSheetId="22">#REF!</definedName>
    <definedName name="Beaver12">#REF!</definedName>
    <definedName name="Beaver13" localSheetId="22">FIRE!#REF!</definedName>
    <definedName name="Beaver13">WB!$G$121</definedName>
    <definedName name="Beaver14">SBRM!$D$117</definedName>
    <definedName name="Beaver14a">SBRM!$G$117</definedName>
    <definedName name="Beaver8">INV!$G$121</definedName>
    <definedName name="Beaver9" localSheetId="22">#REF!</definedName>
    <definedName name="Beaver9">#REF!</definedName>
    <definedName name="BeaverPD">PH!$G$133</definedName>
    <definedName name="BestInScape" localSheetId="22">#REF!</definedName>
    <definedName name="BestInScape" localSheetId="2">#REF!</definedName>
    <definedName name="BestInShed" localSheetId="22">#REF!</definedName>
    <definedName name="BestInShed" localSheetId="2">#REF!</definedName>
    <definedName name="BigPondProx12" localSheetId="22">#REF!</definedName>
    <definedName name="BigPondProx12" localSheetId="2">[1]WBF!$G$137</definedName>
    <definedName name="BioDivZone">OF!$E$3</definedName>
    <definedName name="Biological" localSheetId="22">#REF!</definedName>
    <definedName name="Biological">#REF!</definedName>
    <definedName name="BioSens" localSheetId="22">#REF!</definedName>
    <definedName name="BioSens">#REF!</definedName>
    <definedName name="Bioshed14" localSheetId="22">SBRM!#REF!</definedName>
    <definedName name="Bioshed14">SBRM!#REF!</definedName>
    <definedName name="BioShedX" localSheetId="22">#REF!</definedName>
    <definedName name="BioShedX">#REF!</definedName>
    <definedName name="BioZone14" localSheetId="22">SBRM!#REF!</definedName>
    <definedName name="BioZone14">SBRM!#REF!</definedName>
    <definedName name="BMP_11">AM!$G$127</definedName>
    <definedName name="BMP_13" localSheetId="22">FIRE!#REF!</definedName>
    <definedName name="BMP_13">WB!$G$148</definedName>
    <definedName name="BMP_14">SBRM!$G$143</definedName>
    <definedName name="BMPs1a" localSheetId="22">HU!#REF!</definedName>
    <definedName name="BMPs1a">HU!#REF!</definedName>
    <definedName name="BMPs1b" localSheetId="22">HU!#REF!</definedName>
    <definedName name="BMPs1b">HU!#REF!</definedName>
    <definedName name="BMPsoils20">PH!$G$171</definedName>
    <definedName name="BMPsoilsPU">HU!$G$46</definedName>
    <definedName name="BMPwildPU">HU!$G$47</definedName>
    <definedName name="BoatsPD" localSheetId="22">PH!#REF!</definedName>
    <definedName name="BoatsPD" localSheetId="2">[1]PD!$G$114</definedName>
    <definedName name="BoatVector" localSheetId="22">#REF!</definedName>
    <definedName name="BoatVector" localSheetId="2">[1]STR!$G$19</definedName>
    <definedName name="Bog" localSheetId="22">#REF!</definedName>
    <definedName name="Bog" localSheetId="2">#REF!</definedName>
    <definedName name="Bog_S" localSheetId="22">#REF!</definedName>
    <definedName name="Bog_S" localSheetId="2">[1]Sen!$D$3</definedName>
    <definedName name="BogPct5K" localSheetId="22">OF!#REF!</definedName>
    <definedName name="BogPct5K">OF!#REF!</definedName>
    <definedName name="BogW" localSheetId="22">#REF!</definedName>
    <definedName name="BogW" localSheetId="2">#REF!</definedName>
    <definedName name="Browsed14" localSheetId="22">SBRM!#REF!</definedName>
    <definedName name="Browsed14">SBRM!#REF!</definedName>
    <definedName name="BrowsedS" localSheetId="22">#REF!</definedName>
    <definedName name="BrowsedS">#REF!</definedName>
    <definedName name="BuffAllNat">F!$D$257</definedName>
    <definedName name="BuffCovTyp4" localSheetId="22">NR!#REF!</definedName>
    <definedName name="BuffCovTyp4">NR!#REF!</definedName>
    <definedName name="BuffCUnatPct9" localSheetId="22">#REF!</definedName>
    <definedName name="BuffCUnatPct9" localSheetId="2">[1]FA!#REF!</definedName>
    <definedName name="BuffDisturbTyp" localSheetId="22">#REF!</definedName>
    <definedName name="BuffDisturbTyp" localSheetId="2">[1]STR!$G$46</definedName>
    <definedName name="BufferWeeds" localSheetId="22">#REF!</definedName>
    <definedName name="BufferWeeds" localSheetId="2">#REF!</definedName>
    <definedName name="BuffLU10" localSheetId="22">FH!#REF!</definedName>
    <definedName name="BuffLU10" localSheetId="2">[1]FR!#REF!</definedName>
    <definedName name="BuffLU11" localSheetId="22">AM!#REF!</definedName>
    <definedName name="BuffLU11" localSheetId="2">[1]AM!$G$158</definedName>
    <definedName name="BuffLU14" localSheetId="22">SBRM!#REF!</definedName>
    <definedName name="BuffLU14" localSheetId="2">[1]SBM!#REF!</definedName>
    <definedName name="BuffLU8" localSheetId="22">INV!#REF!</definedName>
    <definedName name="BuffLU8" localSheetId="2">[1]INV!#REF!</definedName>
    <definedName name="BuffLU9" localSheetId="22">#REF!</definedName>
    <definedName name="BuffLU9" localSheetId="2">[1]FA!$G$99</definedName>
    <definedName name="BuffLUpd" localSheetId="2">[1]PD!$G$141</definedName>
    <definedName name="BuffLUpd">PH!$G$148</definedName>
    <definedName name="BuffLUtype13" localSheetId="22">FIRE!#REF!</definedName>
    <definedName name="BuffLUtype13" localSheetId="2">[1]WBN!$G$134</definedName>
    <definedName name="BuffNatPct11">AM!$G$109</definedName>
    <definedName name="BuffNatPct13" localSheetId="22">FIRE!#REF!</definedName>
    <definedName name="BuffNatPct13" localSheetId="2">[1]WBN!$G$128</definedName>
    <definedName name="BuffNatPct13">WB!$G$130</definedName>
    <definedName name="BuffNatPct8">INV!$G$135</definedName>
    <definedName name="BuffPctCU10" localSheetId="22">FH!#REF!</definedName>
    <definedName name="BuffPctCU10" localSheetId="2">[1]FR!#REF!</definedName>
    <definedName name="BuffPctNat9" localSheetId="22">#REF!</definedName>
    <definedName name="BuffPctNat9">#REF!</definedName>
    <definedName name="BuffSlope_S" localSheetId="22">#REF!</definedName>
    <definedName name="BuffSlope_S" localSheetId="2">[1]Sen!$G$122</definedName>
    <definedName name="BuffSlope2" localSheetId="22">SR!#REF!</definedName>
    <definedName name="BuffSlope2">SR!#REF!</definedName>
    <definedName name="BuffSlope3" localSheetId="22">PR!#REF!</definedName>
    <definedName name="BuffSlope3">PR!#REF!</definedName>
    <definedName name="BuffSlope4" localSheetId="22">NR!#REF!</definedName>
    <definedName name="BuffSlope4">NR!#REF!</definedName>
    <definedName name="BuffVdens" localSheetId="22">#REF!</definedName>
    <definedName name="BuffVdens" localSheetId="2">[1]STR!#REF!</definedName>
    <definedName name="BuffVeg2" localSheetId="22">SR!#REF!</definedName>
    <definedName name="BuffVeg2" localSheetId="2">[1]SR!#REF!</definedName>
    <definedName name="BuffVpct3" localSheetId="22">PR!#REF!</definedName>
    <definedName name="BuffVpct3" localSheetId="2">[1]PR!#REF!</definedName>
    <definedName name="BuffVpct4" localSheetId="22">NR!#REF!</definedName>
    <definedName name="BuffVpct4" localSheetId="2">[1]NR!#REF!</definedName>
    <definedName name="Burn1">WS!$G$95</definedName>
    <definedName name="Burn10">FH!$G$105</definedName>
    <definedName name="Burn15">FIRE!$G$13</definedName>
    <definedName name="Burn2">SR!$G$85</definedName>
    <definedName name="Burn6">OE!$G$116</definedName>
    <definedName name="Burn8">INV!$G$144</definedName>
    <definedName name="CAimperv" localSheetId="22">#REF!</definedName>
    <definedName name="CAimperv">#REF!</definedName>
    <definedName name="calcarPD" localSheetId="22">PH!#REF!</definedName>
    <definedName name="calcarPD" localSheetId="2">[1]PD!#REF!</definedName>
    <definedName name="Calcium3" localSheetId="22">PR!#REF!</definedName>
    <definedName name="Calcium3" localSheetId="2">[1]PR!#REF!</definedName>
    <definedName name="Calcium5" localSheetId="22">#REF!</definedName>
    <definedName name="Calcium5" localSheetId="2">[1]CS!#REF!</definedName>
    <definedName name="CAnatPct2" localSheetId="22">SR!#REF!</definedName>
    <definedName name="CAnatPct2" localSheetId="2">[1]SR!$G$154</definedName>
    <definedName name="CAnatPct4" localSheetId="22">NR!#REF!</definedName>
    <definedName name="CAnatPct4" localSheetId="2">[1]NR!$G$155</definedName>
    <definedName name="CApct1" localSheetId="22">WS!#REF!</definedName>
    <definedName name="CApct1" localSheetId="2">[1]WS!$G$79</definedName>
    <definedName name="CApct2" localSheetId="22">SR!#REF!</definedName>
    <definedName name="CApct2" localSheetId="2">[1]SR!$G$85</definedName>
    <definedName name="CApct2F" localSheetId="22">SR!#REF!</definedName>
    <definedName name="CApct2F" localSheetId="2">[1]SR!$G$75</definedName>
    <definedName name="CApct3" localSheetId="22">PR!#REF!</definedName>
    <definedName name="CApct3" localSheetId="2">[1]PR!$G$111</definedName>
    <definedName name="CApct4" localSheetId="22">NR!#REF!</definedName>
    <definedName name="CApct4" localSheetId="2">[1]NR!$G$111</definedName>
    <definedName name="CApctB3">PR!#REF!</definedName>
    <definedName name="CARB1A">NR!$G$139</definedName>
    <definedName name="CARB1B">NR!#REF!</definedName>
    <definedName name="CarbShed" localSheetId="22">OE!#REF!</definedName>
    <definedName name="CarbShed">OE!#REF!</definedName>
    <definedName name="CaribouFound">OF!$E$54</definedName>
    <definedName name="CaribouRange">OF!$E$53</definedName>
    <definedName name="CAunveg1" localSheetId="22">WS!#REF!</definedName>
    <definedName name="CAunveg1" localSheetId="2">[1]WS!$G$84</definedName>
    <definedName name="Cedar14" localSheetId="22">SBRM!#REF!</definedName>
    <definedName name="Cedar14">SBRM!#REF!</definedName>
    <definedName name="CedarPD" localSheetId="22">PH!#REF!</definedName>
    <definedName name="CedarPD">PH!#REF!</definedName>
    <definedName name="CfixA1a">AM!$G$136</definedName>
    <definedName name="CfixA1b" localSheetId="22">AM!#REF!</definedName>
    <definedName name="CfixA1b">AM!#REF!</definedName>
    <definedName name="CfixF1a">FH!$G$116</definedName>
    <definedName name="CfixF1b" localSheetId="22">FH!#REF!</definedName>
    <definedName name="CfixF1b">FH!#REF!</definedName>
    <definedName name="CfixI1a">INV!$G$161</definedName>
    <definedName name="CfixI1b" localSheetId="22">INV!#REF!</definedName>
    <definedName name="CfixI1b">INV!#REF!</definedName>
    <definedName name="CfixS1a">SBRM!$G$152</definedName>
    <definedName name="CfixS1b">SBRM!#REF!</definedName>
    <definedName name="CfixV1a">PH!$G$182</definedName>
    <definedName name="CfixV1b" localSheetId="22">PH!#REF!</definedName>
    <definedName name="CfixV1b">PH!#REF!</definedName>
    <definedName name="CfixW1a" localSheetId="22">FIRE!#REF!</definedName>
    <definedName name="CfixW1a">WB!$G$161</definedName>
    <definedName name="CfixW1b" localSheetId="22">FIRE!#REF!</definedName>
    <definedName name="CfixW1b">WB!#REF!</definedName>
    <definedName name="ChannConn">OF!$E$4</definedName>
    <definedName name="Class" localSheetId="22">#REF!</definedName>
    <definedName name="Class" localSheetId="2">#REF!</definedName>
    <definedName name="ClassRich1k">OF!$E$5</definedName>
    <definedName name="ClassRich5k" localSheetId="22">OF!#REF!</definedName>
    <definedName name="ClassRich5k">OF!#REF!</definedName>
    <definedName name="ClassRichIn">OF!$E$6</definedName>
    <definedName name="ClassRichIn14">SBRM!$G$30</definedName>
    <definedName name="ClassRichIn15">PH!$G$15</definedName>
    <definedName name="ClassRichIn16">#REF!</definedName>
    <definedName name="ClassRichIn8">INV!$G$18</definedName>
    <definedName name="cliff0" localSheetId="22">#REF!</definedName>
    <definedName name="cliff0" localSheetId="2">[1]POL!$G$76</definedName>
    <definedName name="Cliff14">SBRM!$D$130</definedName>
    <definedName name="Cliffs14" localSheetId="2">[1]SBM!$G$78</definedName>
    <definedName name="Cliffs14">SBRM!$G$130</definedName>
    <definedName name="Climate11" localSheetId="22">AM!#REF!</definedName>
    <definedName name="Climate11">AM!#REF!</definedName>
    <definedName name="Climate12" localSheetId="22">#REF!</definedName>
    <definedName name="Climate12">#REF!</definedName>
    <definedName name="ClimateLF" localSheetId="22">SFS!#REF!</definedName>
    <definedName name="ClimateLF">SFS!#REF!</definedName>
    <definedName name="ClimatePD" localSheetId="22">PH!#REF!</definedName>
    <definedName name="ClimatePD">PH!#REF!</definedName>
    <definedName name="ClimateS" localSheetId="22">#REF!</definedName>
    <definedName name="ClimateS">#REF!</definedName>
    <definedName name="Colonizer" localSheetId="22">#REF!</definedName>
    <definedName name="Colonizer">#REF!</definedName>
    <definedName name="CompetPD" localSheetId="22">PH!#REF!</definedName>
    <definedName name="CompetPD">PH!#REF!</definedName>
    <definedName name="Conduc10">FH!$G$73</definedName>
    <definedName name="Conduc8">INV!$G$115</definedName>
    <definedName name="Connec3" localSheetId="22">PR!#REF!</definedName>
    <definedName name="Connec3">PR!#REF!</definedName>
    <definedName name="Connec4" localSheetId="22">NR!#REF!</definedName>
    <definedName name="Connec4">NR!#REF!</definedName>
    <definedName name="Connec8" localSheetId="22">INV!#REF!</definedName>
    <definedName name="Connec8">INV!#REF!</definedName>
    <definedName name="ConnecDn2" localSheetId="22">SR!#REF!</definedName>
    <definedName name="ConnecDn2">SR!#REF!</definedName>
    <definedName name="ConnecDn3" localSheetId="22">PR!#REF!</definedName>
    <definedName name="ConnecDn3">PR!#REF!</definedName>
    <definedName name="ConnecDn4" localSheetId="22">NR!#REF!</definedName>
    <definedName name="ConnecDn4">NR!#REF!</definedName>
    <definedName name="Connectiv2" localSheetId="22">SR!#REF!</definedName>
    <definedName name="Connectiv2">SR!#REF!</definedName>
    <definedName name="ConnectivLF" localSheetId="22">SFS!#REF!</definedName>
    <definedName name="ConnectivLF">SFS!#REF!</definedName>
    <definedName name="ConnecUp10" localSheetId="22">FH!#REF!</definedName>
    <definedName name="ConnecUp10">FH!#REF!</definedName>
    <definedName name="ConnecUp11" localSheetId="22">AM!#REF!</definedName>
    <definedName name="ConnecUp11">AM!#REF!</definedName>
    <definedName name="ConnecUp13" localSheetId="22">FIRE!#REF!</definedName>
    <definedName name="ConnecUp13">WB!#REF!</definedName>
    <definedName name="ConnecUp2" localSheetId="22">SR!#REF!</definedName>
    <definedName name="ConnecUp2">SR!#REF!</definedName>
    <definedName name="ConnecUp3" localSheetId="22">PR!#REF!</definedName>
    <definedName name="ConnecUp3">PR!#REF!</definedName>
    <definedName name="ConnecUp4" localSheetId="22">NR!#REF!</definedName>
    <definedName name="ConnecUp4">NR!#REF!</definedName>
    <definedName name="ConnLocalW" localSheetId="22">SBRM!#REF!</definedName>
    <definedName name="ConnLocalW">SBRM!#REF!</definedName>
    <definedName name="ConnLocalW11" localSheetId="22">AM!#REF!</definedName>
    <definedName name="ConnLocalW11">AM!#REF!</definedName>
    <definedName name="ConnLocalW14" localSheetId="22">SBRM!#REF!</definedName>
    <definedName name="ConnLocalW14">SBRM!#REF!</definedName>
    <definedName name="ConnLocalW15" localSheetId="22">PH!#REF!</definedName>
    <definedName name="ConnLocalW15">PH!#REF!</definedName>
    <definedName name="ConnLocalWet11" localSheetId="22">AM!#REF!</definedName>
    <definedName name="ConnLocalWet11">AM!#REF!</definedName>
    <definedName name="ConnLocalWet13" localSheetId="22">FIRE!#REF!</definedName>
    <definedName name="ConnLocalWet13">WB!#REF!</definedName>
    <definedName name="ConnLocalWetS" localSheetId="22">#REF!</definedName>
    <definedName name="ConnLocalWetS">#REF!</definedName>
    <definedName name="ConnLocalWL" localSheetId="22">#REF!</definedName>
    <definedName name="ConnLocalWL">#REF!</definedName>
    <definedName name="ConsInvest" localSheetId="22">HU!#REF!</definedName>
    <definedName name="ConsInvest" localSheetId="2">[1]PU!$G$22</definedName>
    <definedName name="Constric_C" localSheetId="22">#REF!</definedName>
    <definedName name="Constric_C" localSheetId="2">[1]CQ!#REF!</definedName>
    <definedName name="Constric_S" localSheetId="22">#REF!</definedName>
    <definedName name="Constric_S" localSheetId="2">[1]Sen!$G$34</definedName>
    <definedName name="Constric1" localSheetId="2">[1]WS!$G$53</definedName>
    <definedName name="Constric1">WS!$G$82</definedName>
    <definedName name="Constric10" localSheetId="22">FH!#REF!</definedName>
    <definedName name="Constric10" localSheetId="2">[1]FR!$G$64</definedName>
    <definedName name="Constric2" localSheetId="2">[1]SR!$G$41</definedName>
    <definedName name="Constric2">SR!$G$76</definedName>
    <definedName name="Constric3" localSheetId="2">[1]PR!$G$58</definedName>
    <definedName name="Constric3">PR!$G$94</definedName>
    <definedName name="Constric4" localSheetId="2">[1]NR!$G$54</definedName>
    <definedName name="Constric4">NR!$G$113</definedName>
    <definedName name="Constric5" localSheetId="22">#REF!</definedName>
    <definedName name="Constric5" localSheetId="2">[1]CS!$G$63</definedName>
    <definedName name="Constric6" localSheetId="2">[1]OE!$G$60</definedName>
    <definedName name="Constric6">OE!$G$100</definedName>
    <definedName name="Constricted" localSheetId="22">#REF!</definedName>
    <definedName name="Constricted">#REF!</definedName>
    <definedName name="ConsumpU" localSheetId="22">#REF!</definedName>
    <definedName name="ConsumpU">#REF!</definedName>
    <definedName name="ContribUp" localSheetId="22">#REF!</definedName>
    <definedName name="ContribUp" localSheetId="2">#REF!</definedName>
    <definedName name="Conven" localSheetId="22">HU!#REF!</definedName>
    <definedName name="Conven">HU!#REF!</definedName>
    <definedName name="Core1" localSheetId="22">#REF!</definedName>
    <definedName name="Core1" localSheetId="2">[1]STR!$G$25</definedName>
    <definedName name="Core1_11" localSheetId="2">[1]AM!$G$125</definedName>
    <definedName name="Core1_11">AM!$G$115</definedName>
    <definedName name="Core1_13" localSheetId="22">FIRE!#REF!</definedName>
    <definedName name="Core1_13" localSheetId="2">[1]WBN!$G$118</definedName>
    <definedName name="Core1_13">WB!$G$136</definedName>
    <definedName name="Core10" localSheetId="22">FH!#REF!</definedName>
    <definedName name="Core10">FH!#REF!</definedName>
    <definedName name="Core12a" localSheetId="22">#REF!</definedName>
    <definedName name="Core12a" localSheetId="2">[1]WBF!$G$102</definedName>
    <definedName name="Core12b" localSheetId="22">#REF!</definedName>
    <definedName name="Core12b" localSheetId="2">[1]WBF!$G$107</definedName>
    <definedName name="Core13a" localSheetId="22">FIRE!#REF!</definedName>
    <definedName name="Core13a">WB!$G$136</definedName>
    <definedName name="Core14a" localSheetId="2">[1]SBM!$G$84</definedName>
    <definedName name="Core14a">SBRM!$G$131</definedName>
    <definedName name="Core14b" localSheetId="2">[1]SBM!$G$89</definedName>
    <definedName name="Core14b">SBRM!$G$138</definedName>
    <definedName name="Core1pd" localSheetId="2">[1]PD!$G$120</definedName>
    <definedName name="Core1pd">PH!$G$159</definedName>
    <definedName name="Core1PU">HU!$G$34</definedName>
    <definedName name="Core2" localSheetId="22">#REF!</definedName>
    <definedName name="Core2" localSheetId="2">[1]STR!$G$30</definedName>
    <definedName name="Core2_11" localSheetId="2">[1]AM!$G$130</definedName>
    <definedName name="Core2_11">AM!$G$122</definedName>
    <definedName name="Core2_13" localSheetId="22">FIRE!#REF!</definedName>
    <definedName name="Core2_13" localSheetId="2">[1]WBN!$G$123</definedName>
    <definedName name="Core2_13">WB!$G$143</definedName>
    <definedName name="Core2pd" localSheetId="2">[1]PD!$G$125</definedName>
    <definedName name="Core2pd">PH!$G$166</definedName>
    <definedName name="Core2PU">HU!$G$41</definedName>
    <definedName name="Core9" localSheetId="22">#REF!</definedName>
    <definedName name="Core9">#REF!</definedName>
    <definedName name="County" localSheetId="22">#REF!</definedName>
    <definedName name="County" localSheetId="2">#REF!</definedName>
    <definedName name="CountyNPrank" localSheetId="22">#REF!</definedName>
    <definedName name="CountyNPrank" localSheetId="2">#REF!</definedName>
    <definedName name="CoverAppro_C" localSheetId="22">#REF!</definedName>
    <definedName name="CoverAppro_C" localSheetId="2">[1]CQ!#REF!</definedName>
    <definedName name="CoverAppro2" localSheetId="22">#REF!</definedName>
    <definedName name="CoverAppro2" localSheetId="2">#REF!</definedName>
    <definedName name="Cowardin" localSheetId="22">#REF!</definedName>
    <definedName name="Cowardin" localSheetId="2">#REF!</definedName>
    <definedName name="CropDist" localSheetId="22">#REF!</definedName>
    <definedName name="CropDist">#REF!</definedName>
    <definedName name="CropDist0" localSheetId="22">#REF!</definedName>
    <definedName name="CropDist0">#REF!</definedName>
    <definedName name="crops0" localSheetId="22">#REF!</definedName>
    <definedName name="crops0" localSheetId="2">[1]POL!$G$105</definedName>
    <definedName name="Crowds" localSheetId="22">#REF!</definedName>
    <definedName name="Crowds" localSheetId="2">#REF!</definedName>
    <definedName name="Crowds2" localSheetId="22">#REF!</definedName>
    <definedName name="Crowds2" localSheetId="2">#REF!</definedName>
    <definedName name="Cshed6" localSheetId="22">OE!#REF!</definedName>
    <definedName name="Cshed6">OE!#REF!</definedName>
    <definedName name="Cshed9" localSheetId="22">#REF!</definedName>
    <definedName name="Cshed9">#REF!</definedName>
    <definedName name="CSshed" localSheetId="22">#REF!</definedName>
    <definedName name="CSshed">#REF!</definedName>
    <definedName name="Cstock1a">OE!$G$123</definedName>
    <definedName name="Cstock1b">OE!#REF!</definedName>
    <definedName name="CtyRankNP" localSheetId="22">#REF!</definedName>
    <definedName name="CtyRankNP" localSheetId="2">#REF!</definedName>
    <definedName name="CUbuffLUtype8" localSheetId="2">[1]INV!$G$128</definedName>
    <definedName name="CUbuffNatPct14" localSheetId="2">[1]SBM!$G$94</definedName>
    <definedName name="CUbuffNatPct14">SBRM!$G$121</definedName>
    <definedName name="CUbuffPctNat_S" localSheetId="22">#REF!</definedName>
    <definedName name="CUbuffPctNat_S" localSheetId="2">[1]Sen!#REF!</definedName>
    <definedName name="CUbuffPctNat8">INV!$G$141</definedName>
    <definedName name="CUratio_S" localSheetId="22">#REF!</definedName>
    <definedName name="CUratio_S" localSheetId="2">[1]Sen!$G$174</definedName>
    <definedName name="CUratioSS" localSheetId="22">SR!#REF!</definedName>
    <definedName name="CUratioSS">SR!#REF!</definedName>
    <definedName name="CUtypeLU14" localSheetId="2">[1]SBM!$G$100</definedName>
    <definedName name="dbhPD">PH!$G$28</definedName>
    <definedName name="DeadZone" localSheetId="22">#REF!</definedName>
    <definedName name="DeadZone" localSheetId="2">#REF!</definedName>
    <definedName name="Decid6">OE!#REF!</definedName>
    <definedName name="DecidPct5" localSheetId="22">#REF!</definedName>
    <definedName name="DecidPct5">#REF!</definedName>
    <definedName name="DeepSpot10" localSheetId="22">FH!#REF!</definedName>
    <definedName name="DeepSpot10">FH!#REF!</definedName>
    <definedName name="DeepSpot11" localSheetId="22">AM!#REF!</definedName>
    <definedName name="DeepSpot11" localSheetId="2">[1]AM!$G$43</definedName>
    <definedName name="DeepSpot12" localSheetId="22">#REF!</definedName>
    <definedName name="DeepSpot12" localSheetId="2">[1]WBF!#REF!</definedName>
    <definedName name="DeepSpot13" localSheetId="22">FIRE!#REF!</definedName>
    <definedName name="DeepSpot13">WB!#REF!</definedName>
    <definedName name="DeepSpot2" localSheetId="22">SR!#REF!</definedName>
    <definedName name="DeepSpot2">SR!#REF!</definedName>
    <definedName name="DeepSpot3" localSheetId="22">PR!#REF!</definedName>
    <definedName name="DeepSpot3">PR!#REF!</definedName>
    <definedName name="DeerShed14" localSheetId="22">SBRM!#REF!</definedName>
    <definedName name="DeerShed14">SBRM!#REF!</definedName>
    <definedName name="DeerShedPS" localSheetId="22">#REF!</definedName>
    <definedName name="DeerShedPS">#REF!</definedName>
    <definedName name="DeerShedPS2" localSheetId="22">#REF!</definedName>
    <definedName name="DeerShedPS2">#REF!</definedName>
    <definedName name="DELAY1A">NR!$G$145</definedName>
    <definedName name="DELAY1B">NR!#REF!</definedName>
    <definedName name="Depth_S" localSheetId="22">#REF!</definedName>
    <definedName name="Depth_S" localSheetId="2">[1]Sen!$G$18</definedName>
    <definedName name="Depth10" localSheetId="2">[1]FR!$G$48</definedName>
    <definedName name="Depth10">FH!$G$35</definedName>
    <definedName name="Depth12" localSheetId="22">#REF!</definedName>
    <definedName name="Depth12" localSheetId="2">[1]WBF!$G$44</definedName>
    <definedName name="Depth13" localSheetId="22">FIRE!#REF!</definedName>
    <definedName name="Depth13" localSheetId="2">[1]WBN!$G$36</definedName>
    <definedName name="Depth15" localSheetId="2">[1]PD!$G$37</definedName>
    <definedName name="Depth15">PH!$G$109</definedName>
    <definedName name="Depth2_">SFS!$G$27</definedName>
    <definedName name="Depth5" localSheetId="22">#REF!</definedName>
    <definedName name="Depth5" localSheetId="2">[1]CS!$G$47</definedName>
    <definedName name="Depth6" localSheetId="22">OE!#REF!</definedName>
    <definedName name="Depth6" localSheetId="2">[1]OE!$G$48</definedName>
    <definedName name="Depth7" localSheetId="2">[1]T!$G$13</definedName>
    <definedName name="Depth7">WC!$G$27</definedName>
    <definedName name="Depth7w" localSheetId="22">#REF!</definedName>
    <definedName name="Depth7w">#REF!</definedName>
    <definedName name="Depth8" localSheetId="2">[1]INV!$G$53</definedName>
    <definedName name="Depth8">INV!$G$85</definedName>
    <definedName name="Depth9" localSheetId="22">#REF!</definedName>
    <definedName name="Depth9" localSheetId="2">[1]FA!$G$38</definedName>
    <definedName name="DepthC2" localSheetId="2">[1]SR!$G$30</definedName>
    <definedName name="DepthC2">SR!$G$28</definedName>
    <definedName name="DepthDiv8">INV!$G$91</definedName>
    <definedName name="DepthDom5" localSheetId="22">#REF!</definedName>
    <definedName name="DepthDom5">#REF!</definedName>
    <definedName name="DepthEven10" localSheetId="2">[1]FR!$G$54</definedName>
    <definedName name="DepthEven10">FH!$G$41</definedName>
    <definedName name="DepthEven11" localSheetId="22">AM!#REF!</definedName>
    <definedName name="DepthEven11" localSheetId="2">[1]AM!#REF!</definedName>
    <definedName name="DepthEven12" localSheetId="22">#REF!</definedName>
    <definedName name="DepthEven12" localSheetId="2">[1]WBF!$G$50</definedName>
    <definedName name="DepthEven13" localSheetId="22">FIRE!#REF!</definedName>
    <definedName name="DepthEven13" localSheetId="2">[1]WBN!$G$42</definedName>
    <definedName name="DepthEven13">WB!$G$79</definedName>
    <definedName name="DepthEven8" localSheetId="22">INV!#REF!</definedName>
    <definedName name="DepthEven8" localSheetId="2">[1]INV!$G$59</definedName>
    <definedName name="Designated" localSheetId="22">#REF!</definedName>
    <definedName name="Designated" localSheetId="2">#REF!</definedName>
    <definedName name="Desorb3" localSheetId="22">PR!#REF!</definedName>
    <definedName name="Desorb3">PR!#REF!</definedName>
    <definedName name="DevCA" localSheetId="22">OF!#REF!</definedName>
    <definedName name="DevCA">OF!#REF!</definedName>
    <definedName name="Deveg_C" localSheetId="22">#REF!</definedName>
    <definedName name="Deveg_C">#REF!</definedName>
    <definedName name="Deveg11" localSheetId="22">AM!#REF!</definedName>
    <definedName name="Deveg11" localSheetId="2">[1]AM!$G$113</definedName>
    <definedName name="Deveg13" localSheetId="22">FIRE!#REF!</definedName>
    <definedName name="Deveg13" localSheetId="2">[1]WBN!$G$113</definedName>
    <definedName name="Deveg14" localSheetId="22">SBRM!#REF!</definedName>
    <definedName name="Deveg14" localSheetId="2">[1]SBM!$G$79</definedName>
    <definedName name="Deveg2" localSheetId="22">SR!#REF!</definedName>
    <definedName name="Deveg2" localSheetId="2">[1]SR!$G$70</definedName>
    <definedName name="Deveg5" localSheetId="22">#REF!</definedName>
    <definedName name="Deveg5" localSheetId="2">[1]CS!$G$126</definedName>
    <definedName name="Deveg6" localSheetId="22">OE!#REF!</definedName>
    <definedName name="Deveg6" localSheetId="2">[1]OE!$G$110</definedName>
    <definedName name="Deveg8" localSheetId="22">INV!#REF!</definedName>
    <definedName name="Deveg8" localSheetId="2">[1]INV!$G$116</definedName>
    <definedName name="devegPD" localSheetId="22">PH!#REF!</definedName>
    <definedName name="devegPD" localSheetId="2">[1]PD!$G$109</definedName>
    <definedName name="DisGrassRems" localSheetId="22">PH!#REF!</definedName>
    <definedName name="DisGrassRems">PH!#REF!</definedName>
    <definedName name="DisParkRems" localSheetId="22">PH!#REF!</definedName>
    <definedName name="DisParkRems">PH!#REF!</definedName>
    <definedName name="DisRd14" localSheetId="22">SBRM!#REF!</definedName>
    <definedName name="DisRd14" localSheetId="2">[1]SBM!$G$109</definedName>
    <definedName name="Dist2DevCrop">OF!$E$7</definedName>
    <definedName name="Dist2Industrial">OF!$E$55</definedName>
    <definedName name="Dist2Road">OF!$E$8</definedName>
    <definedName name="DistBigWooded" localSheetId="22">OF!#REF!</definedName>
    <definedName name="DistBigWooded">OF!#REF!</definedName>
    <definedName name="DistDisturbAq" localSheetId="22">OF!#REF!</definedName>
    <definedName name="DistDisturbAq">OF!#REF!</definedName>
    <definedName name="DistExceedSS" localSheetId="22">SR!#REF!</definedName>
    <definedName name="DistExceedSS" localSheetId="2">[1]SR!#REF!</definedName>
    <definedName name="DistGrass11" localSheetId="22">AM!#REF!</definedName>
    <definedName name="DistGrass11">AM!#REF!</definedName>
    <definedName name="DistGrass13" localSheetId="22">FIRE!#REF!</definedName>
    <definedName name="DistGrass13">WB!#REF!</definedName>
    <definedName name="DistGrass14" localSheetId="22">SBRM!#REF!</definedName>
    <definedName name="DistGrass14">SBRM!#REF!</definedName>
    <definedName name="DistIndus">OF!$E$55</definedName>
    <definedName name="DistNatCov" localSheetId="22">OF!#REF!</definedName>
    <definedName name="DistNatCov">OF!#REF!</definedName>
    <definedName name="DistNatGrass" localSheetId="22">OF!#REF!</definedName>
    <definedName name="DistNatGrass">OF!#REF!</definedName>
    <definedName name="DistPark14" localSheetId="22">SBRM!#REF!</definedName>
    <definedName name="DistPark14">SBRM!#REF!</definedName>
    <definedName name="DistParkRem11" localSheetId="22">AM!#REF!</definedName>
    <definedName name="DistParkRem11">AM!#REF!</definedName>
    <definedName name="DistPond11" localSheetId="22">AM!#REF!</definedName>
    <definedName name="DistPond11">AM!#REF!</definedName>
    <definedName name="DistPop">OF!$E$9</definedName>
    <definedName name="DistRd10" localSheetId="22">FH!#REF!</definedName>
    <definedName name="DistRd10">FH!#REF!</definedName>
    <definedName name="DistRd15" localSheetId="22">PH!#REF!</definedName>
    <definedName name="DistRd15">PH!#REF!</definedName>
    <definedName name="DistRd9" localSheetId="22">#REF!</definedName>
    <definedName name="DistRd9">#REF!</definedName>
    <definedName name="DistRdPD" localSheetId="22">PH!#REF!</definedName>
    <definedName name="DistRdPD" localSheetId="2">[1]PD!$G$163</definedName>
    <definedName name="DistRdPU" localSheetId="22">HU!#REF!</definedName>
    <definedName name="DistRdPU">HU!#REF!</definedName>
    <definedName name="Disturb" localSheetId="22">#REF!</definedName>
    <definedName name="Disturb" localSheetId="2">#REF!</definedName>
    <definedName name="Disturb5k" localSheetId="22">OF!#REF!</definedName>
    <definedName name="Disturb5k">OF!#REF!</definedName>
    <definedName name="DisturbStress" localSheetId="22">#REF!</definedName>
    <definedName name="DisturbStress">#REF!</definedName>
    <definedName name="DisWettype11" localSheetId="22">AM!#REF!</definedName>
    <definedName name="DisWettype11">AM!#REF!</definedName>
    <definedName name="DisWettype11v" localSheetId="22">AM!#REF!</definedName>
    <definedName name="DisWettype11v">AM!#REF!</definedName>
    <definedName name="DisWettype13" localSheetId="22">FIRE!#REF!</definedName>
    <definedName name="DisWettype13">WB!#REF!</definedName>
    <definedName name="DisWettype13v" localSheetId="22">FIRE!#REF!</definedName>
    <definedName name="DisWettype13v">WB!#REF!</definedName>
    <definedName name="DisWettype8" localSheetId="22">INV!#REF!</definedName>
    <definedName name="DisWettype8">INV!#REF!</definedName>
    <definedName name="DisWettype8v" localSheetId="22">INV!#REF!</definedName>
    <definedName name="DisWettype8v">INV!#REF!</definedName>
    <definedName name="DisWettypePD" localSheetId="22">PH!#REF!</definedName>
    <definedName name="DisWettypePD">PH!#REF!</definedName>
    <definedName name="DisWettypeS" localSheetId="22">#REF!</definedName>
    <definedName name="DisWettypeS">#REF!</definedName>
    <definedName name="Ditching1" localSheetId="22">WS!#REF!</definedName>
    <definedName name="Ditching1">WS!#REF!</definedName>
    <definedName name="DomDepth3" localSheetId="2">[1]PR!$G$47</definedName>
    <definedName name="DomDepth3">PR!$G$51</definedName>
    <definedName name="DownDistExceedSS" localSheetId="22">SR!#REF!</definedName>
    <definedName name="DownDistExceedSS" localSheetId="2">[1]SR!$G$112</definedName>
    <definedName name="DownEroding" localSheetId="22">#REF!</definedName>
    <definedName name="DownEroding" localSheetId="2">#REF!</definedName>
    <definedName name="DownExceed" localSheetId="22">#REF!</definedName>
    <definedName name="DownExceed" localSheetId="2">#REF!</definedName>
    <definedName name="DownExceed2" localSheetId="22">SR!#REF!</definedName>
    <definedName name="DownExceed2">SR!#REF!</definedName>
    <definedName name="DownExceedDist" localSheetId="22">#REF!</definedName>
    <definedName name="DownExceedDist" localSheetId="2">#REF!</definedName>
    <definedName name="DownExceedSS" localSheetId="22">SR!#REF!</definedName>
    <definedName name="DownExceedSS">SR!#REF!</definedName>
    <definedName name="DownNitrate" localSheetId="22">#REF!</definedName>
    <definedName name="DownNitrate" localSheetId="2">#REF!</definedName>
    <definedName name="DownPhos" localSheetId="22">#REF!</definedName>
    <definedName name="DownPhos" localSheetId="2">#REF!</definedName>
    <definedName name="DownStorage" localSheetId="22">#REF!</definedName>
    <definedName name="DownStorage" localSheetId="2">#REF!</definedName>
    <definedName name="DownStore1" localSheetId="22">WS!#REF!</definedName>
    <definedName name="DownStore1" localSheetId="2">[1]WS!$G$102</definedName>
    <definedName name="DownThermo" localSheetId="22">#REF!</definedName>
    <definedName name="DownThermo" localSheetId="2">#REF!</definedName>
    <definedName name="DownTurb" localSheetId="22">#REF!</definedName>
    <definedName name="DownTurb" localSheetId="2">#REF!</definedName>
    <definedName name="downwood0" localSheetId="22">#REF!</definedName>
    <definedName name="downwood0" localSheetId="2">[1]POL!$G$69</definedName>
    <definedName name="DownWood15">PH!$G$44</definedName>
    <definedName name="DownWQdis2" localSheetId="22">SR!#REF!</definedName>
    <definedName name="DownWQdis2">SR!#REF!</definedName>
    <definedName name="Drawdown3" localSheetId="22">PR!#REF!</definedName>
    <definedName name="Drawdown3" localSheetId="2">[1]PR!$G$14</definedName>
    <definedName name="Drier" localSheetId="22">#REF!</definedName>
    <definedName name="Drier" localSheetId="2">[1]STR!$G$3</definedName>
    <definedName name="drier1" localSheetId="22">WS!#REF!</definedName>
    <definedName name="drier1">WS!#REF!</definedName>
    <definedName name="drier1a" localSheetId="22">WS!#REF!</definedName>
    <definedName name="drier1a">WS!#REF!</definedName>
    <definedName name="Drier3" localSheetId="22">PR!#REF!</definedName>
    <definedName name="Drier3" localSheetId="2">[1]PR!$G$105</definedName>
    <definedName name="Drier4" localSheetId="22">NR!#REF!</definedName>
    <definedName name="Drier4" localSheetId="2">[1]NR!$G$103</definedName>
    <definedName name="Drier5" localSheetId="22">#REF!</definedName>
    <definedName name="Drier5" localSheetId="2">[1]CS!$G$135</definedName>
    <definedName name="DrierEx" localSheetId="22">#REF!</definedName>
    <definedName name="DrierEx">#REF!</definedName>
    <definedName name="Drink4" localSheetId="22">NR!#REF!</definedName>
    <definedName name="Drink4" localSheetId="2">[1]NR!$G$136</definedName>
    <definedName name="DryIntercept" localSheetId="22">SR!#REF!</definedName>
    <definedName name="DryIntercept">SR!#REF!</definedName>
    <definedName name="DuckDens">OF!#REF!</definedName>
    <definedName name="DuckDens13" localSheetId="22">FIRE!#REF!</definedName>
    <definedName name="DuckDens13">WB!#REF!</definedName>
    <definedName name="DuckDens8v" localSheetId="22">INV!#REF!</definedName>
    <definedName name="DuckDens8v">INV!#REF!</definedName>
    <definedName name="DuckFood12" localSheetId="22">#REF!</definedName>
    <definedName name="DuckFood12" localSheetId="2">[1]WBF!$G$84</definedName>
    <definedName name="DuckFood13" localSheetId="22">FIRE!#REF!</definedName>
    <definedName name="DuckFood13" localSheetId="2">[1]WBN!$G$93</definedName>
    <definedName name="DuckHunt" localSheetId="22">#REF!</definedName>
    <definedName name="DuckHunt">#REF!</definedName>
    <definedName name="DWsource3" localSheetId="22">PR!#REF!</definedName>
    <definedName name="DWsource3">PR!#REF!</definedName>
    <definedName name="Elev" localSheetId="22">SR!#REF!</definedName>
    <definedName name="Elev">SR!#REF!</definedName>
    <definedName name="Elev1" localSheetId="22">WS!#REF!</definedName>
    <definedName name="Elev1">WS!#REF!</definedName>
    <definedName name="Elev10" localSheetId="22">FH!#REF!</definedName>
    <definedName name="Elev10">FH!#REF!</definedName>
    <definedName name="Elev11" localSheetId="22">AM!#REF!</definedName>
    <definedName name="Elev11">AM!#REF!</definedName>
    <definedName name="Elev12" localSheetId="22">#REF!</definedName>
    <definedName name="Elev12">#REF!</definedName>
    <definedName name="Elev13" localSheetId="22">FIRE!#REF!</definedName>
    <definedName name="Elev13">WB!#REF!</definedName>
    <definedName name="Elev14" localSheetId="22">SBRM!#REF!</definedName>
    <definedName name="Elev14">SBRM!#REF!</definedName>
    <definedName name="Elev2" localSheetId="22">SR!#REF!</definedName>
    <definedName name="Elev2">SR!#REF!</definedName>
    <definedName name="Elev2_" localSheetId="22">SFS!#REF!</definedName>
    <definedName name="Elev2_">SFS!#REF!</definedName>
    <definedName name="Elev2a" localSheetId="22">SR!#REF!</definedName>
    <definedName name="Elev2a">SR!#REF!</definedName>
    <definedName name="Elev3" localSheetId="22">PR!#REF!</definedName>
    <definedName name="Elev3">PR!#REF!</definedName>
    <definedName name="Elev4" localSheetId="22">NR!#REF!</definedName>
    <definedName name="Elev4">NR!#REF!</definedName>
    <definedName name="Elev5" localSheetId="22">#REF!</definedName>
    <definedName name="Elev5">#REF!</definedName>
    <definedName name="Elev6" localSheetId="22">OE!#REF!</definedName>
    <definedName name="Elev6">OE!#REF!</definedName>
    <definedName name="Elev7" localSheetId="22">WC!#REF!</definedName>
    <definedName name="Elev7">WC!#REF!</definedName>
    <definedName name="Elev7w" localSheetId="22">#REF!</definedName>
    <definedName name="Elev7w">#REF!</definedName>
    <definedName name="Elev9" localSheetId="22">#REF!</definedName>
    <definedName name="Elev9">#REF!</definedName>
    <definedName name="Elevatn2" localSheetId="22">SFS!#REF!</definedName>
    <definedName name="Elevatn2">SFS!#REF!</definedName>
    <definedName name="ElevPctileHUC8">OF!$E$10</definedName>
    <definedName name="ElevPD" localSheetId="22">PH!#REF!</definedName>
    <definedName name="ElevPD">PH!#REF!</definedName>
    <definedName name="ElevPU" localSheetId="22">HU!#REF!</definedName>
    <definedName name="ElevPU">HU!#REF!</definedName>
    <definedName name="ElevS" localSheetId="22">#REF!</definedName>
    <definedName name="ElevS">#REF!</definedName>
    <definedName name="EmPct12" localSheetId="22">#REF!</definedName>
    <definedName name="EmPct12" localSheetId="2">[1]WBF!$G$78</definedName>
    <definedName name="EmPct13" localSheetId="22">FIRE!#REF!</definedName>
    <definedName name="EmPct13" localSheetId="2">[1]WBN!$G$74</definedName>
    <definedName name="EmPct13">WB!$G$47</definedName>
    <definedName name="EmPct8" localSheetId="22">INV!#REF!</definedName>
    <definedName name="EmPct8" localSheetId="2">[1]INV!$G$88</definedName>
    <definedName name="EmSens1_C" localSheetId="22">#REF!</definedName>
    <definedName name="EmSens1_C" localSheetId="2">[1]CQ!$G$37</definedName>
    <definedName name="EmSens1_S" localSheetId="22">#REF!</definedName>
    <definedName name="EmSens1_S" localSheetId="2">[1]Sen!$G$62</definedName>
    <definedName name="EmSens2_C" localSheetId="22">#REF!</definedName>
    <definedName name="EmSens2_C" localSheetId="2">[1]CQ!$G$46</definedName>
    <definedName name="EmSens2_S" localSheetId="22">#REF!</definedName>
    <definedName name="EmSens2_S" localSheetId="2">[1]Sen!#REF!</definedName>
    <definedName name="Enrich" localSheetId="22">#REF!</definedName>
    <definedName name="Enrich">#REF!</definedName>
    <definedName name="Entrain" localSheetId="22">SR!#REF!</definedName>
    <definedName name="Entrain">SR!#REF!</definedName>
    <definedName name="Erodib_S" localSheetId="22">#REF!</definedName>
    <definedName name="Erodib_S" localSheetId="2">[1]Sen!$G$157</definedName>
    <definedName name="Erodible2" localSheetId="22">SR!#REF!</definedName>
    <definedName name="Erodible2">SR!#REF!</definedName>
    <definedName name="ErodibleSS" localSheetId="22">SR!#REF!</definedName>
    <definedName name="ErodibleSS" localSheetId="2">[1]SR!$G$116</definedName>
    <definedName name="Eroding_C" localSheetId="22">#REF!</definedName>
    <definedName name="Eroding_C" localSheetId="2">[1]CQ!#REF!</definedName>
    <definedName name="Eroding2" localSheetId="22">#REF!</definedName>
    <definedName name="Eroding2" localSheetId="2">#REF!</definedName>
    <definedName name="ErodScore3" localSheetId="22">PR!#REF!</definedName>
    <definedName name="ErodScore3" localSheetId="2">[1]PR!$G$128</definedName>
    <definedName name="EstuPos1" localSheetId="22">WS!#REF!</definedName>
    <definedName name="EstuPos1">WS!#REF!</definedName>
    <definedName name="EstuPos1low" localSheetId="22">WS!#REF!</definedName>
    <definedName name="EstuPos1low" localSheetId="2">[1]WS!$D$5</definedName>
    <definedName name="EstuPos1mid" localSheetId="22">WS!#REF!</definedName>
    <definedName name="EstuPos1mid" localSheetId="2">[1]WS!$D$6</definedName>
    <definedName name="EstuPos1up" localSheetId="22">WS!#REF!</definedName>
    <definedName name="EstuPos1up">WS!#REF!</definedName>
    <definedName name="EstuPos3" localSheetId="22">PR!#REF!</definedName>
    <definedName name="EstuPos3" localSheetId="2">[1]PR!$G$10</definedName>
    <definedName name="EstuPos5" localSheetId="22">#REF!</definedName>
    <definedName name="EstuPos5">#REF!</definedName>
    <definedName name="EstuPos9" localSheetId="22">#REF!</definedName>
    <definedName name="EstuPos9" localSheetId="2">[1]FA!#REF!</definedName>
    <definedName name="EstuPosLo9" localSheetId="22">#REF!</definedName>
    <definedName name="EstuPosLo9" localSheetId="2">[1]FA!#REF!</definedName>
    <definedName name="EstuPosMid9" localSheetId="22">#REF!</definedName>
    <definedName name="EstuPosMid9" localSheetId="2">[1]FA!#REF!</definedName>
    <definedName name="EstuPosPD" localSheetId="22">PH!#REF!</definedName>
    <definedName name="EstuPosPD" localSheetId="2">[1]PD!$G$21</definedName>
    <definedName name="EstuPosUp9" localSheetId="22">#REF!</definedName>
    <definedName name="EstuPosUp9" localSheetId="2">[1]FA!#REF!</definedName>
    <definedName name="exoticmivs8" localSheetId="22">INV!#REF!</definedName>
    <definedName name="exoticmivs8" localSheetId="2">[1]INV!$G$75</definedName>
    <definedName name="Exotics" localSheetId="22">#REF!</definedName>
    <definedName name="Exotics" localSheetId="2">[1]CQ!$G$13</definedName>
    <definedName name="ExportPot6" localSheetId="22">OE!#REF!</definedName>
    <definedName name="ExportPot6">OE!#REF!</definedName>
    <definedName name="ExposedCA" localSheetId="22">OF!#REF!</definedName>
    <definedName name="ExposedCA">OF!#REF!</definedName>
    <definedName name="Fen2_">SFS!#REF!</definedName>
    <definedName name="FenBogMarsh">OF!$E$11</definedName>
    <definedName name="FenMarshSwamp">OF!$E$12</definedName>
    <definedName name="FenPct">OF!$E$13</definedName>
    <definedName name="FenPct5K" localSheetId="22">OF!#REF!</definedName>
    <definedName name="FenPct5K">OF!#REF!</definedName>
    <definedName name="Fertility" localSheetId="22">#REF!</definedName>
    <definedName name="Fertility">#REF!</definedName>
    <definedName name="FireBreak">OF!$E$56</definedName>
    <definedName name="FireHay12" localSheetId="22">#REF!</definedName>
    <definedName name="FireHay12" localSheetId="2">[1]WBF!$G$90</definedName>
    <definedName name="FireHay13" localSheetId="22">FIRE!#REF!</definedName>
    <definedName name="FireHay13" localSheetId="2">[1]WBN!$G$99</definedName>
    <definedName name="FireHay3" localSheetId="22">PR!#REF!</definedName>
    <definedName name="FireHay3" localSheetId="2">[1]PR!$G$75</definedName>
    <definedName name="FireHay5" localSheetId="22">#REF!</definedName>
    <definedName name="FireHay5" localSheetId="2">[1]CS!$G$101</definedName>
    <definedName name="FireHay6" localSheetId="22">OE!#REF!</definedName>
    <definedName name="FireHay6" localSheetId="2">[1]OE!$G$85</definedName>
    <definedName name="FireHayPD" localSheetId="22">PH!#REF!</definedName>
    <definedName name="FireHayPD" localSheetId="2">[1]PD!$G$86</definedName>
    <definedName name="Fish10">FH!$G$67</definedName>
    <definedName name="Fish11">AM!$G$89</definedName>
    <definedName name="Fish12a" localSheetId="22">#REF!</definedName>
    <definedName name="Fish12a">#REF!</definedName>
    <definedName name="Fish13" localSheetId="22">FIRE!#REF!</definedName>
    <definedName name="Fish13">WB!$G$115</definedName>
    <definedName name="Fish8">INV!#REF!</definedName>
    <definedName name="FishAcc11" localSheetId="22">AM!#REF!</definedName>
    <definedName name="FishAcc11">AM!#REF!</definedName>
    <definedName name="FishAcc12" localSheetId="22">#REF!</definedName>
    <definedName name="FishAcc12" localSheetId="2">[1]WBF!$G$101</definedName>
    <definedName name="FishAccessS" localSheetId="22">#REF!</definedName>
    <definedName name="FishAccessS">#REF!</definedName>
    <definedName name="Fishing" localSheetId="22">FH!#REF!</definedName>
    <definedName name="Fishing" localSheetId="2">[1]FR!$D$111</definedName>
    <definedName name="Fishing9" localSheetId="22">#REF!</definedName>
    <definedName name="Fishing9">#REF!</definedName>
    <definedName name="FishPres">OF!$E$14</definedName>
    <definedName name="FishRare10" localSheetId="22">FH!#REF!</definedName>
    <definedName name="FishRare10">FH!#REF!</definedName>
    <definedName name="FishScore" localSheetId="22">FH!#REF!</definedName>
    <definedName name="FishScore">FH!#REF!</definedName>
    <definedName name="FishScore8" localSheetId="22">INV!#REF!</definedName>
    <definedName name="FishScore8">INV!#REF!</definedName>
    <definedName name="FloDist1">WS!$G$11</definedName>
    <definedName name="FloDist4" localSheetId="22">NR!#REF!</definedName>
    <definedName name="FloDist4">NR!#REF!</definedName>
    <definedName name="FloDist6" localSheetId="22">OE!#REF!</definedName>
    <definedName name="FloDist6">OE!#REF!</definedName>
    <definedName name="Floodable" localSheetId="22">#REF!</definedName>
    <definedName name="Floodable" localSheetId="2">#REF!</definedName>
    <definedName name="FloodBdg1" localSheetId="22">WS!#REF!</definedName>
    <definedName name="FloodBdg1" localSheetId="2">[1]WS!$G$96</definedName>
    <definedName name="Flow8" localSheetId="22">INV!#REF!</definedName>
    <definedName name="Flow8">INV!#REF!</definedName>
    <definedName name="FlowDist2" localSheetId="22">SR!#REF!</definedName>
    <definedName name="FlowDist2">SR!#REF!</definedName>
    <definedName name="FlowDist3" localSheetId="22">PR!#REF!</definedName>
    <definedName name="FlowDist3">PR!#REF!</definedName>
    <definedName name="FlowIn2" localSheetId="22">SR!#REF!</definedName>
    <definedName name="FlowIn2">SR!#REF!</definedName>
    <definedName name="FlowThruFringe" localSheetId="22">F!#REF!</definedName>
    <definedName name="FlowThruFringe">F!#REF!</definedName>
    <definedName name="Fluc2">SR!$G$22</definedName>
    <definedName name="FlucMax1" localSheetId="22">WS!#REF!</definedName>
    <definedName name="FlucMax1" localSheetId="2">[1]WS!#REF!</definedName>
    <definedName name="FlucMax11" localSheetId="22">AM!#REF!</definedName>
    <definedName name="FlucMax11" localSheetId="2">[1]AM!#REF!</definedName>
    <definedName name="FlucMax13" localSheetId="22">FIRE!#REF!</definedName>
    <definedName name="FlucMax13" localSheetId="2">[1]WBN!#REF!</definedName>
    <definedName name="FlucMax2" localSheetId="22">SR!#REF!</definedName>
    <definedName name="FlucMax2" localSheetId="2">[1]SR!#REF!</definedName>
    <definedName name="FlucMax3" localSheetId="22">PR!#REF!</definedName>
    <definedName name="FlucMax3" localSheetId="2">[1]PR!#REF!</definedName>
    <definedName name="FlucMax4" localSheetId="22">NR!#REF!</definedName>
    <definedName name="FlucMax4" localSheetId="2">[1]NR!#REF!</definedName>
    <definedName name="FlucMax5" localSheetId="22">#REF!</definedName>
    <definedName name="FlucMax5" localSheetId="2">[1]CS!#REF!</definedName>
    <definedName name="FlucMax6" localSheetId="22">OE!#REF!</definedName>
    <definedName name="FlucMax6" localSheetId="2">[1]OE!#REF!</definedName>
    <definedName name="FlucMost2" localSheetId="22">SR!#REF!</definedName>
    <definedName name="FlucMost2" localSheetId="2">[1]SR!#REF!</definedName>
    <definedName name="FlucPD">PH!$G$103</definedName>
    <definedName name="Fluctu11" localSheetId="2">[1]AM!$G$37</definedName>
    <definedName name="Fluctu11">AM!$G$54</definedName>
    <definedName name="Fluctu13" localSheetId="22">FIRE!#REF!</definedName>
    <definedName name="Fluctu13" localSheetId="2">[1]WBN!$G$30</definedName>
    <definedName name="Fluctu13">WB!$G$73</definedName>
    <definedName name="Fluctu3" localSheetId="2">[1]PR!$G$41</definedName>
    <definedName name="Fluctu3">PR!$G$45</definedName>
    <definedName name="Fluctu4" localSheetId="2">[1]NR!$G$37</definedName>
    <definedName name="Fluctu4">NR!$G$71</definedName>
    <definedName name="Fluctu5" localSheetId="22">#REF!</definedName>
    <definedName name="Fluctu5" localSheetId="2">[1]CS!$G$41</definedName>
    <definedName name="Fluctu6" localSheetId="2">[1]OE!$G$42</definedName>
    <definedName name="Fluctu6">OE!$G$57</definedName>
    <definedName name="Fluctu8" localSheetId="2">[1]INV!$G$47</definedName>
    <definedName name="Fluctu8">INV!$G$79</definedName>
    <definedName name="Fluctua1" localSheetId="2">[1]WS!$G$42</definedName>
    <definedName name="Fluctua1">WS!$G$43</definedName>
    <definedName name="FocalSp14" localSheetId="22">SBRM!#REF!</definedName>
    <definedName name="FocalSp14">SBRM!#REF!</definedName>
    <definedName name="Food8" localSheetId="22">INV!#REF!</definedName>
    <definedName name="Food8">INV!#REF!</definedName>
    <definedName name="forb0" localSheetId="22">#REF!</definedName>
    <definedName name="forb0">#REF!</definedName>
    <definedName name="ForbCov14">SBRM!$G$71</definedName>
    <definedName name="forbsPD">PH!$G$71</definedName>
    <definedName name="ForestedPeat">F!$D$6</definedName>
    <definedName name="ForestPctScape11" localSheetId="22">AM!#REF!</definedName>
    <definedName name="ForestPctScape11" localSheetId="2">[1]AM!$G$135</definedName>
    <definedName name="ForestPctScape14" localSheetId="22">SBRM!#REF!</definedName>
    <definedName name="ForestPctScape14" localSheetId="2">[1]SBM!$G$116</definedName>
    <definedName name="ForestProx11" localSheetId="22">AM!#REF!</definedName>
    <definedName name="ForestProx11" localSheetId="2">[1]AM!$G$141</definedName>
    <definedName name="ForestProx14" localSheetId="22">SBRM!#REF!</definedName>
    <definedName name="ForestProx14" localSheetId="2">[1]SBM!$G$122</definedName>
    <definedName name="ForestSize11" localSheetId="22">AM!#REF!</definedName>
    <definedName name="ForestSize11" localSheetId="2">[1]AM!$G$146</definedName>
    <definedName name="ForestSize14" localSheetId="22">SBRM!#REF!</definedName>
    <definedName name="ForestSize14" localSheetId="2">[1]SBM!$G$127</definedName>
    <definedName name="FragStress" localSheetId="22">#REF!</definedName>
    <definedName name="FragStress">#REF!</definedName>
    <definedName name="Freeze_S" localSheetId="22">#REF!</definedName>
    <definedName name="Freeze_S" localSheetId="2">[1]Sen!$G$115</definedName>
    <definedName name="Freeze1" localSheetId="22">WS!#REF!</definedName>
    <definedName name="Freeze1" localSheetId="2">[1]WS!$G$62</definedName>
    <definedName name="Freeze10" localSheetId="22">FH!#REF!</definedName>
    <definedName name="Freeze10">FH!#REF!</definedName>
    <definedName name="Freeze12" localSheetId="22">#REF!</definedName>
    <definedName name="Freeze12" localSheetId="2">[1]WBF!$D$71</definedName>
    <definedName name="Freeze2" localSheetId="22">SR!#REF!</definedName>
    <definedName name="Freeze2" localSheetId="2">[1]SR!#REF!</definedName>
    <definedName name="Freeze3" localSheetId="22">PR!#REF!</definedName>
    <definedName name="Freeze3" localSheetId="2">[1]PR!$G$73</definedName>
    <definedName name="Freeze4" localSheetId="22">NR!#REF!</definedName>
    <definedName name="Freeze4" localSheetId="2">[1]NR!$G$101</definedName>
    <definedName name="Freeze5" localSheetId="22">#REF!</definedName>
    <definedName name="Freeze5" localSheetId="2">[1]CS!$G$81</definedName>
    <definedName name="Freeze6" localSheetId="22">OE!#REF!</definedName>
    <definedName name="Freeze6" localSheetId="2">[1]OE!$G$78</definedName>
    <definedName name="Freeze9" localSheetId="22">#REF!</definedName>
    <definedName name="Freeze9" localSheetId="2">[1]FA!#REF!</definedName>
    <definedName name="FreezeDur5" localSheetId="22">#REF!</definedName>
    <definedName name="FreezeDur5">#REF!</definedName>
    <definedName name="FreezeDura3" localSheetId="22">PR!#REF!</definedName>
    <definedName name="FreezeDura3">PR!#REF!</definedName>
    <definedName name="FreezeProne" localSheetId="22">#REF!</definedName>
    <definedName name="FreezeProne" localSheetId="2">#REF!</definedName>
    <definedName name="Freezing" localSheetId="22">WS!#REF!</definedName>
    <definedName name="Freezing">WS!#REF!</definedName>
    <definedName name="Fresh11" localSheetId="22">AM!#REF!</definedName>
    <definedName name="Fresh11" localSheetId="2">[1]AM!#REF!</definedName>
    <definedName name="Friction" localSheetId="22">WS!#REF!</definedName>
    <definedName name="Friction">WS!#REF!</definedName>
    <definedName name="Fringe">OF!$E$15</definedName>
    <definedName name="Fringe1" localSheetId="22">WS!#REF!</definedName>
    <definedName name="Fringe1" localSheetId="2">[1]WS!$G$3</definedName>
    <definedName name="Fringe10" localSheetId="2">[1]FR!$D$3</definedName>
    <definedName name="Fringe10">FH!$G$33</definedName>
    <definedName name="Fringe12" localSheetId="22">#REF!</definedName>
    <definedName name="Fringe12" localSheetId="2">[1]WBF!$D$3</definedName>
    <definedName name="Fringe12a" localSheetId="22">#REF!</definedName>
    <definedName name="Fringe12a">#REF!</definedName>
    <definedName name="Fringe13" localSheetId="22">FIRE!#REF!</definedName>
    <definedName name="Fringe13">WB!#REF!</definedName>
    <definedName name="Fringe14" localSheetId="22">SBRM!#REF!</definedName>
    <definedName name="Fringe14">SBRM!#REF!</definedName>
    <definedName name="Fringe14a" localSheetId="22">SBRM!#REF!</definedName>
    <definedName name="Fringe14a">SBRM!#REF!</definedName>
    <definedName name="Fringe2" localSheetId="22">SR!#REF!</definedName>
    <definedName name="Fringe2" localSheetId="2">[1]SR!#REF!</definedName>
    <definedName name="Fringe21">HU!$G$10</definedName>
    <definedName name="Fringe7a" localSheetId="22">WC!#REF!</definedName>
    <definedName name="Fringe7a">WC!#REF!</definedName>
    <definedName name="Fringe7b" localSheetId="22">WC!#REF!</definedName>
    <definedName name="Fringe7b">WC!#REF!</definedName>
    <definedName name="Fringe9" localSheetId="22">#REF!</definedName>
    <definedName name="Fringe9">#REF!</definedName>
    <definedName name="FrozDur4" localSheetId="22">NR!#REF!</definedName>
    <definedName name="FrozDur4">NR!#REF!</definedName>
    <definedName name="FrozDur6" localSheetId="22">OE!#REF!</definedName>
    <definedName name="FrozDur6">OE!#REF!</definedName>
    <definedName name="Frozen2" localSheetId="22">SR!#REF!</definedName>
    <definedName name="Frozen2">SR!#REF!</definedName>
    <definedName name="FscoreWBF" localSheetId="22">#REF!</definedName>
    <definedName name="FscoreWBF">#REF!</definedName>
    <definedName name="Gcover_S" localSheetId="22">#REF!</definedName>
    <definedName name="Gcover_S" localSheetId="2">[1]Sen!$G$105</definedName>
    <definedName name="gcover0" localSheetId="22">#REF!</definedName>
    <definedName name="gcover0" localSheetId="2">[1]POL!$G$64</definedName>
    <definedName name="Gcover11" localSheetId="22">AM!#REF!</definedName>
    <definedName name="Gcover11" localSheetId="2">[1]AM!$G$93</definedName>
    <definedName name="Gcover14" localSheetId="22">SBRM!#REF!</definedName>
    <definedName name="Gcover14" localSheetId="2">[1]SBM!$G$57</definedName>
    <definedName name="Gcover2" localSheetId="2">[1]SR!$G$56</definedName>
    <definedName name="Gcover2">SR!$G$7</definedName>
    <definedName name="Gcover3" localSheetId="2">[1]PR!$G$81</definedName>
    <definedName name="Gcover3">PR!$G$15</definedName>
    <definedName name="Gcover4" localSheetId="2">[1]NR!$G$75</definedName>
    <definedName name="Gcover4">NR!$G$32</definedName>
    <definedName name="Gcover5" localSheetId="22">#REF!</definedName>
    <definedName name="Gcover5" localSheetId="2">[1]CS!$G$107</definedName>
    <definedName name="Gcover6" localSheetId="2">[1]OE!$G$91</definedName>
    <definedName name="Gcover6">OE!$G$33</definedName>
    <definedName name="Gcover8" localSheetId="22">INV!#REF!</definedName>
    <definedName name="Gcover8" localSheetId="2">[1]INV!$G$103</definedName>
    <definedName name="GDD" localSheetId="22">OF!#REF!</definedName>
    <definedName name="GDD">OF!#REF!</definedName>
    <definedName name="GDD_S" localSheetId="22">#REF!</definedName>
    <definedName name="GDD_S">#REF!</definedName>
    <definedName name="GDDa2" localSheetId="22">SFS!#REF!</definedName>
    <definedName name="GDDa2">SFS!#REF!</definedName>
    <definedName name="GDDa3" localSheetId="22">WC!#REF!</definedName>
    <definedName name="GDDa3">WC!#REF!</definedName>
    <definedName name="GDDpd" localSheetId="22">PH!#REF!</definedName>
    <definedName name="GDDpd">PH!#REF!</definedName>
    <definedName name="Geog11" localSheetId="22">AM!#REF!</definedName>
    <definedName name="Geog11">AM!#REF!</definedName>
    <definedName name="GeogPD" localSheetId="22">PH!#REF!</definedName>
    <definedName name="GeogPD">PH!#REF!</definedName>
    <definedName name="Geograph14" localSheetId="22">SBRM!#REF!</definedName>
    <definedName name="Geograph14">SBRM!#REF!</definedName>
    <definedName name="Geography12" localSheetId="22">#REF!</definedName>
    <definedName name="Geography12">#REF!</definedName>
    <definedName name="Geography14" localSheetId="22">SBRM!#REF!</definedName>
    <definedName name="Geography14">SBRM!#REF!</definedName>
    <definedName name="GeogS" localSheetId="22">#REF!</definedName>
    <definedName name="GeogS">#REF!</definedName>
    <definedName name="girreg0" localSheetId="22">#REF!</definedName>
    <definedName name="girreg0" localSheetId="2">[1]POL!$G$72</definedName>
    <definedName name="Girreg1" localSheetId="2">[1]WS!$G$63</definedName>
    <definedName name="Girreg1">WS!$G$27</definedName>
    <definedName name="Girreg11" localSheetId="2">[1]AM!$G$104</definedName>
    <definedName name="Girreg11">AM!$G$44</definedName>
    <definedName name="Girreg14" localSheetId="22">SBRM!#REF!</definedName>
    <definedName name="Girreg14" localSheetId="2">[1]SBM!$G$72</definedName>
    <definedName name="Girreg2" localSheetId="2">[1]SR!$G$61</definedName>
    <definedName name="Girreg2">SR!$G$12</definedName>
    <definedName name="Girreg3" localSheetId="2">[1]PR!$G$91</definedName>
    <definedName name="Girreg3">PR!$G$20</definedName>
    <definedName name="Girreg4" localSheetId="2">[1]NR!$G$92</definedName>
    <definedName name="Girreg4">NR!$G$37</definedName>
    <definedName name="Girreg5" localSheetId="22">#REF!</definedName>
    <definedName name="Girreg5" localSheetId="2">[1]CS!$G$117</definedName>
    <definedName name="Girreg6" localSheetId="22">OE!#REF!</definedName>
    <definedName name="Girreg6" localSheetId="2">[1]OE!$G$101</definedName>
    <definedName name="Girreg8" localSheetId="2">[1]INV!$G$111</definedName>
    <definedName name="Girreg8">INV!$G$53</definedName>
    <definedName name="GirregCQ" localSheetId="22">#REF!</definedName>
    <definedName name="GirregCQ">#REF!</definedName>
    <definedName name="GirregPD" localSheetId="2">[1]PD!$G$100</definedName>
    <definedName name="GirregPD">PH!$G$60</definedName>
    <definedName name="Glacier1" localSheetId="22">WS!#REF!</definedName>
    <definedName name="Glacier1">WS!#REF!</definedName>
    <definedName name="Glacier10" localSheetId="22">FH!#REF!</definedName>
    <definedName name="Glacier10">FH!#REF!</definedName>
    <definedName name="Glacier11" localSheetId="22">AM!#REF!</definedName>
    <definedName name="Glacier11">AM!#REF!</definedName>
    <definedName name="Glacier2" localSheetId="22">SR!#REF!</definedName>
    <definedName name="Glacier2">SR!#REF!</definedName>
    <definedName name="glacier2_" localSheetId="22">SFS!#REF!</definedName>
    <definedName name="glacier2_">SFS!#REF!</definedName>
    <definedName name="Glacier3" localSheetId="22">PR!#REF!</definedName>
    <definedName name="Glacier3">PR!#REF!</definedName>
    <definedName name="Glacier5" localSheetId="22">#REF!</definedName>
    <definedName name="Glacier5">#REF!</definedName>
    <definedName name="Glacier6" localSheetId="22">OE!#REF!</definedName>
    <definedName name="Glacier6">OE!#REF!</definedName>
    <definedName name="Glacier7" localSheetId="22">WC!#REF!</definedName>
    <definedName name="Glacier7">WC!#REF!</definedName>
    <definedName name="Glacier7w" localSheetId="22">#REF!</definedName>
    <definedName name="Glacier7w">#REF!</definedName>
    <definedName name="Glacier8" localSheetId="22">INV!#REF!</definedName>
    <definedName name="Glacier8">INV!#REF!</definedName>
    <definedName name="Glacier9" localSheetId="22">#REF!</definedName>
    <definedName name="Glacier9">#REF!</definedName>
    <definedName name="GlacierPD" localSheetId="22">PH!#REF!</definedName>
    <definedName name="GlacierPD">PH!#REF!</definedName>
    <definedName name="Glean20" localSheetId="22">PH!#REF!</definedName>
    <definedName name="Glean20">PH!#REF!</definedName>
    <definedName name="GpA_2" localSheetId="22">SFS!#REF!</definedName>
    <definedName name="GpA_2">SFS!#REF!</definedName>
    <definedName name="GpA7c" localSheetId="22">WC!#REF!</definedName>
    <definedName name="GpA7c">WC!#REF!</definedName>
    <definedName name="GpA7w" localSheetId="22">#REF!</definedName>
    <definedName name="GpA7w">#REF!</definedName>
    <definedName name="GpB_2" localSheetId="22">SFS!#REF!</definedName>
    <definedName name="GpB_2">SFS!#REF!</definedName>
    <definedName name="GpB7c" localSheetId="22">WC!#REF!</definedName>
    <definedName name="GpB7c">WC!#REF!</definedName>
    <definedName name="GpB7w" localSheetId="22">#REF!</definedName>
    <definedName name="GpB7w">#REF!</definedName>
    <definedName name="GpC_2" localSheetId="22">SFS!#REF!</definedName>
    <definedName name="GpC_2">SFS!#REF!</definedName>
    <definedName name="Gradient1" localSheetId="2">[1]WS!$G$67</definedName>
    <definedName name="Gradient1">WS!$G$90</definedName>
    <definedName name="Gradient11" localSheetId="2">[1]AM!$G$108</definedName>
    <definedName name="Gradient11">AM!$G$104</definedName>
    <definedName name="Gradient12" localSheetId="22">#REF!</definedName>
    <definedName name="Gradient12" localSheetId="2">[1]WBF!$G$96</definedName>
    <definedName name="Gradient13" localSheetId="22">FIRE!#REF!</definedName>
    <definedName name="Gradient13" localSheetId="2">[1]WBN!$G$108</definedName>
    <definedName name="Gradient13">WB!$G$125</definedName>
    <definedName name="Gradient2" localSheetId="2">[1]SR!$G$65</definedName>
    <definedName name="Gradient2">SR!$G$80</definedName>
    <definedName name="Gradient3" localSheetId="2">[1]PR!$G$95</definedName>
    <definedName name="Gradient3">PR!$G$98</definedName>
    <definedName name="Gradient4" localSheetId="2">[1]NR!$G$96</definedName>
    <definedName name="Gradient4">NR!$G$121</definedName>
    <definedName name="Gradient5" localSheetId="22">#REF!</definedName>
    <definedName name="Gradient5" localSheetId="2">[1]CS!$G$121</definedName>
    <definedName name="Gradient6" localSheetId="2">[1]OE!$G$105</definedName>
    <definedName name="Gradient6">OE!$G$104</definedName>
    <definedName name="gramin0" localSheetId="22">#REF!</definedName>
    <definedName name="gramin0" localSheetId="2">[1]POL!$G$18</definedName>
    <definedName name="Granite10" localSheetId="22">FH!#REF!</definedName>
    <definedName name="Granite10">FH!#REF!</definedName>
    <definedName name="Granite4" localSheetId="22">NR!#REF!</definedName>
    <definedName name="Granite4">NR!#REF!</definedName>
    <definedName name="Granite5" localSheetId="22">#REF!</definedName>
    <definedName name="Granite5">#REF!</definedName>
    <definedName name="Granite6" localSheetId="22">OE!#REF!</definedName>
    <definedName name="Granite6">OE!#REF!</definedName>
    <definedName name="Granite7" localSheetId="22">INV!#REF!</definedName>
    <definedName name="Granite7">INV!#REF!</definedName>
    <definedName name="GranitePD" localSheetId="22">PH!#REF!</definedName>
    <definedName name="GranitePD">PH!#REF!</definedName>
    <definedName name="GraniteSoilPD" localSheetId="22">PH!#REF!</definedName>
    <definedName name="GraniteSoilPD">PH!#REF!</definedName>
    <definedName name="GrassRem0v" localSheetId="22">#REF!</definedName>
    <definedName name="GrassRem0v">#REF!</definedName>
    <definedName name="GrassRemS" localSheetId="22">#REF!</definedName>
    <definedName name="GrassRemS">#REF!</definedName>
    <definedName name="groundw0" localSheetId="22">#REF!</definedName>
    <definedName name="groundw0" localSheetId="2">[1]POL!#REF!</definedName>
    <definedName name="Groundw1">WS!$G$86</definedName>
    <definedName name="Groundw10">FH!$G$95</definedName>
    <definedName name="GroundW11" localSheetId="2">[1]AM!$G$49</definedName>
    <definedName name="GroundW11">AM!$G$100</definedName>
    <definedName name="Groundw13" localSheetId="22">FIRE!#REF!</definedName>
    <definedName name="Groundw13" localSheetId="2">[1]WBN!#REF!</definedName>
    <definedName name="Groundw2_">SFS!$G$46</definedName>
    <definedName name="Groundw3" localSheetId="22">PR!#REF!</definedName>
    <definedName name="Groundw3">PR!#REF!</definedName>
    <definedName name="Groundw4" localSheetId="2">[1]NR!$G$44</definedName>
    <definedName name="Groundw4">NR!$G$117</definedName>
    <definedName name="GroundW5" localSheetId="22">#REF!</definedName>
    <definedName name="GroundW5" localSheetId="2">[1]CS!$G$53</definedName>
    <definedName name="Groundw6" localSheetId="22">OE!#REF!</definedName>
    <definedName name="Groundw6">OE!#REF!</definedName>
    <definedName name="GroundW8" localSheetId="2">[1]INV!$G$64</definedName>
    <definedName name="Groundw8">INV!$G$131</definedName>
    <definedName name="GroundW9" localSheetId="22">#REF!</definedName>
    <definedName name="GroundW9" localSheetId="2">[1]FA!$G$45</definedName>
    <definedName name="GroundwCooling" localSheetId="22">WC!#REF!</definedName>
    <definedName name="GroundwCooling">WC!#REF!</definedName>
    <definedName name="GroundwDisch" localSheetId="22">SFS!#REF!</definedName>
    <definedName name="GroundwDisch">SFS!#REF!</definedName>
    <definedName name="GroundwLF" localSheetId="22">SFS!#REF!</definedName>
    <definedName name="GroundwLF">SFS!#REF!</definedName>
    <definedName name="GroundwWarming" localSheetId="22">#REF!</definedName>
    <definedName name="GroundwWarming">#REF!</definedName>
    <definedName name="GrowDD">OF!$E$16</definedName>
    <definedName name="GrowthRate" localSheetId="22">#REF!</definedName>
    <definedName name="GrowthRate">#REF!</definedName>
    <definedName name="GT10HA">F!#REF!</definedName>
    <definedName name="Gwater7" localSheetId="2">[1]T!$G$19</definedName>
    <definedName name="Gwater7">WC!$G$53</definedName>
    <definedName name="Gwater7w" localSheetId="22">#REF!</definedName>
    <definedName name="Gwater7w">#REF!</definedName>
    <definedName name="GWDspring">OF!$E$17</definedName>
    <definedName name="GWIN1A">WC!$G$62</definedName>
    <definedName name="GWIN1B" localSheetId="22">WC!#REF!</definedName>
    <definedName name="GWIN1B">WC!#REF!</definedName>
    <definedName name="GWpd">PH!$G$138</definedName>
    <definedName name="GWplantdiv">PH!$G$138</definedName>
    <definedName name="GWRechar" localSheetId="22">OF!#REF!</definedName>
    <definedName name="GWRechar">OF!#REF!</definedName>
    <definedName name="GWrisk1">WS!$G$10</definedName>
    <definedName name="GWrisk4" localSheetId="22">NR!#REF!</definedName>
    <definedName name="GWrisk4" localSheetId="2">[1]NR!$G$139</definedName>
    <definedName name="GWval7" localSheetId="22">WC!#REF!</definedName>
    <definedName name="GWval7" localSheetId="2">[1]T!#REF!</definedName>
    <definedName name="GWvul" localSheetId="22">OF!#REF!</definedName>
    <definedName name="GWvul">OF!#REF!</definedName>
    <definedName name="HabStruc1b" localSheetId="22">FIRE!#REF!</definedName>
    <definedName name="HabStruc1b">WB!#REF!</definedName>
    <definedName name="HabStrucA1a">AM!$G$133</definedName>
    <definedName name="HabStrucA1b">AM!#REF!</definedName>
    <definedName name="HabStrucF1a">FH!$G$122</definedName>
    <definedName name="HabStrucF1b">FH!#REF!</definedName>
    <definedName name="HabStrucI1a">INV!$G$158</definedName>
    <definedName name="HabStrucI1b">INV!#REF!</definedName>
    <definedName name="HabStrucS1a">SBRM!$G$149</definedName>
    <definedName name="HabStrucS1b">SBRM!#REF!</definedName>
    <definedName name="HabStrucW1a" localSheetId="22">FIRE!#REF!</definedName>
    <definedName name="HabStrucW1a">WB!$G$158</definedName>
    <definedName name="HabStrucW1b" localSheetId="22">FIRE!#REF!</definedName>
    <definedName name="HabStrucW1b">WB!#REF!</definedName>
    <definedName name="Hardwd14">SBRM!#REF!</definedName>
    <definedName name="HardwdPD">PH!#REF!</definedName>
    <definedName name="Hardwood8">INV!#REF!</definedName>
    <definedName name="Harvested" localSheetId="22">#REF!</definedName>
    <definedName name="Harvested" localSheetId="2">#REF!</definedName>
    <definedName name="HasWater5" localSheetId="22">#REF!</definedName>
    <definedName name="HasWater5">#REF!</definedName>
    <definedName name="HazPond">WB!$G$149</definedName>
    <definedName name="HazPond13" localSheetId="22">FIRE!#REF!</definedName>
    <definedName name="HazPond13">WB!#REF!</definedName>
    <definedName name="herb2pd" localSheetId="22">PH!#REF!</definedName>
    <definedName name="herb2pd" localSheetId="2">[1]PD!$G$69</definedName>
    <definedName name="herbdcom0" localSheetId="22">#REF!</definedName>
    <definedName name="herbdcom0">#REF!</definedName>
    <definedName name="herbdiv0" localSheetId="22">#REF!</definedName>
    <definedName name="herbdiv0">#REF!</definedName>
    <definedName name="HerbDiv8">INV!$G$57</definedName>
    <definedName name="HerbDom1" localSheetId="22">#REF!</definedName>
    <definedName name="HerbDom1">#REF!</definedName>
    <definedName name="HerbDom14">SBRM!$G$83</definedName>
    <definedName name="herbdom15">PH!$G$82</definedName>
    <definedName name="HerbDom2" localSheetId="22">#REF!</definedName>
    <definedName name="HerbDom2" localSheetId="2">[1]Sen!$G$68</definedName>
    <definedName name="herblt50" localSheetId="22">#REF!</definedName>
    <definedName name="herblt50">#REF!</definedName>
    <definedName name="herbpct0" localSheetId="22">#REF!</definedName>
    <definedName name="herbpct0">#REF!</definedName>
    <definedName name="herbrare0" localSheetId="22">#REF!</definedName>
    <definedName name="herbrare0" localSheetId="2">[1]POL!$G$31</definedName>
    <definedName name="herbsens0" localSheetId="22">#REF!</definedName>
    <definedName name="herbsens0" localSheetId="2">[1]POL!$G$22</definedName>
    <definedName name="HerbSens2_S" localSheetId="22">#REF!</definedName>
    <definedName name="HerbSens2_S" localSheetId="2">[1]Sen!$G$71</definedName>
    <definedName name="HerbUbiq1" localSheetId="22">#REF!</definedName>
    <definedName name="HerbUbiq1">#REF!</definedName>
    <definedName name="HerbWood15">PH!$G$37</definedName>
    <definedName name="HerbWoodMix11">AM!$G$34</definedName>
    <definedName name="HerbWoodMix14">SBRM!$G$52</definedName>
    <definedName name="HerbWoodMix4">NR!$G$25</definedName>
    <definedName name="HistAccum5" localSheetId="22">#REF!</definedName>
    <definedName name="HistAccum5">#REF!</definedName>
    <definedName name="HistAccum6" localSheetId="22">OE!#REF!</definedName>
    <definedName name="HistAccum6">OE!#REF!</definedName>
    <definedName name="HistDry12" localSheetId="22">#REF!</definedName>
    <definedName name="HistDry12" localSheetId="2">[1]WBF!$G$18</definedName>
    <definedName name="HistDry13" localSheetId="22">FIRE!#REF!</definedName>
    <definedName name="HistDry13" localSheetId="2">[1]WBN!$G$10</definedName>
    <definedName name="HistDry3" localSheetId="22">PR!#REF!</definedName>
    <definedName name="HistDry3">PR!#REF!</definedName>
    <definedName name="HistDry4" localSheetId="22">NR!#REF!</definedName>
    <definedName name="HistDry4" localSheetId="2">[1]NR!#REF!</definedName>
    <definedName name="HistDry5" localSheetId="22">#REF!</definedName>
    <definedName name="HistDry5" localSheetId="2">[1]CS!$G$15</definedName>
    <definedName name="HistList">OF!#REF!</definedName>
    <definedName name="HistWet11" localSheetId="22">AM!#REF!</definedName>
    <definedName name="HistWet11" localSheetId="2">[1]AM!#REF!</definedName>
    <definedName name="HistWet12" localSheetId="22">#REF!</definedName>
    <definedName name="HistWet12" localSheetId="2">[1]WBF!#REF!</definedName>
    <definedName name="HistWet13" localSheetId="22">FIRE!#REF!</definedName>
    <definedName name="HistWet13" localSheetId="2">[1]WBN!#REF!</definedName>
    <definedName name="HistWet3" localSheetId="22">PR!#REF!</definedName>
    <definedName name="HistWet3" localSheetId="2">[1]PR!#REF!</definedName>
    <definedName name="HistWet4" localSheetId="22">NR!#REF!</definedName>
    <definedName name="HistWet4" localSheetId="2">[1]NR!#REF!</definedName>
    <definedName name="HistWet5" localSheetId="22">#REF!</definedName>
    <definedName name="HistWet5" localSheetId="2">[1]CS!#REF!</definedName>
    <definedName name="HotSpring7" localSheetId="22">WC!#REF!</definedName>
    <definedName name="HotSpring7" localSheetId="2">[1]T!$D$4</definedName>
    <definedName name="Hotspring9" localSheetId="22">#REF!</definedName>
    <definedName name="Hotspring9" localSheetId="2">[1]FA!$D$5</definedName>
    <definedName name="HtDiv12" localSheetId="22">#REF!</definedName>
    <definedName name="HtDiv12" localSheetId="2">[1]WBF!#REF!</definedName>
    <definedName name="HtDiv13" localSheetId="22">FIRE!#REF!</definedName>
    <definedName name="HtDiv13" localSheetId="2">[1]WBN!$G$105</definedName>
    <definedName name="HtDivPD" localSheetId="22">PH!#REF!</definedName>
    <definedName name="HtDivPD" localSheetId="2">[1]PD!$G$92</definedName>
    <definedName name="htunif0" localSheetId="22">#REF!</definedName>
    <definedName name="htunif0" localSheetId="2">[1]POL!$G$61</definedName>
    <definedName name="HtUnif14" localSheetId="22">SBRM!#REF!</definedName>
    <definedName name="HtUnif14">SBRM!#REF!</definedName>
    <definedName name="HUCbigW12" localSheetId="22">#REF!</definedName>
    <definedName name="HUCbigW12" localSheetId="2">[1]WBF!$G$164</definedName>
    <definedName name="HUCbigW13" localSheetId="22">FIRE!#REF!</definedName>
    <definedName name="HUCbigW13" localSheetId="2">[1]WBN!$G$192</definedName>
    <definedName name="HUCbigW14" localSheetId="22">SBRM!#REF!</definedName>
    <definedName name="HUCbigW14">SBRM!#REF!</definedName>
    <definedName name="HUCdiv11" localSheetId="22">AM!#REF!</definedName>
    <definedName name="HUCdiv11" localSheetId="2">[1]AM!$G$214</definedName>
    <definedName name="HUCdiv12" localSheetId="22">#REF!</definedName>
    <definedName name="HUCdiv12" localSheetId="2">[1]WBF!$G$152</definedName>
    <definedName name="HUCdiv13" localSheetId="22">FIRE!#REF!</definedName>
    <definedName name="HUCdiv13">WB!#REF!</definedName>
    <definedName name="HUCdiv14" localSheetId="22">SBRM!#REF!</definedName>
    <definedName name="HUCdiv14" localSheetId="2">[1]SBM!$G$180</definedName>
    <definedName name="Hydro10" localSheetId="22">FH!#REF!</definedName>
    <definedName name="Hydro10">FH!#REF!</definedName>
    <definedName name="Hydro11" localSheetId="22">AM!#REF!</definedName>
    <definedName name="Hydro11">AM!#REF!</definedName>
    <definedName name="Hydro12" localSheetId="22">#REF!</definedName>
    <definedName name="Hydro12">#REF!</definedName>
    <definedName name="Hydro13" localSheetId="22">FIRE!#REF!</definedName>
    <definedName name="Hydro13">WB!#REF!</definedName>
    <definedName name="HydroConn_C" localSheetId="22">#REF!</definedName>
    <definedName name="HydroConn_C" localSheetId="2">[1]CQ!$G$3</definedName>
    <definedName name="HydroConn2" localSheetId="22">#REF!</definedName>
    <definedName name="HydroConn2" localSheetId="2">#REF!</definedName>
    <definedName name="Hydropd8" localSheetId="22">INV!#REF!</definedName>
    <definedName name="Hydropd8">INV!#REF!</definedName>
    <definedName name="Hydropd9" localSheetId="22">#REF!</definedName>
    <definedName name="Hydropd9">#REF!</definedName>
    <definedName name="HydroStress" localSheetId="22">#REF!</definedName>
    <definedName name="HydroStress">#REF!</definedName>
    <definedName name="IBA" localSheetId="22">OF!#REF!</definedName>
    <definedName name="IBA">OF!#REF!</definedName>
    <definedName name="IBA12a" localSheetId="22">#REF!</definedName>
    <definedName name="IBA12a">#REF!</definedName>
    <definedName name="IBirdArea">OF!$E$18</definedName>
    <definedName name="Ice2_" localSheetId="22">SFS!#REF!</definedName>
    <definedName name="Ice2_">SFS!#REF!</definedName>
    <definedName name="IceDur2" localSheetId="22">SFS!#REF!</definedName>
    <definedName name="IceDur2">SFS!#REF!</definedName>
    <definedName name="IceDura10" localSheetId="22">FH!#REF!</definedName>
    <definedName name="IceDura10">FH!#REF!</definedName>
    <definedName name="IFDRY2" localSheetId="22">SR!#REF!</definedName>
    <definedName name="IFDRY2">SR!#REF!</definedName>
    <definedName name="IFNOOUT2" localSheetId="22">SR!#REF!</definedName>
    <definedName name="IFNOOUT2">SR!#REF!</definedName>
    <definedName name="IFOUT2" localSheetId="22">SR!#REF!</definedName>
    <definedName name="IFOUT2">SR!#REF!</definedName>
    <definedName name="imperv2_" localSheetId="22">SFS!#REF!</definedName>
    <definedName name="imperv2_">SFS!#REF!</definedName>
    <definedName name="Imperv4" localSheetId="22">NR!#REF!</definedName>
    <definedName name="Imperv4" localSheetId="2">[1]NR!$G$116</definedName>
    <definedName name="Imperv7" localSheetId="22">WC!#REF!</definedName>
    <definedName name="Imperv7">WC!#REF!</definedName>
    <definedName name="Imperv7w" localSheetId="22">#REF!</definedName>
    <definedName name="Imperv7w">#REF!</definedName>
    <definedName name="ImpervCA" localSheetId="22">INV!#REF!</definedName>
    <definedName name="ImpervCA">INV!#REF!</definedName>
    <definedName name="ImpervCA3" localSheetId="22">PR!#REF!</definedName>
    <definedName name="ImpervCA3" localSheetId="2">[1]PR!$G$116</definedName>
    <definedName name="ImpervCA9" localSheetId="22">#REF!</definedName>
    <definedName name="ImpervCA9">#REF!</definedName>
    <definedName name="ImpervPct" localSheetId="22">#REF!</definedName>
    <definedName name="ImpervPct" localSheetId="2">#REF!</definedName>
    <definedName name="ImpervPctSS" localSheetId="22">SR!#REF!</definedName>
    <definedName name="ImpervPctSS" localSheetId="2">[1]SR!$G$90</definedName>
    <definedName name="InBigRemnant">OF!$E$17</definedName>
    <definedName name="Inclus11" localSheetId="22">AM!#REF!</definedName>
    <definedName name="Inclus11" localSheetId="2">[1]AM!$B$98</definedName>
    <definedName name="Inclus11a" localSheetId="22">AM!#REF!</definedName>
    <definedName name="Inclus11a">AM!#REF!</definedName>
    <definedName name="Inclus14" localSheetId="2">[1]SBM!$G$66</definedName>
    <definedName name="Inclus14">SBRM!$G$67</definedName>
    <definedName name="Inclus4" localSheetId="2">[1]NR!$G$84</definedName>
    <definedName name="Inclus4">NR!$G$41</definedName>
    <definedName name="INFILT1a">WS!$G$114</definedName>
    <definedName name="Infilt1b">WS!#REF!</definedName>
    <definedName name="inflo" localSheetId="22">#REF!</definedName>
    <definedName name="inflo">#REF!</definedName>
    <definedName name="Inflo2" localSheetId="22">SR!#REF!</definedName>
    <definedName name="Inflo2">SR!#REF!</definedName>
    <definedName name="Inflo3" localSheetId="22">PR!#REF!</definedName>
    <definedName name="Inflo3">PR!#REF!</definedName>
    <definedName name="Inflo4" localSheetId="22">NR!#REF!</definedName>
    <definedName name="Inflo4">NR!#REF!</definedName>
    <definedName name="InfloPD">PH!$G$137</definedName>
    <definedName name="Inflow" localSheetId="22">#REF!</definedName>
    <definedName name="Inflow" localSheetId="2">[1]STR!$G$10</definedName>
    <definedName name="Inflow10" localSheetId="22">FH!#REF!</definedName>
    <definedName name="Inflow10">FH!#REF!</definedName>
    <definedName name="Inflows">F!$D$226</definedName>
    <definedName name="InflowW" localSheetId="22">#REF!</definedName>
    <definedName name="InflowW">#REF!</definedName>
    <definedName name="InOut" localSheetId="22">F!#REF!</definedName>
    <definedName name="InOut">F!#REF!</definedName>
    <definedName name="InTemp7" localSheetId="22">#REF!</definedName>
    <definedName name="InTemp7">#REF!</definedName>
    <definedName name="Interann10" localSheetId="22">FH!#REF!</definedName>
    <definedName name="Interann10">FH!#REF!</definedName>
    <definedName name="Interann6" localSheetId="22">OE!#REF!</definedName>
    <definedName name="Interann6" localSheetId="2">[1]OE!$G$16</definedName>
    <definedName name="Interann8" localSheetId="22">INV!#REF!</definedName>
    <definedName name="Interann8" localSheetId="2">[1]INV!$G$10</definedName>
    <definedName name="interannPD" localSheetId="22">PH!#REF!</definedName>
    <definedName name="interannPD" localSheetId="2">[1]PD!$G$28</definedName>
    <definedName name="Interannual4" localSheetId="22">NR!#REF!</definedName>
    <definedName name="Interannual4" localSheetId="2">[1]NR!$G$4</definedName>
    <definedName name="Intercep4" localSheetId="22">NR!#REF!</definedName>
    <definedName name="Intercep4">NR!#REF!</definedName>
    <definedName name="IntercepDry3" localSheetId="22">PR!#REF!</definedName>
    <definedName name="IntercepDry3">PR!#REF!</definedName>
    <definedName name="IntercepWet3" localSheetId="22">PR!#REF!</definedName>
    <definedName name="IntercepWet3">PR!#REF!</definedName>
    <definedName name="Interspers10" localSheetId="2">[1]FR!$G$58</definedName>
    <definedName name="Interspers10">FH!$G$59</definedName>
    <definedName name="Interspers11" localSheetId="2">[1]AM!$G$48</definedName>
    <definedName name="Interspers11">AM!$G$81</definedName>
    <definedName name="Interspers12" localSheetId="22">#REF!</definedName>
    <definedName name="Interspers12" localSheetId="2">[1]WBF!$G$54</definedName>
    <definedName name="Interspers13" localSheetId="22">FIRE!#REF!</definedName>
    <definedName name="Interspers13" localSheetId="2">[1]WBN!$G$49</definedName>
    <definedName name="Interspers13">WB!$G$110</definedName>
    <definedName name="Interspers14">SBRM!$G$113</definedName>
    <definedName name="Interspers2" localSheetId="2">[1]SR!#REF!</definedName>
    <definedName name="Interspers2">SR!$G$60</definedName>
    <definedName name="Interspers3" localSheetId="2">[1]PR!#REF!</definedName>
    <definedName name="Interspers3">PR!$G$71</definedName>
    <definedName name="Interspers4" localSheetId="2">[1]NR!$G$43</definedName>
    <definedName name="Interspers4">NR!$G$97</definedName>
    <definedName name="Interspers5" localSheetId="22">#REF!</definedName>
    <definedName name="Interspers5" localSheetId="2">[1]CS!#REF!</definedName>
    <definedName name="Interspers6" localSheetId="2">[1]OE!$G$54</definedName>
    <definedName name="Interspers6">OE!$G$84</definedName>
    <definedName name="Interspers8" localSheetId="2">[1]INV!$G$63</definedName>
    <definedName name="Interspers8">INV!$G$102</definedName>
    <definedName name="Interspers9" localSheetId="22">#REF!</definedName>
    <definedName name="Interspers9" localSheetId="2">[1]FA!$G$44</definedName>
    <definedName name="InterspersPD">PH!$G$129</definedName>
    <definedName name="Invasives">PH!$G$85</definedName>
    <definedName name="Invest" localSheetId="22">HU!#REF!</definedName>
    <definedName name="Invest">HU!#REF!</definedName>
    <definedName name="Invest1a" localSheetId="22">HU!#REF!</definedName>
    <definedName name="Invest1a">HU!#REF!</definedName>
    <definedName name="Invest1b" localSheetId="22">HU!#REF!</definedName>
    <definedName name="Invest1b">HU!#REF!</definedName>
    <definedName name="Invest21">HU!$G$61</definedName>
    <definedName name="InvScore2_" localSheetId="22">SFS!#REF!</definedName>
    <definedName name="InvScore2_">SFS!#REF!</definedName>
    <definedName name="Island13" localSheetId="22">FIRE!#REF!</definedName>
    <definedName name="Island13">WB!$G$114</definedName>
    <definedName name="Islands11" localSheetId="22">AM!#REF!</definedName>
    <definedName name="Islands11" localSheetId="2">[1]AM!$G$70</definedName>
    <definedName name="Islands12" localSheetId="22">#REF!</definedName>
    <definedName name="Islands12">#REF!</definedName>
    <definedName name="Islands13" localSheetId="22">FIRE!#REF!</definedName>
    <definedName name="Islands13" localSheetId="2">[1]WBN!$G$69</definedName>
    <definedName name="Iso3Wet" localSheetId="22">PR!#REF!</definedName>
    <definedName name="Iso3Wet">PR!#REF!</definedName>
    <definedName name="IsoDry_S" localSheetId="22">#REF!</definedName>
    <definedName name="IsoDry_S" localSheetId="2">[1]Sen!$G$5</definedName>
    <definedName name="IsoDry1" localSheetId="2">[1]WS!$G$29</definedName>
    <definedName name="IsoDry1">WS!$G$49</definedName>
    <definedName name="ISOdry10" localSheetId="2">[1]FR!$G$37</definedName>
    <definedName name="ISOdry10">FH!$G$45</definedName>
    <definedName name="ISOdry11" localSheetId="22">AM!#REF!</definedName>
    <definedName name="ISOdry11" localSheetId="2">[1]AM!$G$20</definedName>
    <definedName name="IsoDry12" localSheetId="22">#REF!</definedName>
    <definedName name="IsoDry12" localSheetId="2">[1]WBF!#REF!</definedName>
    <definedName name="ISOdry13" localSheetId="22">FIRE!#REF!</definedName>
    <definedName name="ISOdry13" localSheetId="2">[1]WBN!$G$23</definedName>
    <definedName name="ISOdry13">WB!$G$83</definedName>
    <definedName name="IsoDry2" localSheetId="22">SR!#REF!</definedName>
    <definedName name="IsoDry2" localSheetId="2">[1]SR!$G$17</definedName>
    <definedName name="ISOdry3" localSheetId="22">PR!#REF!</definedName>
    <definedName name="ISOdry3" localSheetId="2">[1]PR!$G$34</definedName>
    <definedName name="ISOdry4" localSheetId="22">NR!#REF!</definedName>
    <definedName name="ISOdry4" localSheetId="2">[1]NR!$G$24</definedName>
    <definedName name="ISOdry6" localSheetId="22">OE!#REF!</definedName>
    <definedName name="ISOdry6" localSheetId="2">[1]OE!$G$29</definedName>
    <definedName name="ISOdry7" localSheetId="2">[1]T!$G$6</definedName>
    <definedName name="ISOdry7">WC!$G$33</definedName>
    <definedName name="ISOdry7w" localSheetId="22">#REF!</definedName>
    <definedName name="ISOdry7w">#REF!</definedName>
    <definedName name="IsoDry8" localSheetId="22">INV!#REF!</definedName>
    <definedName name="IsoDry8" localSheetId="2">[1]INV!$G$30</definedName>
    <definedName name="IsoWet1" localSheetId="22">WS!#REF!</definedName>
    <definedName name="IsoWet1" localSheetId="2">[1]WS!$G$15</definedName>
    <definedName name="ISOwet10" localSheetId="22">FH!#REF!</definedName>
    <definedName name="ISOwet10" localSheetId="2">[1]FR!$G$23</definedName>
    <definedName name="ISOwet11" localSheetId="2">[1]AM!$G$6</definedName>
    <definedName name="ISOwet11">AM!$G$60</definedName>
    <definedName name="ISOwet12" localSheetId="22">#REF!</definedName>
    <definedName name="ISOwet12" localSheetId="2">[1]WBF!$G$37</definedName>
    <definedName name="ISOwet13" localSheetId="22">FIRE!#REF!</definedName>
    <definedName name="ISOwet13" localSheetId="2">[1]WBN!#REF!</definedName>
    <definedName name="IsoWet2">SR!$G$34</definedName>
    <definedName name="IsoWet2a">SR!$G$34</definedName>
    <definedName name="IsoWet2s">SR!$G$34</definedName>
    <definedName name="IsoWet3p" localSheetId="22">PR!#REF!</definedName>
    <definedName name="IsoWet3p">PR!#REF!</definedName>
    <definedName name="ISOwet4" localSheetId="22">NR!#REF!</definedName>
    <definedName name="ISOwet4" localSheetId="2">[1]NR!$G$10</definedName>
    <definedName name="ISOwet5" localSheetId="22">#REF!</definedName>
    <definedName name="ISOwet5" localSheetId="2">[1]CS!$G$21</definedName>
    <definedName name="ISOwet6" localSheetId="22">OE!#REF!</definedName>
    <definedName name="ISOwet6" localSheetId="2">[1]OE!$G$22</definedName>
    <definedName name="IsoWet8" localSheetId="22">INV!#REF!</definedName>
    <definedName name="IsoWet8" localSheetId="2">[1]INV!$G$16</definedName>
    <definedName name="ISOwet9" localSheetId="22">#REF!</definedName>
    <definedName name="ISOwet9" localSheetId="2">[1]FA!$G$21</definedName>
    <definedName name="Karst10" localSheetId="22">FH!#REF!</definedName>
    <definedName name="Karst10">FH!#REF!</definedName>
    <definedName name="Karst10a" localSheetId="22">FH!#REF!</definedName>
    <definedName name="Karst10a">FH!#REF!</definedName>
    <definedName name="Karst11" localSheetId="22">AM!#REF!</definedName>
    <definedName name="Karst11">AM!#REF!</definedName>
    <definedName name="Karst16" localSheetId="22">PH!#REF!</definedName>
    <definedName name="Karst16">PH!#REF!</definedName>
    <definedName name="Karst16a" localSheetId="22">PH!#REF!</definedName>
    <definedName name="Karst16a">PH!#REF!</definedName>
    <definedName name="Karst5a" localSheetId="22">#REF!</definedName>
    <definedName name="Karst5a">#REF!</definedName>
    <definedName name="Karst6" localSheetId="22">OE!#REF!</definedName>
    <definedName name="Karst6">OE!#REF!</definedName>
    <definedName name="Karst6a" localSheetId="22">OE!#REF!</definedName>
    <definedName name="Karst6a">OE!#REF!</definedName>
    <definedName name="Karst7a" localSheetId="22">INV!#REF!</definedName>
    <definedName name="Karst7a">INV!#REF!</definedName>
    <definedName name="Karst8" localSheetId="22">INV!#REF!</definedName>
    <definedName name="Karst8">INV!#REF!</definedName>
    <definedName name="Karst9" localSheetId="22">#REF!</definedName>
    <definedName name="Karst9">#REF!</definedName>
    <definedName name="Karst9a" localSheetId="22">#REF!</definedName>
    <definedName name="Karst9a">#REF!</definedName>
    <definedName name="Karstt5" localSheetId="22">#REF!</definedName>
    <definedName name="Karstt5">#REF!</definedName>
    <definedName name="LabileC1a">OE!$G$126</definedName>
    <definedName name="LabileC1b">OE!#REF!</definedName>
    <definedName name="Lacus7" localSheetId="22">WC!#REF!</definedName>
    <definedName name="Lacus7">WC!#REF!</definedName>
    <definedName name="Lacus9" localSheetId="22">#REF!</definedName>
    <definedName name="Lacus9">#REF!</definedName>
    <definedName name="Lacust10" localSheetId="22">FH!#REF!</definedName>
    <definedName name="Lacust10" localSheetId="2">[1]FR!#REF!</definedName>
    <definedName name="Lacust13" localSheetId="22">FIRE!#REF!</definedName>
    <definedName name="Lacust13" localSheetId="2">[1]WBN!$D$3</definedName>
    <definedName name="Lake">OF!$E$19</definedName>
    <definedName name="Lake10">FH!$G$34</definedName>
    <definedName name="Lake12" localSheetId="22">#REF!</definedName>
    <definedName name="Lake12">#REF!</definedName>
    <definedName name="Lake13" localSheetId="22">FIRE!#REF!</definedName>
    <definedName name="Lake13">WB!$G$66</definedName>
    <definedName name="Lake21">HU!$G$11</definedName>
    <definedName name="Lake3">PR!$G$44</definedName>
    <definedName name="Lake9" localSheetId="22">#REF!</definedName>
    <definedName name="Lake9">#REF!</definedName>
    <definedName name="LakeNear13" localSheetId="22">FIRE!#REF!</definedName>
    <definedName name="LakeNear13" localSheetId="2">[1]WBN!$D$163</definedName>
    <definedName name="LakeProx_S" localSheetId="22">#REF!</definedName>
    <definedName name="LakeProx_S" localSheetId="2">[1]Sen!$G$153</definedName>
    <definedName name="LakeProx13" localSheetId="22">FIRE!#REF!</definedName>
    <definedName name="LakeProx13" localSheetId="2">[1]WBN!$G$162</definedName>
    <definedName name="LargeWetVeg">OF!$D$50</definedName>
    <definedName name="LCdivers" localSheetId="22">OF!#REF!</definedName>
    <definedName name="LCdivers">OF!#REF!</definedName>
    <definedName name="LGIndex">OF!#REF!</definedName>
    <definedName name="Lichen14">SBRM!#REF!</definedName>
    <definedName name="Linear">OF!$E$57</definedName>
    <definedName name="ListSpecies" localSheetId="22">OF!#REF!</definedName>
    <definedName name="ListSpecies">OF!#REF!</definedName>
    <definedName name="LiveStore" localSheetId="22">WS!#REF!</definedName>
    <definedName name="LiveStore">WS!#REF!</definedName>
    <definedName name="LiveStore2" localSheetId="22">SR!#REF!</definedName>
    <definedName name="LiveStore2">SR!#REF!</definedName>
    <definedName name="lomarsh0" localSheetId="22">#REF!</definedName>
    <definedName name="lomarsh0" localSheetId="2">[1]POL!$G$3</definedName>
    <definedName name="LoMarsh2" localSheetId="22">SR!#REF!</definedName>
    <definedName name="LoMarsh2" localSheetId="2">[1]SR!$G$117</definedName>
    <definedName name="LoMarsh6" localSheetId="22">OE!#REF!</definedName>
    <definedName name="LoMarsh6" localSheetId="2">[1]OE!$G$10</definedName>
    <definedName name="LoMarsh8" localSheetId="22">INV!#REF!</definedName>
    <definedName name="LoMarsh8" localSheetId="2">[1]INV!$G$4</definedName>
    <definedName name="LowMarsh1" localSheetId="22">WS!#REF!</definedName>
    <definedName name="LowMarsh1" localSheetId="2">[1]WS!$G$8</definedName>
    <definedName name="LowMarsh10" localSheetId="22">FH!#REF!</definedName>
    <definedName name="LowMarsh10">FH!#REF!</definedName>
    <definedName name="LowMarsh12" localSheetId="22">#REF!</definedName>
    <definedName name="LowMarsh12" localSheetId="2">[1]WBF!$G$6</definedName>
    <definedName name="LowMarsh1all" localSheetId="22">WS!#REF!</definedName>
    <definedName name="LowMarsh1all" localSheetId="2">[1]WS!$D$9</definedName>
    <definedName name="LowMarsh1gt50" localSheetId="22">WS!#REF!</definedName>
    <definedName name="LowMarsh1gt50" localSheetId="2">[1]WS!$D$10</definedName>
    <definedName name="LowMarsh9" localSheetId="22">#REF!</definedName>
    <definedName name="LowMarsh9" localSheetId="2">[1]FA!$G$8</definedName>
    <definedName name="LowMarshAll14" localSheetId="22">SBRM!#REF!</definedName>
    <definedName name="LowMarshAll14" localSheetId="2">[1]SBM!$D$4</definedName>
    <definedName name="LowMarshPct14" localSheetId="22">SBRM!#REF!</definedName>
    <definedName name="LowMarshPct14" localSheetId="2">[1]SBM!$G$3</definedName>
    <definedName name="LowMarshPD" localSheetId="22">PH!#REF!</definedName>
    <definedName name="LowMarshPD" localSheetId="2">[1]PD!$G$3</definedName>
    <definedName name="Lscape" localSheetId="22">PH!#REF!</definedName>
    <definedName name="Lscape">PH!#REF!</definedName>
    <definedName name="Lscape11" localSheetId="22">AM!#REF!</definedName>
    <definedName name="Lscape11">AM!#REF!</definedName>
    <definedName name="Lscape12" localSheetId="22">#REF!</definedName>
    <definedName name="Lscape12">#REF!</definedName>
    <definedName name="Lscape13" localSheetId="22">FIRE!#REF!</definedName>
    <definedName name="Lscape13">WB!#REF!</definedName>
    <definedName name="Lscape14" localSheetId="22">SBRM!#REF!</definedName>
    <definedName name="Lscape14">SBRM!#REF!</definedName>
    <definedName name="Lscape8" localSheetId="22">INV!#REF!</definedName>
    <definedName name="Lscape8">INV!#REF!</definedName>
    <definedName name="Lscape9" localSheetId="22">#REF!</definedName>
    <definedName name="Lscape9">#REF!</definedName>
    <definedName name="LscapeA1a" localSheetId="22">AM!#REF!</definedName>
    <definedName name="LscapeA1a">AM!#REF!</definedName>
    <definedName name="LscapeA1b" localSheetId="22">AM!#REF!</definedName>
    <definedName name="LscapeA1b">AM!#REF!</definedName>
    <definedName name="LscapeAM">AM!$G$139</definedName>
    <definedName name="LscapeClassRichW" localSheetId="22">FIRE!#REF!</definedName>
    <definedName name="LscapeClassRichW">WB!#REF!</definedName>
    <definedName name="LscapeI1a" localSheetId="22">INV!#REF!</definedName>
    <definedName name="LscapeI1a">INV!#REF!</definedName>
    <definedName name="LscapeI1b" localSheetId="22">INV!#REF!</definedName>
    <definedName name="LscapeI1b">INV!#REF!</definedName>
    <definedName name="LscapePD" localSheetId="22">PH!#REF!</definedName>
    <definedName name="LscapePD">PH!#REF!</definedName>
    <definedName name="LscapeS1a">SBRM!$G$155</definedName>
    <definedName name="LscapeS1b" localSheetId="22">SBRM!#REF!</definedName>
    <definedName name="LscapeS1b">SBRM!#REF!</definedName>
    <definedName name="LscapeW1a" localSheetId="22">FIRE!#REF!</definedName>
    <definedName name="LscapeW1a">WB!$G$164</definedName>
    <definedName name="LscapeW1b" localSheetId="22">FIRE!#REF!</definedName>
    <definedName name="LscapeW1b">WB!#REF!</definedName>
    <definedName name="Mainland14" localSheetId="22">SBRM!#REF!</definedName>
    <definedName name="Mainland14">SBRM!#REF!</definedName>
    <definedName name="MarshFenSwamp">OF!#REF!</definedName>
    <definedName name="MarshPct">OF!$E$20</definedName>
    <definedName name="MarshPct5K" localSheetId="22">OF!#REF!</definedName>
    <definedName name="MarshPct5K">OF!#REF!</definedName>
    <definedName name="MarshUniq">OF!$E$21</definedName>
    <definedName name="MatureF" localSheetId="22">#REF!</definedName>
    <definedName name="MatureF" localSheetId="2">[1]Sen!$D$4</definedName>
    <definedName name="MaxFluc2" localSheetId="22">SR!#REF!</definedName>
    <definedName name="MaxFluc2" localSheetId="2">[1]SR!$G$130</definedName>
    <definedName name="Mesosaline11" localSheetId="22">AM!#REF!</definedName>
    <definedName name="Mesosaline11" localSheetId="2">[1]AM!#REF!</definedName>
    <definedName name="MethLimit5" localSheetId="22">#REF!</definedName>
    <definedName name="MethLimit5">#REF!</definedName>
    <definedName name="MinSIze13" localSheetId="22">FIRE!#REF!</definedName>
    <definedName name="MinSIze13" localSheetId="2">[1]WBN!$D$73</definedName>
    <definedName name="MitigaSite" localSheetId="22">HU!#REF!</definedName>
    <definedName name="MitigaSite" localSheetId="2">[1]PU!$G$24</definedName>
    <definedName name="MitSite" localSheetId="22">#REF!</definedName>
    <definedName name="MitSite" localSheetId="2">#REF!</definedName>
    <definedName name="MixHerbWood">OF!#REF!</definedName>
    <definedName name="MixWaterVeg">OF!#REF!</definedName>
    <definedName name="Moss6">OE!$G$27</definedName>
    <definedName name="Moss8">INV!$G$47</definedName>
    <definedName name="MossCov5" localSheetId="22">#REF!</definedName>
    <definedName name="MossCov5">#REF!</definedName>
    <definedName name="MossPD">PH!#REF!</definedName>
    <definedName name="Mudflat12" localSheetId="22">#REF!</definedName>
    <definedName name="Mudflat12" localSheetId="2">[1]WBF!$G$65</definedName>
    <definedName name="NatBuff0" localSheetId="22">#REF!</definedName>
    <definedName name="NatBuff0">#REF!</definedName>
    <definedName name="NatCApct3" localSheetId="22">PR!#REF!</definedName>
    <definedName name="NatCApct3" localSheetId="2">[1]PR!$G$150</definedName>
    <definedName name="NatCov1k">OF!$E$22</definedName>
    <definedName name="NatCov2mi11" localSheetId="22">AM!#REF!</definedName>
    <definedName name="NatCov2mi11">AM!#REF!</definedName>
    <definedName name="NatCov5k" localSheetId="22">OF!#REF!</definedName>
    <definedName name="NatCov5k">OF!#REF!</definedName>
    <definedName name="NatGrassDis0" localSheetId="22">#REF!</definedName>
    <definedName name="NatGrassDis0">#REF!</definedName>
    <definedName name="natLCpct0" localSheetId="22">#REF!</definedName>
    <definedName name="natLCpct0">#REF!</definedName>
    <definedName name="NatPctScape8" localSheetId="22">INV!#REF!</definedName>
    <definedName name="NatPctScape8" localSheetId="2">[1]INV!#REF!</definedName>
    <definedName name="natvacres0" localSheetId="22">#REF!</definedName>
    <definedName name="natvacres0" localSheetId="2">[1]POL!$G$89</definedName>
    <definedName name="natveg0" localSheetId="22">#REF!</definedName>
    <definedName name="natveg0" localSheetId="2">[1]POL!$G$77</definedName>
    <definedName name="NatVegBuffPD" localSheetId="22">PH!#REF!</definedName>
    <definedName name="NatVegBuffPD" localSheetId="2">[1]PD!#REF!</definedName>
    <definedName name="NatVegCA" localSheetId="22">#REF!</definedName>
    <definedName name="NatVegCA" localSheetId="2">[1]STR!$G$40</definedName>
    <definedName name="NatVegCApd" localSheetId="2">[1]PD!$G$135</definedName>
    <definedName name="NatVegCApd">PH!$G$142</definedName>
    <definedName name="NatVegCUpct_S" localSheetId="22">#REF!</definedName>
    <definedName name="NatVegCUpct_S" localSheetId="2">[1]Sen!$G$116</definedName>
    <definedName name="NatVegCUpct10" localSheetId="2">[1]FR!$G$97</definedName>
    <definedName name="NatVegCUpct10">FH!$G$99</definedName>
    <definedName name="NatVegCUpct9" localSheetId="22">#REF!</definedName>
    <definedName name="NatVegCUpct9" localSheetId="2">[1]FA!$G$93</definedName>
    <definedName name="NatVegPct11" localSheetId="2">[1]AM!$G$152</definedName>
    <definedName name="NatVegPctCU8" localSheetId="2">[1]INV!$G$122</definedName>
    <definedName name="NatVegPctScape_S" localSheetId="22">#REF!</definedName>
    <definedName name="NatVegPctScape_S" localSheetId="2">[1]Sen!#REF!</definedName>
    <definedName name="NatVegPctScape14" localSheetId="22">SBRM!#REF!</definedName>
    <definedName name="NatVegPctScape14" localSheetId="2">[1]SBM!$G$133</definedName>
    <definedName name="NatVegProx_S" localSheetId="22">#REF!</definedName>
    <definedName name="NatVegProx_S" localSheetId="2">[1]Sen!$G$127</definedName>
    <definedName name="NatVegProx11" localSheetId="22">AM!#REF!</definedName>
    <definedName name="NatVegProx11" localSheetId="2">[1]AM!$G$188</definedName>
    <definedName name="NatVegProx14" localSheetId="22">SBRM!#REF!</definedName>
    <definedName name="NatVegProx14" localSheetId="2">[1]SBM!$G$147</definedName>
    <definedName name="NatVegProx8" localSheetId="22">INV!#REF!</definedName>
    <definedName name="NatVegProx8" localSheetId="2">[1]INV!#REF!</definedName>
    <definedName name="NatVegSize_S" localSheetId="22">#REF!</definedName>
    <definedName name="NatVegSize_S" localSheetId="2">[1]Sen!$G$133</definedName>
    <definedName name="NatVegSize11" localSheetId="22">AM!#REF!</definedName>
    <definedName name="NatVegSize11" localSheetId="2">[1]AM!$G$194</definedName>
    <definedName name="NatVegSize14" localSheetId="22">SBRM!#REF!</definedName>
    <definedName name="NatVegSize14" localSheetId="2">[1]SBM!$G$153</definedName>
    <definedName name="NatVegTractSize" localSheetId="22">FIRE!#REF!</definedName>
    <definedName name="NatVegTractSize" localSheetId="2">[1]WBN!$G$142</definedName>
    <definedName name="natvprox0" localSheetId="22">#REF!</definedName>
    <definedName name="natvprox0" localSheetId="2">[1]POL!$G$83</definedName>
    <definedName name="NatWoodDis0" localSheetId="22">#REF!</definedName>
    <definedName name="NatWoodDis0">#REF!</definedName>
    <definedName name="Navigable" localSheetId="22">#REF!</definedName>
    <definedName name="Navigable" localSheetId="2">#REF!</definedName>
    <definedName name="Ndown4" localSheetId="22">NR!#REF!</definedName>
    <definedName name="Ndown4">NR!#REF!</definedName>
    <definedName name="NestBirdCol" localSheetId="22">OF!#REF!</definedName>
    <definedName name="NestBirdCol">OF!#REF!</definedName>
    <definedName name="NestSites" localSheetId="22">#REF!</definedName>
    <definedName name="NestSites">#REF!</definedName>
    <definedName name="NewWet">NR!$G$126</definedName>
    <definedName name="NewWet_S" localSheetId="22">#REF!</definedName>
    <definedName name="NewWet_S">#REF!</definedName>
    <definedName name="NewWet10" localSheetId="22">FH!#REF!</definedName>
    <definedName name="NewWet10">FH!#REF!</definedName>
    <definedName name="NewWet11" localSheetId="22">AM!#REF!</definedName>
    <definedName name="NewWet11">AM!#REF!</definedName>
    <definedName name="NewWet12" localSheetId="22">#REF!</definedName>
    <definedName name="NewWet12">#REF!</definedName>
    <definedName name="NewWet2a" localSheetId="22">SR!#REF!</definedName>
    <definedName name="NewWet2a">SR!#REF!</definedName>
    <definedName name="NewWet3" localSheetId="22">PR!#REF!</definedName>
    <definedName name="NewWet3">PR!#REF!</definedName>
    <definedName name="NewWet3F" localSheetId="22">PR!#REF!</definedName>
    <definedName name="NewWet3F">PR!#REF!</definedName>
    <definedName name="NewWet5" localSheetId="22">#REF!</definedName>
    <definedName name="NewWet5">#REF!</definedName>
    <definedName name="NewWet6">OE!$G$109</definedName>
    <definedName name="NewWet8" localSheetId="22">INV!#REF!</definedName>
    <definedName name="NewWet8">INV!#REF!</definedName>
    <definedName name="NewWetNot" localSheetId="22">OF!#REF!</definedName>
    <definedName name="NewWetNot">OF!#REF!</definedName>
    <definedName name="NewWetNot6">OE!$D$110</definedName>
    <definedName name="NewWetPD">PH!$G$152</definedName>
    <definedName name="Nfix10" localSheetId="22">FH!#REF!</definedName>
    <definedName name="Nfix10">FH!#REF!</definedName>
    <definedName name="Nfix14" localSheetId="22">SBRM!#REF!</definedName>
    <definedName name="Nfix14">SBRM!#REF!</definedName>
    <definedName name="Nfix4" localSheetId="22">NR!#REF!</definedName>
    <definedName name="Nfix4">NR!#REF!</definedName>
    <definedName name="Nfix5" localSheetId="22">#REF!</definedName>
    <definedName name="Nfix5">#REF!</definedName>
    <definedName name="Nfix9" localSheetId="22">#REF!</definedName>
    <definedName name="Nfix9">#REF!</definedName>
    <definedName name="Nfixer4" localSheetId="22">NR!#REF!</definedName>
    <definedName name="Nfixer4" localSheetId="2">[1]NR!#REF!</definedName>
    <definedName name="Nfixer5" localSheetId="22">#REF!</definedName>
    <definedName name="Nfixer5" localSheetId="2">[1]CS!#REF!</definedName>
    <definedName name="Nfixer6" localSheetId="2">[1]OE!$G$79</definedName>
    <definedName name="Nfixer6">OE!$G$21</definedName>
    <definedName name="Nfixers8" localSheetId="2">[1]INV!$G$94</definedName>
    <definedName name="Nfixers8">INV!$G$41</definedName>
    <definedName name="NfixPD">PH!$G$50</definedName>
    <definedName name="NfixS" localSheetId="22">#REF!</definedName>
    <definedName name="NfixS">#REF!</definedName>
    <definedName name="Nload4" localSheetId="22">NR!#REF!</definedName>
    <definedName name="Nload4" localSheetId="2">[1]NR!#REF!</definedName>
    <definedName name="nnativ11" localSheetId="22">AM!#REF!</definedName>
    <definedName name="nnativ11" localSheetId="2">[1]AM!$G$121</definedName>
    <definedName name="NNfish" localSheetId="22">FH!#REF!</definedName>
    <definedName name="NNfish" localSheetId="2">[1]FR!$G$85</definedName>
    <definedName name="NNfish9" localSheetId="22">#REF!</definedName>
    <definedName name="NNfish9" localSheetId="2">[1]FA!$G$82</definedName>
    <definedName name="NoAccess9" localSheetId="22">#REF!</definedName>
    <definedName name="NoAccess9" localSheetId="2">[1]FA!#REF!</definedName>
    <definedName name="NoDeer" localSheetId="22">PH!#REF!</definedName>
    <definedName name="NoDeer">PH!#REF!</definedName>
    <definedName name="NoDeerPD" localSheetId="22">PH!#REF!</definedName>
    <definedName name="NoDeerPD">PH!#REF!</definedName>
    <definedName name="NoDrainage" localSheetId="22">WS!#REF!</definedName>
    <definedName name="NoDrainage" localSheetId="2">[1]WS!$G$72</definedName>
    <definedName name="NoEmPct" localSheetId="22">#REF!</definedName>
    <definedName name="NoEmPct">#REF!</definedName>
    <definedName name="NoFreezeFR" localSheetId="22">FH!#REF!</definedName>
    <definedName name="NoFreezeFR" localSheetId="2">[1]FR!$G$88</definedName>
    <definedName name="NoHerb_S" localSheetId="22">#REF!</definedName>
    <definedName name="NoHerb_S">#REF!</definedName>
    <definedName name="NoHerbCov">F!$D$90</definedName>
    <definedName name="NoInflo" localSheetId="22">#REF!</definedName>
    <definedName name="NoInflo">#REF!</definedName>
    <definedName name="NonHydric6" localSheetId="2">[1]OE!$G$117</definedName>
    <definedName name="NonNatvAnim" localSheetId="22">#REF!</definedName>
    <definedName name="NonNatvAnim" localSheetId="2">#REF!</definedName>
    <definedName name="NoOpenPonded">F!$D$174</definedName>
    <definedName name="NoOpenPonded1">F!$D$175</definedName>
    <definedName name="NoOtherWettypes">F!$D$17</definedName>
    <definedName name="NoOut_S" localSheetId="22">#REF!</definedName>
    <definedName name="NoOut_S" localSheetId="2">[1]Sen!$D$33</definedName>
    <definedName name="NoOut3" localSheetId="22">PR!#REF!</definedName>
    <definedName name="NoOut3">PR!#REF!</definedName>
    <definedName name="NoOutlet1" localSheetId="2">[1]WS!$D$52</definedName>
    <definedName name="NoOutlet10" localSheetId="2">[1]FR!$D$63</definedName>
    <definedName name="NoOutlet1a">WS!$D$80</definedName>
    <definedName name="NoOutlet2" localSheetId="2">[1]SR!$D$40</definedName>
    <definedName name="NoOutlet3" localSheetId="2">[1]PR!$D$57</definedName>
    <definedName name="NoOutlet4" localSheetId="2">[1]NR!$D$53</definedName>
    <definedName name="NoOutlet5" localSheetId="22">#REF!</definedName>
    <definedName name="NoOutlet5">#REF!</definedName>
    <definedName name="NoOutlet6" localSheetId="2">[1]OE!$D$59</definedName>
    <definedName name="NoOutlet7" localSheetId="22">WC!#REF!</definedName>
    <definedName name="NoOutlet7" localSheetId="2">[1]T!$D$28</definedName>
    <definedName name="NoPerm10" localSheetId="22">FH!#REF!</definedName>
    <definedName name="NoPerm10" localSheetId="2">[1]FR!$D$22</definedName>
    <definedName name="NoPermW10" localSheetId="2">[1]FR!$D$35</definedName>
    <definedName name="NoPermW10">FH!$D$26</definedName>
    <definedName name="NoPersis">F!$D$128</definedName>
    <definedName name="NoPonded">F!$D$166</definedName>
    <definedName name="NormalSeasW" localSheetId="22">PH!#REF!</definedName>
    <definedName name="NormalSeasW" localSheetId="2">[1]PD!$G$33</definedName>
    <definedName name="NoSAV" localSheetId="22">#REF!</definedName>
    <definedName name="NoSAV">#REF!</definedName>
    <definedName name="NoScum_C" localSheetId="22">#REF!</definedName>
    <definedName name="NoScum_C">#REF!</definedName>
    <definedName name="NoScum15" localSheetId="22">PH!#REF!</definedName>
    <definedName name="NoScum15">PH!#REF!</definedName>
    <definedName name="NoScumPD" localSheetId="22">PH!#REF!</definedName>
    <definedName name="NoScumPD" localSheetId="2">[1]PD!$G$43</definedName>
    <definedName name="NoSeasonal">F!$D$143</definedName>
    <definedName name="NoShrub">F!#REF!</definedName>
    <definedName name="NotCreated" localSheetId="22">NR!#REF!</definedName>
    <definedName name="NotCreated" localSheetId="2">[1]NR!$G$102</definedName>
    <definedName name="NotFen5" localSheetId="22">#REF!</definedName>
    <definedName name="NotFen5">#REF!</definedName>
    <definedName name="NotNewWet" localSheetId="22">#REF!</definedName>
    <definedName name="NotNewWet">#REF!</definedName>
    <definedName name="NoTrees">F!#REF!</definedName>
    <definedName name="NoWat3" localSheetId="22">PR!#REF!</definedName>
    <definedName name="NoWat3">PR!#REF!</definedName>
    <definedName name="NoWater1" localSheetId="22">WS!#REF!</definedName>
    <definedName name="NoWater1" localSheetId="2">[1]WS!#REF!</definedName>
    <definedName name="NoWater3" localSheetId="2">[1]PR!$D$19</definedName>
    <definedName name="NoWater4" localSheetId="22">NR!#REF!</definedName>
    <definedName name="NoWater4" localSheetId="2">[1]NR!#REF!</definedName>
    <definedName name="NoWater4a" localSheetId="2">[1]NR!$D$9</definedName>
    <definedName name="NoWoody" localSheetId="2">[1]CQ!$G$49</definedName>
    <definedName name="NoWoody_S" localSheetId="22">#REF!</definedName>
    <definedName name="NoWoody_S">#REF!</definedName>
    <definedName name="NoWoodyVeg">F!$D$19</definedName>
    <definedName name="NprobUp4" localSheetId="22">NR!#REF!</definedName>
    <definedName name="NprobUp4" localSheetId="2">[1]NR!$D$129</definedName>
    <definedName name="Nrank4" localSheetId="22">NR!#REF!</definedName>
    <definedName name="Nrank4" localSheetId="2">[1]NR!$G$142</definedName>
    <definedName name="NRE3a" localSheetId="22">NR!#REF!</definedName>
    <definedName name="NRE3a" localSheetId="2">[1]NR!$G$168</definedName>
    <definedName name="Nsource4" localSheetId="22">NR!#REF!</definedName>
    <definedName name="Nsource4" localSheetId="2">[1]NR!$G$147</definedName>
    <definedName name="NtidalJux12" localSheetId="22">#REF!</definedName>
    <definedName name="NtidalJux12" localSheetId="2">[1]WBF!$G$12</definedName>
    <definedName name="NtidalJux14" localSheetId="22">SBRM!#REF!</definedName>
    <definedName name="NtidalJux14" localSheetId="2">[1]SBM!$G$9</definedName>
    <definedName name="NtidalProx9" localSheetId="22">#REF!</definedName>
    <definedName name="NtidalProx9" localSheetId="2">[1]FA!$G$14</definedName>
    <definedName name="NutrAvail5" localSheetId="22">#REF!</definedName>
    <definedName name="NutrAvail5">#REF!</definedName>
    <definedName name="NutrAvail6" localSheetId="22">OE!#REF!</definedName>
    <definedName name="NutrAvail6">OE!#REF!</definedName>
    <definedName name="Nutrients15" localSheetId="22">PH!#REF!</definedName>
    <definedName name="Nutrients15">PH!#REF!</definedName>
    <definedName name="NutrIn20" localSheetId="22">PH!#REF!</definedName>
    <definedName name="NutrIn20">PH!#REF!</definedName>
    <definedName name="NutrIn8" localSheetId="22">INV!#REF!</definedName>
    <definedName name="NutrIn8" localSheetId="2">[1]INV!$G$139</definedName>
    <definedName name="NutrIn9" localSheetId="22">#REF!</definedName>
    <definedName name="NutrIn9" localSheetId="2">[1]FA!$G$118</definedName>
    <definedName name="OpenlandPct11" localSheetId="22">AM!#REF!</definedName>
    <definedName name="OpenlandPct11" localSheetId="2">[1]AM!#REF!</definedName>
    <definedName name="OpenlandProx11" localSheetId="22">AM!#REF!</definedName>
    <definedName name="OpenlandProx11" localSheetId="2">[1]AM!#REF!</definedName>
    <definedName name="OpenPct1">WS!$G$56</definedName>
    <definedName name="OpenPctScape12" localSheetId="22">#REF!</definedName>
    <definedName name="OpenPctScape12" localSheetId="2">[1]WBF!$G$112</definedName>
    <definedName name="OpenPonded2">SR!$G$41</definedName>
    <definedName name="OpenPonded2a">SFS!$G$33</definedName>
    <definedName name="OpenPonded7">WC!$G$40</definedName>
    <definedName name="OpenPonded7a" localSheetId="22">#REF!</definedName>
    <definedName name="OpenPonded7a">#REF!</definedName>
    <definedName name="OpenScapeProx12" localSheetId="22">#REF!</definedName>
    <definedName name="OpenScapeProx12" localSheetId="2">[1]WBF!$G$118</definedName>
    <definedName name="OpenSize2" localSheetId="22">SR!#REF!</definedName>
    <definedName name="OpenSize2">SR!#REF!</definedName>
    <definedName name="OpenStrucs14" localSheetId="22">SBRM!#REF!</definedName>
    <definedName name="OpenStrucs14" localSheetId="2">[1]SBM!#REF!</definedName>
    <definedName name="OpenUndev" localSheetId="22">OF!#REF!</definedName>
    <definedName name="OpenUndev">OF!#REF!</definedName>
    <definedName name="OpenUndev8" localSheetId="22">INV!#REF!</definedName>
    <definedName name="OpenUndev8">INV!#REF!</definedName>
    <definedName name="OpenUndevA" localSheetId="22">OF!#REF!</definedName>
    <definedName name="OpenUndevA">OF!#REF!</definedName>
    <definedName name="OpenUndevA0" localSheetId="22">#REF!</definedName>
    <definedName name="OpenUndevA0">#REF!</definedName>
    <definedName name="OpenUndevA15" localSheetId="22">PH!#REF!</definedName>
    <definedName name="OpenUndevA15">PH!#REF!</definedName>
    <definedName name="OpenUndevB" localSheetId="22">OF!#REF!</definedName>
    <definedName name="OpenUndevB">OF!#REF!</definedName>
    <definedName name="OpenUndevB11" localSheetId="22">AM!#REF!</definedName>
    <definedName name="OpenUndevB11">AM!#REF!</definedName>
    <definedName name="OpenUndevB13" localSheetId="22">FIRE!#REF!</definedName>
    <definedName name="OpenUndevB13">WB!#REF!</definedName>
    <definedName name="OpenUndevB14" localSheetId="22">SBRM!#REF!</definedName>
    <definedName name="OpenUndevB14">SBRM!#REF!</definedName>
    <definedName name="OpenUndevS" localSheetId="22">#REF!</definedName>
    <definedName name="OpenUndevS">#REF!</definedName>
    <definedName name="OpenW">F!$D$172</definedName>
    <definedName name="OpenWpct3">PR!$G$57</definedName>
    <definedName name="OpenwSize13" localSheetId="22">FIRE!#REF!</definedName>
    <definedName name="OpenwSize13">WB!#REF!</definedName>
    <definedName name="OpWater" localSheetId="22">F!#REF!</definedName>
    <definedName name="OpWater">F!#REF!</definedName>
    <definedName name="OpWaterDry" localSheetId="22">F!#REF!</definedName>
    <definedName name="OpWaterDry">F!#REF!</definedName>
    <definedName name="OpWaterWet" localSheetId="22">F!#REF!</definedName>
    <definedName name="OpWaterWet">F!#REF!</definedName>
    <definedName name="Organic4" localSheetId="22">NR!#REF!</definedName>
    <definedName name="Organic4">NR!#REF!</definedName>
    <definedName name="OUT2A">SR!$G$101</definedName>
    <definedName name="OUT2B" localSheetId="22">SR!#REF!</definedName>
    <definedName name="OUT2B">SR!#REF!</definedName>
    <definedName name="OUT3A">PR!$G$117</definedName>
    <definedName name="OUT3B" localSheetId="22">PR!#REF!</definedName>
    <definedName name="OUT3B">PR!#REF!</definedName>
    <definedName name="OUT7A">WC!$G$65</definedName>
    <definedName name="OUT7B" localSheetId="22">WC!#REF!</definedName>
    <definedName name="OUT7B">WC!#REF!</definedName>
    <definedName name="OutC1a">OE!$G$129</definedName>
    <definedName name="OutC1b" localSheetId="22">OE!#REF!</definedName>
    <definedName name="OutC1b">OE!#REF!</definedName>
    <definedName name="OutDur2" localSheetId="2">[1]SR!$G$36</definedName>
    <definedName name="OutDur2">SR!$G$70</definedName>
    <definedName name="OutDur2_">SFS!$G$40</definedName>
    <definedName name="OutDur7" localSheetId="2">[1]T!$G$24</definedName>
    <definedName name="OutDur7">WC!$G$47</definedName>
    <definedName name="OutDura_S" localSheetId="22">#REF!</definedName>
    <definedName name="OutDura_S" localSheetId="2">[1]Sen!$G$29</definedName>
    <definedName name="OutDura1" localSheetId="2">[1]WS!$G$48</definedName>
    <definedName name="OutDura1">WS!$G$76</definedName>
    <definedName name="OutDura10" localSheetId="2">[1]FR!$G$59</definedName>
    <definedName name="OutDura10">FH!$G$89</definedName>
    <definedName name="OutDura3" localSheetId="2">[1]PR!$G$53</definedName>
    <definedName name="OutDura3">PR!$G$88</definedName>
    <definedName name="OutDura4" localSheetId="2">[1]NR!$G$49</definedName>
    <definedName name="OutDura4">NR!$G$107</definedName>
    <definedName name="OutDura5" localSheetId="22">#REF!</definedName>
    <definedName name="OutDura5" localSheetId="2">[1]CS!$G$58</definedName>
    <definedName name="OutDura6" localSheetId="2">[1]OE!$G$55</definedName>
    <definedName name="OutDura6">OE!$G$94</definedName>
    <definedName name="OutDura9" localSheetId="22">#REF!</definedName>
    <definedName name="OutDura9" localSheetId="2">[1]FA!$G$50</definedName>
    <definedName name="Outlet4" localSheetId="22">NR!#REF!</definedName>
    <definedName name="Outlet4">NR!#REF!</definedName>
    <definedName name="Outlet4p" localSheetId="22">NR!#REF!</definedName>
    <definedName name="Outlet4p">NR!#REF!</definedName>
    <definedName name="OutNone">F!$D$238</definedName>
    <definedName name="OutNone1">F!$D$237</definedName>
    <definedName name="OWarea">OF!$E$23</definedName>
    <definedName name="Owner" localSheetId="22">HU!#REF!</definedName>
    <definedName name="Owner">HU!#REF!</definedName>
    <definedName name="Ownership" localSheetId="2">[1]PU!$G$6</definedName>
    <definedName name="Ownership">HU!$G$24</definedName>
    <definedName name="OwnerSS" localSheetId="22">#REF!</definedName>
    <definedName name="OwnerSS">#REF!</definedName>
    <definedName name="OWpatchSize8" localSheetId="22">INV!#REF!</definedName>
    <definedName name="OWpatchSize8">INV!#REF!</definedName>
    <definedName name="OWpct">OF!$E$24</definedName>
    <definedName name="OWpct_AM">OF!$E$26</definedName>
    <definedName name="OWpct_INV">OF!$E$25</definedName>
    <definedName name="OWpct_WB">OF!$E$27</definedName>
    <definedName name="OWpct10">FH!$G$52</definedName>
    <definedName name="OWpct11">AM!$G$67</definedName>
    <definedName name="OWpct13" localSheetId="22">FIRE!#REF!</definedName>
    <definedName name="OWpct13">WB!$G$90</definedName>
    <definedName name="OWpct4">NR!$G$83</definedName>
    <definedName name="OWpct6">OE!$G$70</definedName>
    <definedName name="OWpct8">INV!$G$95</definedName>
    <definedName name="ParkRem0v" localSheetId="22">#REF!</definedName>
    <definedName name="ParkRem0v">#REF!</definedName>
    <definedName name="ParkRemS" localSheetId="22">#REF!</definedName>
    <definedName name="ParkRemS">#REF!</definedName>
    <definedName name="Pcp_S" localSheetId="22">#REF!</definedName>
    <definedName name="Pcp_S" localSheetId="2">[1]Sen!$G$179</definedName>
    <definedName name="PdataDown3" localSheetId="22">PR!#REF!</definedName>
    <definedName name="PdataDown3">PR!#REF!</definedName>
    <definedName name="PdataUp3" localSheetId="22">PR!#REF!</definedName>
    <definedName name="PdataUp3">PR!#REF!</definedName>
    <definedName name="PdataUpDis3" localSheetId="22">PR!#REF!</definedName>
    <definedName name="PdataUpDis3" localSheetId="2">[1]PR!#REF!</definedName>
    <definedName name="PdownDis3" localSheetId="22">PR!#REF!</definedName>
    <definedName name="PdownDis3" localSheetId="2">[1]PR!$G$137</definedName>
    <definedName name="peat1">F!$D$80</definedName>
    <definedName name="peat2">F!$D$81</definedName>
    <definedName name="PerennCropCA" localSheetId="22">OF!#REF!</definedName>
    <definedName name="PerennCropCA">OF!#REF!</definedName>
    <definedName name="PerimNatCov">OF!#REF!</definedName>
    <definedName name="Permafrost">OF!#REF!</definedName>
    <definedName name="PermPctAll12" localSheetId="22">#REF!</definedName>
    <definedName name="PermPctAll12">#REF!</definedName>
    <definedName name="PermWaterAll14" localSheetId="2">[1]SBM!$D$16</definedName>
    <definedName name="PermWpct10">FH!$G$20</definedName>
    <definedName name="PermWpct11" localSheetId="22">AM!#REF!</definedName>
    <definedName name="PermWpct11" localSheetId="2">[1]AM!$G$13</definedName>
    <definedName name="PermWpct12" localSheetId="22">#REF!</definedName>
    <definedName name="PermWpct12" localSheetId="2">[1]WBF!$G$30</definedName>
    <definedName name="PermWpct13" localSheetId="2">[1]WBN!$G$16</definedName>
    <definedName name="PermWpct13">WB!$G$59</definedName>
    <definedName name="PermWpct14">SBRM!$G$92</definedName>
    <definedName name="PermWpct15">FIRE!$G$6</definedName>
    <definedName name="PermWpct3" localSheetId="22">PR!#REF!</definedName>
    <definedName name="PermWpct3" localSheetId="2">[1]PR!#REF!</definedName>
    <definedName name="PermWpct4" localSheetId="2">[1]NR!$G$17</definedName>
    <definedName name="PermWpct4">NR!$G$58</definedName>
    <definedName name="PermWpct5" localSheetId="22">#REF!</definedName>
    <definedName name="PermWpct5" localSheetId="2">[1]CS!$G$28</definedName>
    <definedName name="PermWpct8" localSheetId="2">[1]INV!$G$23</definedName>
    <definedName name="PermWpct8">INV!$G$66</definedName>
    <definedName name="PermWpct9" localSheetId="22">#REF!</definedName>
    <definedName name="PermWpct9">#REF!</definedName>
    <definedName name="PermWpd" localSheetId="22">PH!#REF!</definedName>
    <definedName name="PermWpd">PH!#REF!</definedName>
    <definedName name="Persis3" localSheetId="2">[1]PR!$G$27</definedName>
    <definedName name="Persis3">PR!$G$37</definedName>
    <definedName name="PersisPD">PH!$G$96</definedName>
    <definedName name="persist0" localSheetId="22">#REF!</definedName>
    <definedName name="persist0" localSheetId="2">[1]POL!$G$9</definedName>
    <definedName name="PersistPct1" localSheetId="22">WS!#REF!</definedName>
    <definedName name="PersistPct1" localSheetId="2">[1]WS!$G$22</definedName>
    <definedName name="PersistPct2" localSheetId="22">SR!#REF!</definedName>
    <definedName name="PersistPct2" localSheetId="2">[1]SR!$G$123</definedName>
    <definedName name="PestFish10" localSheetId="22">FH!#REF!</definedName>
    <definedName name="PestFish10" localSheetId="2">[1]FR!$G$82</definedName>
    <definedName name="PestFish11" localSheetId="22">AM!#REF!</definedName>
    <definedName name="PestFish11" localSheetId="2">[1]AM!$G$118</definedName>
    <definedName name="PestFish9" localSheetId="22">#REF!</definedName>
    <definedName name="PestFish9" localSheetId="2">[1]FA!$G$79</definedName>
    <definedName name="Phab1a" localSheetId="22">#REF!</definedName>
    <definedName name="Phab1a">#REF!</definedName>
    <definedName name="Phab1b" localSheetId="22">#REF!</definedName>
    <definedName name="Phab1b">#REF!</definedName>
    <definedName name="PhosDn3" localSheetId="22">PR!#REF!</definedName>
    <definedName name="PhosDn3">PR!#REF!</definedName>
    <definedName name="PhosUp3" localSheetId="22">PR!#REF!</definedName>
    <definedName name="PhosUp3">PR!#REF!</definedName>
    <definedName name="PhysAccess" localSheetId="22">#REF!</definedName>
    <definedName name="PhysAccess" localSheetId="2">#REF!</definedName>
    <definedName name="PhysAccum5" localSheetId="22">#REF!</definedName>
    <definedName name="PhysAccum5">#REF!</definedName>
    <definedName name="Physical" localSheetId="22">#REF!</definedName>
    <definedName name="Physical" localSheetId="2">[1]CQ!#REF!</definedName>
    <definedName name="PlantCov5" localSheetId="22">#REF!</definedName>
    <definedName name="PlantCov5">#REF!</definedName>
    <definedName name="PlantCov6" localSheetId="22">OE!#REF!</definedName>
    <definedName name="PlantCov6">OE!#REF!</definedName>
    <definedName name="PlantSiteS" localSheetId="22">#REF!</definedName>
    <definedName name="PlantSiteS">#REF!</definedName>
    <definedName name="Playa" localSheetId="22">#REF!</definedName>
    <definedName name="Playa" localSheetId="2">#REF!</definedName>
    <definedName name="Playa10" localSheetId="22">FH!#REF!</definedName>
    <definedName name="Playa10" localSheetId="2">[1]FR!$D$4</definedName>
    <definedName name="Playa11" localSheetId="22">AM!#REF!</definedName>
    <definedName name="Playa11" localSheetId="2">[1]AM!$D$3</definedName>
    <definedName name="Playa12" localSheetId="22">#REF!</definedName>
    <definedName name="Playa12" localSheetId="2">[1]WBF!$D$4</definedName>
    <definedName name="Playa12a" localSheetId="22">#REF!</definedName>
    <definedName name="Playa12a">#REF!</definedName>
    <definedName name="Playa5" localSheetId="22">#REF!</definedName>
    <definedName name="Playa5" localSheetId="2">[1]CS!$D$4</definedName>
    <definedName name="Playa8" localSheetId="22">INV!#REF!</definedName>
    <definedName name="Playa8" localSheetId="2">[1]INV!$D$3</definedName>
    <definedName name="Playa9" localSheetId="22">#REF!</definedName>
    <definedName name="Playa9" localSheetId="2">[1]FA!$D$4</definedName>
    <definedName name="Pload3" localSheetId="22">PR!#REF!</definedName>
    <definedName name="Pload3" localSheetId="2">[1]PR!$G$146</definedName>
    <definedName name="PollenOff" localSheetId="22">#REF!</definedName>
    <definedName name="PollenOff">#REF!</definedName>
    <definedName name="PollenOn" localSheetId="22">#REF!</definedName>
    <definedName name="PollenOn">#REF!</definedName>
    <definedName name="PolluIn" localSheetId="22">INV!#REF!</definedName>
    <definedName name="PolluIn" localSheetId="2">[1]INV!$G$136</definedName>
    <definedName name="PolluIn13" localSheetId="22">FIRE!#REF!</definedName>
    <definedName name="PolluIn13">WB!#REF!</definedName>
    <definedName name="PolluIn14" localSheetId="22">#REF!</definedName>
    <definedName name="PolluIn14" localSheetId="2">[1]WBF!$D$159</definedName>
    <definedName name="PolluSource" localSheetId="22">OF!#REF!</definedName>
    <definedName name="PolluSource">OF!#REF!</definedName>
    <definedName name="PolluSource0" localSheetId="22">#REF!</definedName>
    <definedName name="PolluSource0">#REF!</definedName>
    <definedName name="PolluSource10" localSheetId="22">FH!#REF!</definedName>
    <definedName name="PolluSource10">FH!#REF!</definedName>
    <definedName name="PolluSource11" localSheetId="22">AM!#REF!</definedName>
    <definedName name="PolluSource11">AM!#REF!</definedName>
    <definedName name="PolluSource15" localSheetId="22">PH!#REF!</definedName>
    <definedName name="PolluSource15">PH!#REF!</definedName>
    <definedName name="PolluSource2" localSheetId="22">SR!#REF!</definedName>
    <definedName name="PolluSource2">SR!#REF!</definedName>
    <definedName name="PolluSource3" localSheetId="22">PR!#REF!</definedName>
    <definedName name="PolluSource3">PR!#REF!</definedName>
    <definedName name="PolluSource4" localSheetId="22">NR!#REF!</definedName>
    <definedName name="PolluSource4">NR!#REF!</definedName>
    <definedName name="PolluSource8" localSheetId="22">INV!#REF!</definedName>
    <definedName name="PolluSource8">INV!#REF!</definedName>
    <definedName name="PolluUpConn" localSheetId="22">#REF!</definedName>
    <definedName name="PolluUpConn">#REF!</definedName>
    <definedName name="Ponded" localSheetId="22">F!#REF!</definedName>
    <definedName name="Ponded">F!#REF!</definedName>
    <definedName name="PondedOWpct0" localSheetId="22">#REF!</definedName>
    <definedName name="PondedOWpct0">#REF!</definedName>
    <definedName name="PondedOWpct14">SBRM!$G$99</definedName>
    <definedName name="PondedOWpct21">HU!$G$12</definedName>
    <definedName name="PondedOWpctPD">PH!$G$115</definedName>
    <definedName name="PondedPct2" localSheetId="22">SR!#REF!</definedName>
    <definedName name="PondedPct2">SR!#REF!</definedName>
    <definedName name="PondedPct6">OE!$G$63</definedName>
    <definedName name="PondOpenSize11" localSheetId="22">AM!#REF!</definedName>
    <definedName name="PondOpenSize11">AM!#REF!</definedName>
    <definedName name="PondPct4">NR!$G$76</definedName>
    <definedName name="PondPctScape11" localSheetId="22">AM!#REF!</definedName>
    <definedName name="PondPctScape11" localSheetId="2">[1]AM!$G$200</definedName>
    <definedName name="PondPctScape12" localSheetId="22">#REF!</definedName>
    <definedName name="PondPctScape12" localSheetId="2">[1]WBF!$G$123</definedName>
    <definedName name="PondPctScape14" localSheetId="22">SBRM!#REF!</definedName>
    <definedName name="PondPctScape14" localSheetId="2">[1]SBM!$G$159</definedName>
    <definedName name="PondProx_S" localSheetId="22">#REF!</definedName>
    <definedName name="PondProx_S" localSheetId="2">[1]Sen!$G$146</definedName>
    <definedName name="PondProx11" localSheetId="22">AM!#REF!</definedName>
    <definedName name="PondProx11" localSheetId="2">[1]AM!$G$207</definedName>
    <definedName name="PondProx12" localSheetId="22">#REF!</definedName>
    <definedName name="PondProx12" localSheetId="2">[1]WBF!$G$130</definedName>
    <definedName name="PondProx13" localSheetId="22">FIRE!#REF!</definedName>
    <definedName name="PondProx13" localSheetId="2">[1]WBN!$G$155</definedName>
    <definedName name="PondProx14" localSheetId="22">SBRM!#REF!</definedName>
    <definedName name="PondProx14" localSheetId="2">[1]SBM!$G$166</definedName>
    <definedName name="PondProx15" localSheetId="22">PH!#REF!</definedName>
    <definedName name="PondProx15" localSheetId="2">[1]PD!$G$156</definedName>
    <definedName name="PondScape_S" localSheetId="22">#REF!</definedName>
    <definedName name="PondScape_S" localSheetId="2">[1]Sen!$G$139</definedName>
    <definedName name="PondScape15" localSheetId="22">PH!#REF!</definedName>
    <definedName name="PondScape15" localSheetId="2">[1]PD!$G$149</definedName>
    <definedName name="PondScapePct13" localSheetId="22">FIRE!#REF!</definedName>
    <definedName name="PondScapePct13" localSheetId="2">[1]WBN!$G$148</definedName>
    <definedName name="PondSizeVar11" localSheetId="22">AM!#REF!</definedName>
    <definedName name="PondSizeVar11" localSheetId="2">[1]AM!#REF!</definedName>
    <definedName name="PopCtr12" localSheetId="22">#REF!</definedName>
    <definedName name="PopCtr12">#REF!</definedName>
    <definedName name="PopCtr14" localSheetId="22">SBRM!#REF!</definedName>
    <definedName name="PopCtr14">SBRM!#REF!</definedName>
    <definedName name="PopCtr15" localSheetId="22">PH!#REF!</definedName>
    <definedName name="PopCtr15">PH!#REF!</definedName>
    <definedName name="PopCtr9" localSheetId="22">#REF!</definedName>
    <definedName name="PopCtr9">#REF!</definedName>
    <definedName name="PopCtrDisPU" localSheetId="22">HU!#REF!</definedName>
    <definedName name="PopCtrDisPU">HU!#REF!</definedName>
    <definedName name="PopCtrDisS" localSheetId="22">#REF!</definedName>
    <definedName name="PopCtrDisS">#REF!</definedName>
    <definedName name="PopCtrDist" localSheetId="22">#REF!</definedName>
    <definedName name="PopCtrDist">#REF!</definedName>
    <definedName name="PopDist10" localSheetId="22">FH!#REF!</definedName>
    <definedName name="PopDist10">FH!#REF!</definedName>
    <definedName name="PopDist4" localSheetId="22">NR!#REF!</definedName>
    <definedName name="PopDist4">NR!#REF!</definedName>
    <definedName name="PosShed3" localSheetId="22">PR!#REF!</definedName>
    <definedName name="PosShed3" localSheetId="2">[1]PR!$G$107</definedName>
    <definedName name="PPET">OF!$E$28</definedName>
    <definedName name="PprobUp2" localSheetId="22">PR!#REF!</definedName>
    <definedName name="PprobUp2" localSheetId="2">[1]PR!$D$134</definedName>
    <definedName name="Prank3" localSheetId="22">PR!#REF!</definedName>
    <definedName name="Prank3" localSheetId="2">[1]PR!$G$141</definedName>
    <definedName name="Precip11" localSheetId="22">AM!#REF!</definedName>
    <definedName name="Precip11" localSheetId="2">[1]AM!$G$237</definedName>
    <definedName name="Precip12" localSheetId="22">#REF!</definedName>
    <definedName name="Precip12" localSheetId="2">[1]WBF!$G$174</definedName>
    <definedName name="Precip2" localSheetId="22">SFS!#REF!</definedName>
    <definedName name="Precip2">SFS!#REF!</definedName>
    <definedName name="PrecipAnnu" localSheetId="22">#REF!</definedName>
    <definedName name="PrecipAnnu" localSheetId="2">#REF!</definedName>
    <definedName name="PrecipPD" localSheetId="22">PH!#REF!</definedName>
    <definedName name="PrecipPD" localSheetId="2">[1]PD!$G$188</definedName>
    <definedName name="Pred1a">AM!#REF!</definedName>
    <definedName name="Pred1b" localSheetId="22">AM!#REF!</definedName>
    <definedName name="Pred1b">AM!#REF!</definedName>
    <definedName name="PredA1a">AM!#REF!</definedName>
    <definedName name="PredA1b" localSheetId="22">AM!#REF!</definedName>
    <definedName name="PredA1b">AM!#REF!</definedName>
    <definedName name="_xlnm.Print_Area" localSheetId="0">CoverPg!$B$1:$C$29</definedName>
    <definedName name="_xlnm.Print_Area" localSheetId="1">F!$A$2:$D$314</definedName>
    <definedName name="_xlnm.Print_Area" localSheetId="3">OF!$B$2:$D$52</definedName>
    <definedName name="_xlnm.Print_Area" localSheetId="2">S!$A$2:$F$88</definedName>
    <definedName name="_xlnm.Print_Area" localSheetId="24">Scores!$A$1:$K$25</definedName>
    <definedName name="Produc" localSheetId="22">SBRM!#REF!</definedName>
    <definedName name="Produc">SBRM!#REF!</definedName>
    <definedName name="Produc10" localSheetId="22">FH!#REF!</definedName>
    <definedName name="Produc10">FH!#REF!</definedName>
    <definedName name="Produc11" localSheetId="22">AM!#REF!</definedName>
    <definedName name="Produc11">AM!#REF!</definedName>
    <definedName name="Produc12" localSheetId="22">#REF!</definedName>
    <definedName name="Produc12">#REF!</definedName>
    <definedName name="Produc13" localSheetId="22">FIRE!#REF!</definedName>
    <definedName name="Produc13">WB!#REF!</definedName>
    <definedName name="Produc14" localSheetId="22">SBRM!#REF!</definedName>
    <definedName name="Produc14">SBRM!#REF!</definedName>
    <definedName name="Produc9" localSheetId="22">#REF!</definedName>
    <definedName name="Produc9">#REF!</definedName>
    <definedName name="Productiv" localSheetId="22">#REF!</definedName>
    <definedName name="Productiv">#REF!</definedName>
    <definedName name="Productiv6" localSheetId="22">OE!#REF!</definedName>
    <definedName name="Productiv6">OE!#REF!</definedName>
    <definedName name="ProtecStatus" localSheetId="22">HU!#REF!</definedName>
    <definedName name="ProtecStatus">HU!#REF!</definedName>
    <definedName name="Protect13" localSheetId="22">FIRE!#REF!</definedName>
    <definedName name="Protect13">WB!#REF!</definedName>
    <definedName name="Provis21">HU!$G$48</definedName>
    <definedName name="Pscape1a" localSheetId="22">#REF!</definedName>
    <definedName name="Pscape1a">#REF!</definedName>
    <definedName name="Pscape1b" localSheetId="22">#REF!</definedName>
    <definedName name="Pscape1b">#REF!</definedName>
    <definedName name="Psubs1a" localSheetId="22">#REF!</definedName>
    <definedName name="Psubs1a">#REF!</definedName>
    <definedName name="Psubs1b" localSheetId="22">#REF!</definedName>
    <definedName name="Psubs1b">#REF!</definedName>
    <definedName name="PubAccess" localSheetId="22">HU!#REF!</definedName>
    <definedName name="PubAccess" localSheetId="2">[1]PU!$G$9</definedName>
    <definedName name="Public">OF!$E$29</definedName>
    <definedName name="RAMSAR" localSheetId="22">OF!#REF!</definedName>
    <definedName name="RAMSAR">OF!#REF!</definedName>
    <definedName name="RaptorNest">OF!$E$30</definedName>
    <definedName name="Rare11" localSheetId="22">AM!#REF!</definedName>
    <definedName name="Rare11" localSheetId="2">[1]AM!$G$232</definedName>
    <definedName name="Rare12" localSheetId="22">#REF!</definedName>
    <definedName name="Rare12" localSheetId="2">[1]WBF!$G$170</definedName>
    <definedName name="Rare13" localSheetId="22">FIRE!#REF!</definedName>
    <definedName name="Rare13" localSheetId="2">[1]WBN!$G$199</definedName>
    <definedName name="Rare14" localSheetId="22">SBRM!#REF!</definedName>
    <definedName name="Rare14" localSheetId="2">[1]SBM!$G$199</definedName>
    <definedName name="rare8" localSheetId="22">INV!#REF!</definedName>
    <definedName name="rare8" localSheetId="2">[1]INV!$G$144</definedName>
    <definedName name="RareAll" localSheetId="22">#REF!</definedName>
    <definedName name="RareAll" localSheetId="2">[1]CQ!$G$76</definedName>
    <definedName name="RareAM">AM!$G$128</definedName>
    <definedName name="RareAmphib">AM!#REF!</definedName>
    <definedName name="RareBirdUse">OF!$E$31</definedName>
    <definedName name="rarecommu" localSheetId="22">#REF!</definedName>
    <definedName name="rarecommu" localSheetId="2">[1]POL!$G$123</definedName>
    <definedName name="RareComPD" localSheetId="22">PH!#REF!</definedName>
    <definedName name="RareComPD">PH!#REF!</definedName>
    <definedName name="RareFish">FH!$G$110</definedName>
    <definedName name="RareFNA" localSheetId="22">FH!#REF!</definedName>
    <definedName name="RareFNA" localSheetId="2">[1]FR!$G$106</definedName>
    <definedName name="RareFR" localSheetId="22">FH!#REF!</definedName>
    <definedName name="RareFR">FH!#REF!</definedName>
    <definedName name="rareherb" localSheetId="22">#REF!</definedName>
    <definedName name="rareherb" localSheetId="2">[1]POL!$G$122</definedName>
    <definedName name="RarePcom" localSheetId="22">PH!#REF!</definedName>
    <definedName name="RarePcom" localSheetId="2">[1]PD!$G$183</definedName>
    <definedName name="RarePlant">PH!#REF!</definedName>
    <definedName name="RarePlant2">PH!$G$172</definedName>
    <definedName name="RarePlant20">PH!$G$173</definedName>
    <definedName name="RarePlantRange">OF!#REF!</definedName>
    <definedName name="RarePspp" localSheetId="22">PH!#REF!</definedName>
    <definedName name="RarePspp" localSheetId="2">[1]PD!$G$178</definedName>
    <definedName name="RareSBM">SBRM!$G$144</definedName>
    <definedName name="RareSpPD" localSheetId="22">PH!#REF!</definedName>
    <definedName name="RareSpPD">PH!#REF!</definedName>
    <definedName name="RareType" localSheetId="22">#REF!</definedName>
    <definedName name="RareType" localSheetId="2">#REF!</definedName>
    <definedName name="RareTypePD" localSheetId="22">PH!#REF!</definedName>
    <definedName name="RareTypePD">PH!#REF!</definedName>
    <definedName name="RareWB">WB!$G$153</definedName>
    <definedName name="RareWB13" localSheetId="22">FIRE!#REF!</definedName>
    <definedName name="RareWB13">WB!#REF!</definedName>
    <definedName name="RareWclass_S" localSheetId="22">#REF!</definedName>
    <definedName name="RareWclass_S">#REF!</definedName>
    <definedName name="RareWclass0" localSheetId="22">#REF!</definedName>
    <definedName name="RareWclass0">#REF!</definedName>
    <definedName name="RareWclass11" localSheetId="22">AM!#REF!</definedName>
    <definedName name="RareWclass11">AM!#REF!</definedName>
    <definedName name="RareWclass12" localSheetId="22">#REF!</definedName>
    <definedName name="RareWclass12">#REF!</definedName>
    <definedName name="RareWclass13" localSheetId="22">FIRE!#REF!</definedName>
    <definedName name="RareWclass13">WB!#REF!</definedName>
    <definedName name="RareWclass14" localSheetId="22">SBRM!#REF!</definedName>
    <definedName name="RareWclass14">SBRM!#REF!</definedName>
    <definedName name="RareWclass8" localSheetId="22">INV!#REF!</definedName>
    <definedName name="RareWclass8">INV!#REF!</definedName>
    <definedName name="RareWclassPD" localSheetId="22">PH!#REF!</definedName>
    <definedName name="RareWclassPD">PH!#REF!</definedName>
    <definedName name="RdBox" localSheetId="22">#REF!</definedName>
    <definedName name="RdBox" localSheetId="2">[1]STR!$G$61</definedName>
    <definedName name="RdBox14" localSheetId="22">SBRM!#REF!</definedName>
    <definedName name="RdBox14" localSheetId="2">[1]SBM!$G$108</definedName>
    <definedName name="RdCirc11">[2]AM!$G$206</definedName>
    <definedName name="RdDens1" localSheetId="22">WS!#REF!</definedName>
    <definedName name="RdDens1">WS!#REF!</definedName>
    <definedName name="RdDens11" localSheetId="22">AM!#REF!</definedName>
    <definedName name="RdDens11">AM!#REF!</definedName>
    <definedName name="RdDens14" localSheetId="22">SBRM!#REF!</definedName>
    <definedName name="RdDens14">SBRM!#REF!</definedName>
    <definedName name="RdDens1k">OF!$E$32</definedName>
    <definedName name="RdDens2" localSheetId="22">SR!#REF!</definedName>
    <definedName name="RdDens2">SR!#REF!</definedName>
    <definedName name="RdDens3" localSheetId="22">PR!#REF!</definedName>
    <definedName name="RdDens3">PR!#REF!</definedName>
    <definedName name="RdDens4" localSheetId="22">NR!#REF!</definedName>
    <definedName name="RdDens4">NR!#REF!</definedName>
    <definedName name="RdDens5k" localSheetId="22">OF!#REF!</definedName>
    <definedName name="RdDens5k">OF!#REF!</definedName>
    <definedName name="RdDens7" localSheetId="22">WC!#REF!</definedName>
    <definedName name="RdDens7">WC!#REF!</definedName>
    <definedName name="RdDensCA" localSheetId="22">OF!#REF!</definedName>
    <definedName name="RdDensCA">OF!#REF!</definedName>
    <definedName name="RdDensPD" localSheetId="22">PH!#REF!</definedName>
    <definedName name="RdDensPD">PH!#REF!</definedName>
    <definedName name="RdDensPU" localSheetId="22">HU!#REF!</definedName>
    <definedName name="RdDensPU">HU!#REF!</definedName>
    <definedName name="RdDensS" localSheetId="22">#REF!</definedName>
    <definedName name="RdDensS">#REF!</definedName>
    <definedName name="RdDis11" localSheetId="22">AM!#REF!</definedName>
    <definedName name="RdDis11" localSheetId="2">[1]AM!$G$167</definedName>
    <definedName name="RdDis13" localSheetId="22">FIRE!#REF!</definedName>
    <definedName name="RdDis13" localSheetId="2">[1]WBN!$G$179</definedName>
    <definedName name="RecPot" localSheetId="22">HU!#REF!</definedName>
    <definedName name="RecPot">HU!#REF!</definedName>
    <definedName name="RecreaPoten" localSheetId="2">[1]PU!$G$16</definedName>
    <definedName name="RecreaPoten">HU!$G$29</definedName>
    <definedName name="RecUse" localSheetId="22">#REF!</definedName>
    <definedName name="RecUse">#REF!</definedName>
    <definedName name="REDOX1A">NR!$G$142</definedName>
    <definedName name="REDOX1B">NR!#REF!</definedName>
    <definedName name="Redox4" localSheetId="22">NR!#REF!</definedName>
    <definedName name="Redox4">NR!#REF!</definedName>
    <definedName name="RegInv" localSheetId="22">OF!#REF!</definedName>
    <definedName name="RegInv">OF!#REF!</definedName>
    <definedName name="Reserve">OF!$E$33</definedName>
    <definedName name="ResFish" localSheetId="22">INV!#REF!</definedName>
    <definedName name="ResFish" localSheetId="2">[1]INV!$G$160</definedName>
    <definedName name="ResFishScore2_" localSheetId="22">SFS!#REF!</definedName>
    <definedName name="ResFishScore2_">SFS!#REF!</definedName>
    <definedName name="RESIST1a">WS!$G$111</definedName>
    <definedName name="Resist1b">WS!#REF!</definedName>
    <definedName name="RichScape11">INV!#REF!</definedName>
    <definedName name="RipFloodpl">OF!$E$34</definedName>
    <definedName name="RoadCirc11" localSheetId="22">AM!#REF!</definedName>
    <definedName name="RoadCirc11" localSheetId="2">[1]AM!$G$166</definedName>
    <definedName name="RoadDist" localSheetId="22">#REF!</definedName>
    <definedName name="RoadDist" localSheetId="2">#REF!</definedName>
    <definedName name="Rock0" localSheetId="22">#REF!</definedName>
    <definedName name="Rock0">#REF!</definedName>
    <definedName name="Rock15">PH!$G$151</definedName>
    <definedName name="Runoff" localSheetId="22">OF!#REF!</definedName>
    <definedName name="Runoff">OF!#REF!</definedName>
    <definedName name="Runoff1" localSheetId="22">WS!#REF!</definedName>
    <definedName name="Runoff1">WS!#REF!</definedName>
    <definedName name="Runoff10" localSheetId="22">FH!#REF!</definedName>
    <definedName name="Runoff10">FH!#REF!</definedName>
    <definedName name="Runoff11" localSheetId="22">AM!#REF!</definedName>
    <definedName name="Runoff11">AM!#REF!</definedName>
    <definedName name="Runoff15" localSheetId="22">PH!#REF!</definedName>
    <definedName name="Runoff15">PH!#REF!</definedName>
    <definedName name="Runoff2" localSheetId="22">SR!#REF!</definedName>
    <definedName name="Runoff2">SR!#REF!</definedName>
    <definedName name="Runoff3" localSheetId="22">PR!#REF!</definedName>
    <definedName name="Runoff3">PR!#REF!</definedName>
    <definedName name="Runoff4" localSheetId="22">NR!#REF!</definedName>
    <definedName name="Runoff4">NR!#REF!</definedName>
    <definedName name="Runoff7" localSheetId="22">WC!#REF!</definedName>
    <definedName name="Runoff7">WC!#REF!</definedName>
    <definedName name="Runoff8" localSheetId="22">INV!#REF!</definedName>
    <definedName name="Runoff8">INV!#REF!</definedName>
    <definedName name="S1A" localSheetId="22">S!#REF!</definedName>
    <definedName name="S1A">S!#REF!</definedName>
    <definedName name="S2A" localSheetId="22">S!#REF!</definedName>
    <definedName name="S2A">S!#REF!</definedName>
    <definedName name="S2B" localSheetId="22">S!#REF!</definedName>
    <definedName name="S2B">S!#REF!</definedName>
    <definedName name="S2C" localSheetId="22">S!#REF!</definedName>
    <definedName name="S2C">S!#REF!</definedName>
    <definedName name="S3A" localSheetId="22">S!#REF!</definedName>
    <definedName name="S3A">S!#REF!</definedName>
    <definedName name="S3B" localSheetId="22">S!#REF!</definedName>
    <definedName name="S3B">S!#REF!</definedName>
    <definedName name="S3C" localSheetId="22">S!#REF!</definedName>
    <definedName name="S3C">S!#REF!</definedName>
    <definedName name="S4A" localSheetId="22">S!#REF!</definedName>
    <definedName name="S4A">S!#REF!</definedName>
    <definedName name="S4B" localSheetId="22">S!#REF!</definedName>
    <definedName name="S4B">S!#REF!</definedName>
    <definedName name="S4C" localSheetId="22">S!#REF!</definedName>
    <definedName name="S4C">S!#REF!</definedName>
    <definedName name="S5A" localSheetId="22">S!#REF!</definedName>
    <definedName name="S5A">S!#REF!</definedName>
    <definedName name="S5B" localSheetId="22">S!#REF!</definedName>
    <definedName name="S5B">S!#REF!</definedName>
    <definedName name="S5C" localSheetId="22">S!#REF!</definedName>
    <definedName name="S5C">S!#REF!</definedName>
    <definedName name="s6a" localSheetId="22">S!#REF!</definedName>
    <definedName name="s6a">S!#REF!</definedName>
    <definedName name="s6a1" localSheetId="22">S!#REF!</definedName>
    <definedName name="s6a1">S!#REF!</definedName>
    <definedName name="s6b" localSheetId="22">S!#REF!</definedName>
    <definedName name="s6b">S!#REF!</definedName>
    <definedName name="S7A" localSheetId="22">S!#REF!</definedName>
    <definedName name="S7A">S!#REF!</definedName>
    <definedName name="S7B" localSheetId="22">S!#REF!</definedName>
    <definedName name="S7B">S!#REF!</definedName>
    <definedName name="S7C" localSheetId="22">S!#REF!</definedName>
    <definedName name="S7C">S!#REF!</definedName>
    <definedName name="S8A" localSheetId="22">S!#REF!</definedName>
    <definedName name="S8A">S!#REF!</definedName>
    <definedName name="S8A1" localSheetId="22">S!#REF!</definedName>
    <definedName name="S8A1">S!#REF!</definedName>
    <definedName name="S8B" localSheetId="22">S!#REF!</definedName>
    <definedName name="S8B">S!#REF!</definedName>
    <definedName name="S8C" localSheetId="22">S!#REF!</definedName>
    <definedName name="S8C">S!#REF!</definedName>
    <definedName name="s9a" localSheetId="22">S!#REF!</definedName>
    <definedName name="s9a">S!#REF!</definedName>
    <definedName name="s9b" localSheetId="22">S!#REF!</definedName>
    <definedName name="s9b">S!#REF!</definedName>
    <definedName name="s9c" localSheetId="22">S!#REF!</definedName>
    <definedName name="s9c">S!#REF!</definedName>
    <definedName name="Salin10" localSheetId="22">FH!#REF!</definedName>
    <definedName name="Salin10">FH!#REF!</definedName>
    <definedName name="Salin11">AM!$G$90</definedName>
    <definedName name="Salin13" localSheetId="22">FIRE!#REF!</definedName>
    <definedName name="Salin13">WB!#REF!</definedName>
    <definedName name="Salin3" localSheetId="2">[1]PR!$G$4</definedName>
    <definedName name="Salin3">PR!$G$76</definedName>
    <definedName name="Salin4" localSheetId="22">NR!#REF!</definedName>
    <definedName name="Salin4">NR!#REF!</definedName>
    <definedName name="Salin5" localSheetId="22">#REF!</definedName>
    <definedName name="Salin5">#REF!</definedName>
    <definedName name="Salin6" localSheetId="22">OE!#REF!</definedName>
    <definedName name="Salin6" localSheetId="2">[1]OE!$G$4</definedName>
    <definedName name="Salin9" localSheetId="22">#REF!</definedName>
    <definedName name="Salin9" localSheetId="2">[1]FA!#REF!</definedName>
    <definedName name="Saline11" localSheetId="22">AM!#REF!</definedName>
    <definedName name="Saline11" localSheetId="2">[1]AM!#REF!</definedName>
    <definedName name="Salinity11" localSheetId="22">AM!#REF!</definedName>
    <definedName name="Salinity11" localSheetId="2">[1]AM!#REF!</definedName>
    <definedName name="Salinity2" localSheetId="22">SR!#REF!</definedName>
    <definedName name="Salinity2" localSheetId="2">[1]SR!$G$3</definedName>
    <definedName name="SalinPD" localSheetId="22">PH!#REF!</definedName>
    <definedName name="SalinPD" localSheetId="2">[1]PD!$G$15</definedName>
    <definedName name="Salmon5" localSheetId="22">#REF!</definedName>
    <definedName name="Salmon5">#REF!</definedName>
    <definedName name="SalmonShedPS" localSheetId="22">#REF!</definedName>
    <definedName name="SalmonShedPS">#REF!</definedName>
    <definedName name="SalmonShedPS2" localSheetId="22">#REF!</definedName>
    <definedName name="SalmonShedPS2">#REF!</definedName>
    <definedName name="SalmoShed9" localSheetId="22">#REF!</definedName>
    <definedName name="SalmoShed9">#REF!</definedName>
    <definedName name="SatPct_S" localSheetId="22">#REF!</definedName>
    <definedName name="SatPct_S">#REF!</definedName>
    <definedName name="SatPct0" localSheetId="22">#REF!</definedName>
    <definedName name="SatPct0">#REF!</definedName>
    <definedName name="SatPct10">FH!$G$14</definedName>
    <definedName name="SatPct11">AM!$G$48</definedName>
    <definedName name="SatPct12" localSheetId="22">#REF!</definedName>
    <definedName name="SatPct12">#REF!</definedName>
    <definedName name="SatPct13" localSheetId="22">FIRE!#REF!</definedName>
    <definedName name="SatPct13">WB!$G$53</definedName>
    <definedName name="SatPct14">SBRM!$G$86</definedName>
    <definedName name="SatPct15">PH!#REF!</definedName>
    <definedName name="SatPct2v" localSheetId="22">SR!#REF!</definedName>
    <definedName name="SatPct2v">SR!#REF!</definedName>
    <definedName name="SatPct3">PR!$G$31</definedName>
    <definedName name="SatPct4">NR!$G$52</definedName>
    <definedName name="SatPct7">WC!$G$15</definedName>
    <definedName name="SatPct8">INV!$G$60</definedName>
    <definedName name="SatPct9" localSheetId="22">#REF!</definedName>
    <definedName name="SatPct9">#REF!</definedName>
    <definedName name="SatPctPD">PH!#REF!</definedName>
    <definedName name="Satur10">FH!$D$14</definedName>
    <definedName name="SAV_LT5" localSheetId="22">#REF!</definedName>
    <definedName name="SAV_LT5">#REF!</definedName>
    <definedName name="SAV1pd" localSheetId="22">PH!#REF!</definedName>
    <definedName name="SAV1pd" localSheetId="2">[1]PD!$G$46</definedName>
    <definedName name="sav2pd" localSheetId="22">PH!#REF!</definedName>
    <definedName name="sav2pd" localSheetId="2">[1]PD!$G$50</definedName>
    <definedName name="SAVdom1" localSheetId="22">#REF!</definedName>
    <definedName name="SAVdom1">#REF!</definedName>
    <definedName name="SAVpct3" localSheetId="22">PR!#REF!</definedName>
    <definedName name="SAVpct3" localSheetId="2">[1]PR!#REF!</definedName>
    <definedName name="SAVpct5" localSheetId="22">#REF!</definedName>
    <definedName name="SAVpct5" localSheetId="2">[1]CS!#REF!</definedName>
    <definedName name="SAVpctS" localSheetId="22">#REF!</definedName>
    <definedName name="SAVpctS">#REF!</definedName>
    <definedName name="SAVsens1" localSheetId="22">#REF!</definedName>
    <definedName name="SAVsens1" localSheetId="2">[1]Sen!$G$48</definedName>
    <definedName name="SAVsens1_C" localSheetId="22">#REF!</definedName>
    <definedName name="SAVsens1_C" localSheetId="2">[1]CQ!$G$23</definedName>
    <definedName name="SAVsens2_C" localSheetId="22">#REF!</definedName>
    <definedName name="SAVsens2_C" localSheetId="2">[1]CQ!$G$27</definedName>
    <definedName name="SAVsens2_S" localSheetId="22">#REF!</definedName>
    <definedName name="SAVsens2_S" localSheetId="2">[1]Sen!$G$52</definedName>
    <definedName name="SAVubq1" localSheetId="22">#REF!</definedName>
    <definedName name="SAVubq1">#REF!</definedName>
    <definedName name="SAVubq2" localSheetId="22">#REF!</definedName>
    <definedName name="SAVubq2" localSheetId="2">[1]Sen!$G$56</definedName>
    <definedName name="SBhab13" localSheetId="22">FIRE!#REF!</definedName>
    <definedName name="SBhab13">WB!$G$42</definedName>
    <definedName name="SBMscore" localSheetId="22">SBRM!#REF!</definedName>
    <definedName name="SBMscore">SBRM!#REF!</definedName>
    <definedName name="SBMscore10" localSheetId="22">AM!#REF!</definedName>
    <definedName name="SBMscore10">AM!#REF!</definedName>
    <definedName name="SBMscore8" localSheetId="22">INV!#REF!</definedName>
    <definedName name="SBMscore8">INV!#REF!</definedName>
    <definedName name="SBMscore9" localSheetId="22">#REF!</definedName>
    <definedName name="SBMscore9">#REF!</definedName>
    <definedName name="SBMsiteS" localSheetId="22">#REF!</definedName>
    <definedName name="SBMsiteS">#REF!</definedName>
    <definedName name="SBstaging">OF!#REF!</definedName>
    <definedName name="ScapeLU11" localSheetId="22">AM!#REF!</definedName>
    <definedName name="ScapeLU11" localSheetId="2">[1]AM!$G$180</definedName>
    <definedName name="ScapeLU14" localSheetId="22">SBRM!#REF!</definedName>
    <definedName name="ScapeLU14" localSheetId="2">[1]SBM!$G$139</definedName>
    <definedName name="SciUse" localSheetId="22">HU!#REF!</definedName>
    <definedName name="SciUse" localSheetId="2">[1]PU!$G$20</definedName>
    <definedName name="SciUses" localSheetId="22">OF!#REF!</definedName>
    <definedName name="SciUses">OF!#REF!</definedName>
    <definedName name="ScorePLDf" localSheetId="22">PH!#REF!</definedName>
    <definedName name="ScorePLDf">PH!#REF!</definedName>
    <definedName name="ScorePOLf" localSheetId="22">PH!#REF!</definedName>
    <definedName name="ScorePOLf" localSheetId="2">[1]PD!$G$199</definedName>
    <definedName name="ScoreSBM" localSheetId="22">PH!#REF!</definedName>
    <definedName name="ScoreSBM">PH!#REF!</definedName>
    <definedName name="ScoreSBMf" localSheetId="22">PH!#REF!</definedName>
    <definedName name="ScoreSBMf" localSheetId="2">[1]PD!$G$201</definedName>
    <definedName name="ScoreSubsis" localSheetId="22">PH!#REF!</definedName>
    <definedName name="ScoreSubsis">PH!#REF!</definedName>
    <definedName name="ScoreWBFf" localSheetId="22">PH!#REF!</definedName>
    <definedName name="ScoreWBFf" localSheetId="2">[1]PD!$G$200</definedName>
    <definedName name="Scum15" localSheetId="22">#REF!</definedName>
    <definedName name="Scum15" localSheetId="2">[1]CQ!$G$20</definedName>
    <definedName name="Scum3" localSheetId="22">PR!#REF!</definedName>
    <definedName name="Scum3" localSheetId="2">[1]PR!$G$74</definedName>
    <definedName name="Scum9" localSheetId="22">#REF!</definedName>
    <definedName name="Scum9" localSheetId="2">[1]FA!$G$91</definedName>
    <definedName name="SeasPct1" localSheetId="2">[1]WS!$G$36</definedName>
    <definedName name="SeasPct1">WS!$G$37</definedName>
    <definedName name="SeasPct2" localSheetId="2">[1]SR!$G$24</definedName>
    <definedName name="SeasPct2">SR!$G$16</definedName>
    <definedName name="SeasPct8" localSheetId="2">[1]INV!$G$37</definedName>
    <definedName name="SeasPct8">INV!$G$73</definedName>
    <definedName name="SeasTime1" localSheetId="22">WS!#REF!</definedName>
    <definedName name="SeasTime1" localSheetId="2">[1]WS!#REF!</definedName>
    <definedName name="SeasTime11" localSheetId="22">AM!#REF!</definedName>
    <definedName name="SeasTime11" localSheetId="2">[1]AM!$G$33</definedName>
    <definedName name="SeasTime13" localSheetId="22">FIRE!#REF!</definedName>
    <definedName name="SeasTime13" localSheetId="2">[1]WBN!#REF!</definedName>
    <definedName name="SeasTime8" localSheetId="22">INV!#REF!</definedName>
    <definedName name="SeasTime8" localSheetId="2">[1]INV!$G$43</definedName>
    <definedName name="SeasTimeV1" localSheetId="22">WS!#REF!</definedName>
    <definedName name="SeasTimeV1" localSheetId="2">[1]WS!#REF!</definedName>
    <definedName name="SeasTiming10" localSheetId="22">FH!#REF!</definedName>
    <definedName name="SeasTiming10" localSheetId="2">[1]FR!$G$44</definedName>
    <definedName name="SeasTiming9" localSheetId="22">#REF!</definedName>
    <definedName name="SeasTiming9">#REF!</definedName>
    <definedName name="SeasW_S" localSheetId="22">#REF!</definedName>
    <definedName name="SeasW_S" localSheetId="2">[1]Sen!$G$12</definedName>
    <definedName name="SeasWpct11" localSheetId="22">AM!#REF!</definedName>
    <definedName name="SeasWpct11" localSheetId="2">[1]AM!$G$27</definedName>
    <definedName name="SeasWpct12" localSheetId="22">#REF!</definedName>
    <definedName name="SeasWpct12" localSheetId="2">[1]WBF!$G$24</definedName>
    <definedName name="SeasWpct13" localSheetId="22">FIRE!#REF!</definedName>
    <definedName name="SeasWpct13">WB!$G$67</definedName>
    <definedName name="SeasWpct3" localSheetId="22">PR!#REF!</definedName>
    <definedName name="SeasWpct3" localSheetId="2">[1]PR!#REF!</definedName>
    <definedName name="SeasWpct4" localSheetId="2">[1]NR!$G$31</definedName>
    <definedName name="SeasWpct4">NR!$G$65</definedName>
    <definedName name="SeasWpct5" localSheetId="22">#REF!</definedName>
    <definedName name="SeasWpct5" localSheetId="2">[1]CS!$G$35</definedName>
    <definedName name="SeasWpct6" localSheetId="2">[1]OE!$G$36</definedName>
    <definedName name="SeasWpct6">OE!$G$51</definedName>
    <definedName name="SeasWpct9" localSheetId="22">#REF!</definedName>
    <definedName name="SeasWpct9" localSheetId="2">[1]FA!$G$28</definedName>
    <definedName name="SeasWpctPD">PH!$G$96</definedName>
    <definedName name="SedCA8">INV!$G$151</definedName>
    <definedName name="SedDisturb20">PH!$G$176</definedName>
    <definedName name="Sedge14">SBRM!$G$77</definedName>
    <definedName name="Sedge5" localSheetId="22">#REF!</definedName>
    <definedName name="Sedge5">#REF!</definedName>
    <definedName name="sedgePD">PH!$G$77</definedName>
    <definedName name="SedIn10" localSheetId="22">FH!#REF!</definedName>
    <definedName name="SedIn10">FH!#REF!</definedName>
    <definedName name="SedIn2" localSheetId="22">SR!#REF!</definedName>
    <definedName name="SedIn2" localSheetId="2">[1]SR!$G$102</definedName>
    <definedName name="SedIn20" localSheetId="22">PH!#REF!</definedName>
    <definedName name="SedIn20">PH!#REF!</definedName>
    <definedName name="SedIn8" localSheetId="22">INV!#REF!</definedName>
    <definedName name="SedIn8" localSheetId="2">[1]INV!$G$140</definedName>
    <definedName name="SedIn9" localSheetId="22">#REF!</definedName>
    <definedName name="SedIn9" localSheetId="2">[1]FA!$G$119</definedName>
    <definedName name="SedLoad" localSheetId="22">#REF!</definedName>
    <definedName name="SedLoad" localSheetId="2">[1]STR!$G$7</definedName>
    <definedName name="SEDTRAP1A">PR!$G$114</definedName>
    <definedName name="SEDTRAP1B">PR!#REF!</definedName>
    <definedName name="SedUp2" localSheetId="22">SR!#REF!</definedName>
    <definedName name="SedUp2">SR!#REF!</definedName>
    <definedName name="SENS1" localSheetId="22">#REF!</definedName>
    <definedName name="SENS1" localSheetId="2">[1]Sen!$G$186</definedName>
    <definedName name="SENS2" localSheetId="22">#REF!</definedName>
    <definedName name="SENS2" localSheetId="2">[1]Sen!$G$187</definedName>
    <definedName name="SENS3" localSheetId="22">#REF!</definedName>
    <definedName name="SENS3" localSheetId="2">[1]Sen!$G$188</definedName>
    <definedName name="SENS4" localSheetId="22">#REF!</definedName>
    <definedName name="SENS4" localSheetId="2">[1]Sen!$G$189</definedName>
    <definedName name="SENS5" localSheetId="22">#REF!</definedName>
    <definedName name="SENS5">#REF!</definedName>
    <definedName name="SensAm">OF!$E$35</definedName>
    <definedName name="Shade10">FH!$G$27</definedName>
    <definedName name="SHADE1A">WC!$G$59</definedName>
    <definedName name="SHADE1B" localSheetId="22">WC!#REF!</definedName>
    <definedName name="SHADE1B">WC!#REF!</definedName>
    <definedName name="Shade6">OE!$G$45</definedName>
    <definedName name="Shade7" localSheetId="2">[1]T!$G$29</definedName>
    <definedName name="Shade7">WC!$G$21</definedName>
    <definedName name="Shade7w" localSheetId="22">#REF!</definedName>
    <definedName name="Shade7w">#REF!</definedName>
    <definedName name="Shade9" localSheetId="22">#REF!</definedName>
    <definedName name="Shade9" localSheetId="2">[1]FA!$G$70</definedName>
    <definedName name="ShadeIn7" localSheetId="22">WC!#REF!</definedName>
    <definedName name="ShadeIn7">WC!#REF!</definedName>
    <definedName name="ShedPos_S" localSheetId="22">#REF!</definedName>
    <definedName name="ShedPos_S" localSheetId="2">[1]Sen!$G$170</definedName>
    <definedName name="ShedPos1" localSheetId="22">WS!#REF!</definedName>
    <definedName name="ShedPos1" localSheetId="2">[1]WS!$G$75</definedName>
    <definedName name="ShedPos4" localSheetId="22">NR!#REF!</definedName>
    <definedName name="ShedPos4" localSheetId="2">[1]NR!$G$107</definedName>
    <definedName name="ShedWet2" localSheetId="22">SR!#REF!</definedName>
    <definedName name="ShedWet2" localSheetId="2">[1]SR!$G$81</definedName>
    <definedName name="Shoal2" localSheetId="22">SR!#REF!</definedName>
    <definedName name="Shoal2" localSheetId="2">[1]SR!$G$150</definedName>
    <definedName name="Shoaling" localSheetId="22">#REF!</definedName>
    <definedName name="Shoaling" localSheetId="2">#REF!</definedName>
    <definedName name="ShoalSS" localSheetId="22">SR!#REF!</definedName>
    <definedName name="ShoalSS">SR!#REF!</definedName>
    <definedName name="ShoreSlope11" localSheetId="22">AM!#REF!</definedName>
    <definedName name="ShoreSlope11" localSheetId="2">[1]AM!$G$60</definedName>
    <definedName name="ShoreSlope13" localSheetId="22">FIRE!#REF!</definedName>
    <definedName name="ShoreSlope13">WB!$G$104</definedName>
    <definedName name="ShrubCanop14">SBRM!#REF!</definedName>
    <definedName name="ShrubDiv14">SBRM!$G$60</definedName>
    <definedName name="ShrubDivPD" localSheetId="22">PH!#REF!</definedName>
    <definedName name="ShrubDivPD">PH!#REF!</definedName>
    <definedName name="ShrubDom0" localSheetId="22">#REF!</definedName>
    <definedName name="ShrubDom0">#REF!</definedName>
    <definedName name="ShrubDom1" localSheetId="22">#REF!</definedName>
    <definedName name="ShrubDom1">#REF!</definedName>
    <definedName name="ShrubHtDiv14" localSheetId="22">SBRM!#REF!</definedName>
    <definedName name="ShrubHtDiv14">SBRM!#REF!</definedName>
    <definedName name="ShrubHtDivS" localSheetId="22">#REF!</definedName>
    <definedName name="ShrubHtDivS">#REF!</definedName>
    <definedName name="ShrubPattS" localSheetId="22">#REF!</definedName>
    <definedName name="ShrubPattS">#REF!</definedName>
    <definedName name="ShrubSens1" localSheetId="22">#REF!</definedName>
    <definedName name="ShrubSens1" localSheetId="2">[1]Sen!$G$80</definedName>
    <definedName name="ShrubSens1_C" localSheetId="22">#REF!</definedName>
    <definedName name="ShrubSens1_C" localSheetId="2">[1]CQ!$G$55</definedName>
    <definedName name="ShrubSens1_S" localSheetId="22">#REF!</definedName>
    <definedName name="ShrubSens1_S" localSheetId="2">[1]Sen!#REF!</definedName>
    <definedName name="ShrubShaded" localSheetId="22">PH!#REF!</definedName>
    <definedName name="ShrubShaded">PH!#REF!</definedName>
    <definedName name="ShrubShaded11" localSheetId="22">AM!#REF!</definedName>
    <definedName name="ShrubShaded11">AM!#REF!</definedName>
    <definedName name="ShrubSubcan14" localSheetId="22">SBRM!#REF!</definedName>
    <definedName name="ShrubSubcan14">SBRM!#REF!</definedName>
    <definedName name="ShrubSun">PH!#REF!</definedName>
    <definedName name="ShrubSun11" localSheetId="22">AM!#REF!</definedName>
    <definedName name="ShrubSun11">AM!#REF!</definedName>
    <definedName name="ShrubUbq1" localSheetId="22">#REF!</definedName>
    <definedName name="ShrubUbq1">#REF!</definedName>
    <definedName name="ShurbHtDiv14">SBRM!#REF!</definedName>
    <definedName name="Size_S" localSheetId="22">#REF!</definedName>
    <definedName name="Size_S" localSheetId="2">[1]Sen!$G$163</definedName>
    <definedName name="Size0" localSheetId="22">#REF!</definedName>
    <definedName name="Size0" localSheetId="2">[1]POL!$G$95</definedName>
    <definedName name="Size12" localSheetId="22">#REF!</definedName>
    <definedName name="Size12" localSheetId="2">[1]WBF!$G$145</definedName>
    <definedName name="Size13" localSheetId="22">FIRE!#REF!</definedName>
    <definedName name="Size13" localSheetId="2">[1]WBN!$G$166</definedName>
    <definedName name="Size14" localSheetId="22">SBRM!#REF!</definedName>
    <definedName name="Size14" localSheetId="2">[1]SBM!$G$173</definedName>
    <definedName name="SizePD" localSheetId="22">PH!#REF!</definedName>
    <definedName name="SizePD">PH!#REF!</definedName>
    <definedName name="SlidePD" localSheetId="22">PH!#REF!</definedName>
    <definedName name="SlidePD">PH!#REF!</definedName>
    <definedName name="SlopeBuffer">OF!$E$36</definedName>
    <definedName name="SlopeUnif2" localSheetId="22">SR!#REF!</definedName>
    <definedName name="SlopeUnif2" localSheetId="2">[1]SR!#REF!</definedName>
    <definedName name="SlopeUnif3" localSheetId="22">PR!#REF!</definedName>
    <definedName name="SlopeUnif3" localSheetId="2">[1]PR!#REF!</definedName>
    <definedName name="SlopeUnif4" localSheetId="22">NR!#REF!</definedName>
    <definedName name="SlopeUnif4" localSheetId="2">[1]NR!#REF!</definedName>
    <definedName name="SlopeUnif5" localSheetId="22">#REF!</definedName>
    <definedName name="SlopeUnif5" localSheetId="2">[1]CS!#REF!</definedName>
    <definedName name="SlopeUnif6" localSheetId="22">OE!#REF!</definedName>
    <definedName name="SlopeUnif6" localSheetId="2">[1]OE!#REF!</definedName>
    <definedName name="SmallAA">F!$D$154</definedName>
    <definedName name="SnagB13" localSheetId="22">FIRE!#REF!</definedName>
    <definedName name="SnagB13">WB!$G$38</definedName>
    <definedName name="SnagD14">SBRM!$G$63</definedName>
    <definedName name="Snags0" localSheetId="22">#REF!</definedName>
    <definedName name="Snags0">#REF!</definedName>
    <definedName name="Snags14" localSheetId="22">SBRM!#REF!</definedName>
    <definedName name="Snags14" localSheetId="2">[1]SBM!#REF!</definedName>
    <definedName name="Snags15">PH!$G$56</definedName>
    <definedName name="Snow_S" localSheetId="22">#REF!</definedName>
    <definedName name="Snow_S">#REF!</definedName>
    <definedName name="Snow1" localSheetId="22">WS!#REF!</definedName>
    <definedName name="Snow1">WS!#REF!</definedName>
    <definedName name="Snow10" localSheetId="22">FH!#REF!</definedName>
    <definedName name="Snow10">FH!#REF!</definedName>
    <definedName name="Snow11" localSheetId="22">AM!#REF!</definedName>
    <definedName name="Snow11">AM!#REF!</definedName>
    <definedName name="Snow12" localSheetId="22">#REF!</definedName>
    <definedName name="Snow12">#REF!</definedName>
    <definedName name="Snow1a" localSheetId="22">WS!#REF!</definedName>
    <definedName name="Snow1a">WS!#REF!</definedName>
    <definedName name="Snow2" localSheetId="22">SR!#REF!</definedName>
    <definedName name="Snow2">SR!#REF!</definedName>
    <definedName name="Snow2_" localSheetId="22">SFS!#REF!</definedName>
    <definedName name="Snow2_">SFS!#REF!</definedName>
    <definedName name="Snow2a" localSheetId="22">SFS!#REF!</definedName>
    <definedName name="Snow2a">SFS!#REF!</definedName>
    <definedName name="Snow3" localSheetId="22">PR!#REF!</definedName>
    <definedName name="Snow3">PR!#REF!</definedName>
    <definedName name="Snow4" localSheetId="22">NR!#REF!</definedName>
    <definedName name="Snow4">NR!#REF!</definedName>
    <definedName name="Snow5" localSheetId="22">#REF!</definedName>
    <definedName name="Snow5">#REF!</definedName>
    <definedName name="Snow6" localSheetId="22">OE!#REF!</definedName>
    <definedName name="Snow6">OE!#REF!</definedName>
    <definedName name="SnowPD" localSheetId="22">PH!#REF!</definedName>
    <definedName name="SnowPD">PH!#REF!</definedName>
    <definedName name="Snows" localSheetId="22">#REF!</definedName>
    <definedName name="Snows">#REF!</definedName>
    <definedName name="Snows_S" localSheetId="22">#REF!</definedName>
    <definedName name="Snows_S">#REF!</definedName>
    <definedName name="Snows_S2" localSheetId="22">#REF!</definedName>
    <definedName name="Snows_S2">#REF!</definedName>
    <definedName name="Soil2_">SFS!$G$20</definedName>
    <definedName name="SoilAlt2">SR!$G$95</definedName>
    <definedName name="SoilAlt3">PR!$G$108</definedName>
    <definedName name="SoilDisturb" localSheetId="22">#REF!</definedName>
    <definedName name="SoilDisturb" localSheetId="2">[1]STR!$G$8</definedName>
    <definedName name="soildisturb0" localSheetId="22">#REF!</definedName>
    <definedName name="soildisturb0" localSheetId="2">[1]POL!$G$102</definedName>
    <definedName name="SoilDisturb11" localSheetId="22">AM!#REF!</definedName>
    <definedName name="SoilDisturb11" localSheetId="2">[1]AM!$G$224</definedName>
    <definedName name="SoilDisturb15" localSheetId="2">[1]PD!$D$171</definedName>
    <definedName name="SoilDisturb4" localSheetId="2">[1]NR!$G$104</definedName>
    <definedName name="SoilDisturb4">NR!$G$133</definedName>
    <definedName name="SoilDisturb5" localSheetId="22">#REF!</definedName>
    <definedName name="SoilDisturb5" localSheetId="2">[1]CS!$G$136</definedName>
    <definedName name="SoilDisturb6" localSheetId="22">OE!#REF!</definedName>
    <definedName name="SoilDisturb6" localSheetId="2">[1]OE!$G$115</definedName>
    <definedName name="SoilDisturb8" localSheetId="2">[1]INV!$G$141</definedName>
    <definedName name="SoilDisturb8">INV!$G$152</definedName>
    <definedName name="SoilOrgPct">OF!#REF!</definedName>
    <definedName name="SoilTex">OF!#REF!</definedName>
    <definedName name="SoilTex_NROE">OF!#REF!</definedName>
    <definedName name="SoilTex_PR">OF!#REF!</definedName>
    <definedName name="SoilTex_S" localSheetId="22">#REF!</definedName>
    <definedName name="SoilTex_S" localSheetId="2">[1]Sen!$G$110</definedName>
    <definedName name="SoilTex_WS">OF!#REF!</definedName>
    <definedName name="SoilTex1">WS!$G$31</definedName>
    <definedName name="SoilTex13">FIRE!#REF!</definedName>
    <definedName name="SoilTex3" localSheetId="2">[1]PR!$G$86</definedName>
    <definedName name="SoilTex3">PR!$G$24</definedName>
    <definedName name="SoilTex4" localSheetId="2">[1]NR!$G$87</definedName>
    <definedName name="SoilTex4">NR!$G$45</definedName>
    <definedName name="SoilTex5" localSheetId="22">#REF!</definedName>
    <definedName name="SoilTex5" localSheetId="2">[1]CS!$G$112</definedName>
    <definedName name="SoilTex6">OE!$G$38</definedName>
    <definedName name="SoilTex8" localSheetId="22">INV!#REF!</definedName>
    <definedName name="SoilTex8" localSheetId="2">[1]INV!#REF!</definedName>
    <definedName name="SoilTexPD" localSheetId="2">[1]PD!$G$95</definedName>
    <definedName name="SoilTexPD">PH!$G$64</definedName>
    <definedName name="SOLAR1A">WC!#REF!</definedName>
    <definedName name="SOLAR1B">WC!#REF!</definedName>
    <definedName name="SolarHeat" localSheetId="22">WC!#REF!</definedName>
    <definedName name="SolarHeat">WC!#REF!</definedName>
    <definedName name="SolarHeatWarming" localSheetId="22">#REF!</definedName>
    <definedName name="SolarHeatWarming">#REF!</definedName>
    <definedName name="SongbMam" localSheetId="22">INV!#REF!</definedName>
    <definedName name="SongbMam" localSheetId="2">[1]INV!$G$164</definedName>
    <definedName name="SPA" localSheetId="22">HU!#REF!</definedName>
    <definedName name="SPA">HU!#REF!</definedName>
    <definedName name="SppArea" localSheetId="22">PH!#REF!</definedName>
    <definedName name="SppArea">PH!#REF!</definedName>
    <definedName name="SpPatch14" localSheetId="22">SBRM!#REF!</definedName>
    <definedName name="SpPatch14" localSheetId="2">[1]SBM!#REF!</definedName>
    <definedName name="SpPatchy8" localSheetId="22">INV!#REF!</definedName>
    <definedName name="SpPatchy8" localSheetId="2">[1]INV!#REF!</definedName>
    <definedName name="Spring">OF!#REF!</definedName>
    <definedName name="SSubq2" localSheetId="22">#REF!</definedName>
    <definedName name="SSubq2" localSheetId="2">[1]Sen!$G$89</definedName>
    <definedName name="Stain8">INV!$G$110</definedName>
    <definedName name="Stained11" localSheetId="22">AM!#REF!</definedName>
    <definedName name="Stained11">AM!#REF!</definedName>
    <definedName name="Stained6" localSheetId="22">OE!#REF!</definedName>
    <definedName name="Stained6">OE!#REF!</definedName>
    <definedName name="Steep1">WS!$D$91</definedName>
    <definedName name="Steep13" localSheetId="22">FIRE!#REF!</definedName>
    <definedName name="Steep13" localSheetId="2">[1]WBN!$D$109</definedName>
    <definedName name="Steep13">WB!$D$126</definedName>
    <definedName name="Steep1ws">WS!$D$91</definedName>
    <definedName name="Steep2ws">WS!$D$92</definedName>
    <definedName name="Stess11" localSheetId="22">AM!#REF!</definedName>
    <definedName name="Stess11">AM!#REF!</definedName>
    <definedName name="STORE1a">WS!$G$108</definedName>
    <definedName name="Store1b" localSheetId="22">WS!#REF!</definedName>
    <definedName name="Store1b">WS!#REF!</definedName>
    <definedName name="StrataDiv" localSheetId="22">#REF!</definedName>
    <definedName name="StrataDiv">#REF!</definedName>
    <definedName name="StreamInGrad3" localSheetId="22">PR!#REF!</definedName>
    <definedName name="StreamInGrad3">PR!#REF!</definedName>
    <definedName name="Stress10" localSheetId="22">FH!#REF!</definedName>
    <definedName name="Stress10">FH!#REF!</definedName>
    <definedName name="Stress11" localSheetId="22">AM!#REF!</definedName>
    <definedName name="Stress11">AM!#REF!</definedName>
    <definedName name="Stress12" localSheetId="22">#REF!</definedName>
    <definedName name="Stress12">#REF!</definedName>
    <definedName name="Stress13" localSheetId="22">FIRE!#REF!</definedName>
    <definedName name="Stress13">WB!#REF!</definedName>
    <definedName name="Stress14" localSheetId="22">SBRM!#REF!</definedName>
    <definedName name="Stress14">SBRM!#REF!</definedName>
    <definedName name="Stress9" localSheetId="22">#REF!</definedName>
    <definedName name="Stress9">#REF!</definedName>
    <definedName name="StressA1a">AM!$G$142</definedName>
    <definedName name="StressA1b" localSheetId="22">AM!#REF!</definedName>
    <definedName name="StressA1b">AM!#REF!</definedName>
    <definedName name="StressF1a">FH!$G$128</definedName>
    <definedName name="StressF1b" localSheetId="22">FH!#REF!</definedName>
    <definedName name="StressF1b">FH!#REF!</definedName>
    <definedName name="StressI1a">INV!$G$164</definedName>
    <definedName name="StressI1b" localSheetId="22">INV!#REF!</definedName>
    <definedName name="StressI1b">INV!#REF!</definedName>
    <definedName name="Stressors13" localSheetId="22">FIRE!#REF!</definedName>
    <definedName name="Stressors13">WB!#REF!</definedName>
    <definedName name="Stressors8" localSheetId="22">INV!#REF!</definedName>
    <definedName name="Stressors8">INV!#REF!</definedName>
    <definedName name="StressP1a" localSheetId="22">#REF!</definedName>
    <definedName name="StressP1a">#REF!</definedName>
    <definedName name="StressP1b" localSheetId="22">#REF!</definedName>
    <definedName name="StressP1b">#REF!</definedName>
    <definedName name="StressPD" localSheetId="22">PH!#REF!</definedName>
    <definedName name="StressPD">PH!#REF!</definedName>
    <definedName name="StressS1a">SBRM!$G$158</definedName>
    <definedName name="StressS1b" localSheetId="22">SBRM!#REF!</definedName>
    <definedName name="StressS1b">SBRM!#REF!</definedName>
    <definedName name="StressV1a">PH!$G$191</definedName>
    <definedName name="StressV1b" localSheetId="22">PH!#REF!</definedName>
    <definedName name="StressV1b">PH!#REF!</definedName>
    <definedName name="StressW1a" localSheetId="22">FIRE!#REF!</definedName>
    <definedName name="StressW1a">WB!$G$167</definedName>
    <definedName name="StressW1b" localSheetId="22">FIRE!#REF!</definedName>
    <definedName name="StressW1b">WB!#REF!</definedName>
    <definedName name="struc0" localSheetId="22">#REF!</definedName>
    <definedName name="struc0" localSheetId="2">[1]POL!#REF!</definedName>
    <definedName name="Struc10" localSheetId="22">FH!#REF!</definedName>
    <definedName name="Struc10">FH!#REF!</definedName>
    <definedName name="Struc11" localSheetId="22">AM!#REF!</definedName>
    <definedName name="Struc11">AM!#REF!</definedName>
    <definedName name="Struc12" localSheetId="22">#REF!</definedName>
    <definedName name="Struc12">#REF!</definedName>
    <definedName name="Struc13" localSheetId="22">FIRE!#REF!</definedName>
    <definedName name="Struc13">WB!#REF!</definedName>
    <definedName name="Struc14" localSheetId="22">SBRM!#REF!</definedName>
    <definedName name="Struc14" localSheetId="2">[1]SBM!$D$77</definedName>
    <definedName name="Struc9" localSheetId="22">#REF!</definedName>
    <definedName name="Struc9">#REF!</definedName>
    <definedName name="StrucA" localSheetId="22">SBRM!#REF!</definedName>
    <definedName name="StrucA">SBRM!#REF!</definedName>
    <definedName name="StrucB" localSheetId="22">SBRM!#REF!</definedName>
    <definedName name="StrucB">SBRM!#REF!</definedName>
    <definedName name="Structure8" localSheetId="22">INV!#REF!</definedName>
    <definedName name="Structure8">INV!#REF!</definedName>
    <definedName name="Sub0Days">OF!$E$37</definedName>
    <definedName name="Subsist" localSheetId="22">#REF!</definedName>
    <definedName name="Subsist">#REF!</definedName>
    <definedName name="Subsist10" localSheetId="22">FH!#REF!</definedName>
    <definedName name="Subsist10">FH!#REF!</definedName>
    <definedName name="Subsist9" localSheetId="22">#REF!</definedName>
    <definedName name="Subsist9">#REF!</definedName>
    <definedName name="Subsurf" localSheetId="22">WS!#REF!</definedName>
    <definedName name="Subsurf">WS!#REF!</definedName>
    <definedName name="Subzero10" localSheetId="22">FH!#REF!</definedName>
    <definedName name="Subzero10">FH!#REF!</definedName>
    <definedName name="Subzero2" localSheetId="22">SR!#REF!</definedName>
    <definedName name="Subzero2">SR!#REF!</definedName>
    <definedName name="Subzero5" localSheetId="22">#REF!</definedName>
    <definedName name="Subzero5">#REF!</definedName>
    <definedName name="Sustain" localSheetId="22">#REF!</definedName>
    <definedName name="Sustain">#REF!</definedName>
    <definedName name="Sustain1" localSheetId="22">WS!#REF!</definedName>
    <definedName name="Sustain1" localSheetId="2">[1]WS!$G$106</definedName>
    <definedName name="Sustain11" localSheetId="22">AM!#REF!</definedName>
    <definedName name="Sustain11" localSheetId="2">[1]AM!$G$244</definedName>
    <definedName name="Sustain12" localSheetId="22">#REF!</definedName>
    <definedName name="Sustain12" localSheetId="2">[1]WBF!$G$181</definedName>
    <definedName name="Sustain13" localSheetId="22">FIRE!#REF!</definedName>
    <definedName name="Sustain13" localSheetId="2">[1]WBN!$G$211</definedName>
    <definedName name="sustain14" localSheetId="22">SBRM!#REF!</definedName>
    <definedName name="sustain14" localSheetId="2">[1]SBM!$G$211</definedName>
    <definedName name="Sustain2" localSheetId="22">SR!#REF!</definedName>
    <definedName name="Sustain2" localSheetId="2">[1]SR!$G$160</definedName>
    <definedName name="Sustain3" localSheetId="22">PR!#REF!</definedName>
    <definedName name="Sustain3" localSheetId="2">[1]PR!$G$156</definedName>
    <definedName name="Sustain4" localSheetId="22">NR!#REF!</definedName>
    <definedName name="Sustain4" localSheetId="2">[1]NR!$G$161</definedName>
    <definedName name="sustain8" localSheetId="22">INV!#REF!</definedName>
    <definedName name="sustain8" localSheetId="2">[1]INV!$G$155</definedName>
    <definedName name="SustainPD" localSheetId="22">PH!#REF!</definedName>
    <definedName name="SustainPD" localSheetId="2">[1]PD!$G$195</definedName>
    <definedName name="SwampMarshPct">OF!$E$38</definedName>
    <definedName name="SwampPct1K">OF!#REF!</definedName>
    <definedName name="SwampPct5K" localSheetId="22">OF!#REF!</definedName>
    <definedName name="SwampPct5K">OF!#REF!</definedName>
    <definedName name="SwampPctWet">OF!#REF!</definedName>
    <definedName name="Swater">F!$D$121</definedName>
    <definedName name="Swater2" localSheetId="22">SR!#REF!</definedName>
    <definedName name="Swater2">SR!#REF!</definedName>
    <definedName name="SWOpd">PH!#REF!</definedName>
    <definedName name="System" localSheetId="22">#REF!</definedName>
    <definedName name="System" localSheetId="2">#REF!</definedName>
    <definedName name="TEknown" localSheetId="22">#REF!</definedName>
    <definedName name="TEknown" localSheetId="2">#REF!</definedName>
    <definedName name="TEMP1A">NR!$G$136</definedName>
    <definedName name="TEMP1B">NR!#REF!</definedName>
    <definedName name="TEpredicted" localSheetId="22">#REF!</definedName>
    <definedName name="TEpredicted" localSheetId="2">#REF!</definedName>
    <definedName name="TerrFertilPD" localSheetId="22">PH!#REF!</definedName>
    <definedName name="TerrFertilPD">PH!#REF!</definedName>
    <definedName name="TerrStruc11" localSheetId="22">AM!#REF!</definedName>
    <definedName name="TerrStruc11">AM!#REF!</definedName>
    <definedName name="TEST1" localSheetId="22">S!#REF!</definedName>
    <definedName name="TEST1">S!#REF!</definedName>
    <definedName name="TEST10" localSheetId="22">S!#REF!</definedName>
    <definedName name="TEST10">S!#REF!</definedName>
    <definedName name="TEST11" localSheetId="22">S!#REF!</definedName>
    <definedName name="TEST11">S!#REF!</definedName>
    <definedName name="TEST12" localSheetId="22">S!#REF!</definedName>
    <definedName name="TEST12">S!#REF!</definedName>
    <definedName name="TEST13" localSheetId="22">S!#REF!</definedName>
    <definedName name="TEST13">S!#REF!</definedName>
    <definedName name="TEST14" localSheetId="22">S!#REF!</definedName>
    <definedName name="TEST14">S!#REF!</definedName>
    <definedName name="TEST15" localSheetId="22">S!#REF!</definedName>
    <definedName name="TEST15">S!#REF!</definedName>
    <definedName name="TEST18" localSheetId="22">S!#REF!</definedName>
    <definedName name="TEST18">S!#REF!</definedName>
    <definedName name="TEST19" localSheetId="22">S!#REF!</definedName>
    <definedName name="TEST19">S!#REF!</definedName>
    <definedName name="TEST2" localSheetId="22">S!#REF!</definedName>
    <definedName name="TEST2">S!#REF!</definedName>
    <definedName name="TEST20" localSheetId="22">S!#REF!</definedName>
    <definedName name="TEST20">S!#REF!</definedName>
    <definedName name="TEST21" localSheetId="22">S!#REF!</definedName>
    <definedName name="TEST21">S!#REF!</definedName>
    <definedName name="TEST3" localSheetId="22">S!#REF!</definedName>
    <definedName name="TEST3">S!#REF!</definedName>
    <definedName name="TEST4" localSheetId="22">S!#REF!</definedName>
    <definedName name="TEST4">S!#REF!</definedName>
    <definedName name="TEST5" localSheetId="22">S!#REF!</definedName>
    <definedName name="TEST5">S!#REF!</definedName>
    <definedName name="TEST6" localSheetId="22">S!#REF!</definedName>
    <definedName name="TEST6">S!#REF!</definedName>
    <definedName name="TEST7" localSheetId="22">S!#REF!</definedName>
    <definedName name="TEST7">S!#REF!</definedName>
    <definedName name="TEST8" localSheetId="22">S!#REF!</definedName>
    <definedName name="TEST8">S!#REF!</definedName>
    <definedName name="TEST9" localSheetId="22">S!#REF!</definedName>
    <definedName name="TEST9">S!#REF!</definedName>
    <definedName name="ThruFlo1" localSheetId="2">[1]WS!$G$56</definedName>
    <definedName name="ThruFlo1">WS!$G$70</definedName>
    <definedName name="ThruFlo10" localSheetId="2">[1]FR!$G$67</definedName>
    <definedName name="ThruFlo10">FH!$G$83</definedName>
    <definedName name="ThruFlo12" localSheetId="22">#REF!</definedName>
    <definedName name="ThruFlo12" localSheetId="2">[1]WBF!$G$55</definedName>
    <definedName name="ThruFlo2" localSheetId="2">[1]SR!$G$44</definedName>
    <definedName name="ThruFlo2">SR!$G$64</definedName>
    <definedName name="ThruFlo3" localSheetId="2">[1]PR!$G$61</definedName>
    <definedName name="ThruFlo3">PR!$G$82</definedName>
    <definedName name="ThruFlo4" localSheetId="2">[1]NR!$G$57</definedName>
    <definedName name="ThruFlo4">NR!$G$101</definedName>
    <definedName name="ThruFlo5" localSheetId="22">#REF!</definedName>
    <definedName name="ThruFlo5" localSheetId="2">[1]CS!$G$66</definedName>
    <definedName name="ThruFlo6" localSheetId="2">[1]OE!$G$63</definedName>
    <definedName name="ThruFlo6">OE!$G$88</definedName>
    <definedName name="ThruFlo8" localSheetId="2">[1]INV!$G$69</definedName>
    <definedName name="ThruFlo8">INV!$G$125</definedName>
    <definedName name="ThruFlo9" localSheetId="22">#REF!</definedName>
    <definedName name="ThruFlo9" localSheetId="2">[1]FA!$G$58</definedName>
    <definedName name="ThruFlow13" localSheetId="22">FIRE!#REF!</definedName>
    <definedName name="ThruFlow13" localSheetId="2">[1]WBN!$G$50</definedName>
    <definedName name="Tidal" localSheetId="22">#REF!</definedName>
    <definedName name="Tidal" localSheetId="2">#REF!</definedName>
    <definedName name="tidal0" localSheetId="22">#REF!</definedName>
    <definedName name="tidal0">#REF!</definedName>
    <definedName name="Tidal1" localSheetId="22">WS!#REF!</definedName>
    <definedName name="Tidal1" localSheetId="2">[1]WS!$D$2</definedName>
    <definedName name="Tidal10" localSheetId="22">FH!#REF!</definedName>
    <definedName name="Tidal10" localSheetId="2">[1]FR!$D$2</definedName>
    <definedName name="Tidal11" localSheetId="22">AM!#REF!</definedName>
    <definedName name="Tidal11" localSheetId="2">[1]AM!$D$2</definedName>
    <definedName name="Tidal12" localSheetId="22">#REF!</definedName>
    <definedName name="Tidal12" localSheetId="2">[1]WBF!$D$2</definedName>
    <definedName name="Tidal13" localSheetId="22">FIRE!#REF!</definedName>
    <definedName name="Tidal13" localSheetId="2">[1]WBN!$D$2</definedName>
    <definedName name="Tidal14" localSheetId="22">SBRM!#REF!</definedName>
    <definedName name="Tidal14" localSheetId="2">[1]SBM!$D$2</definedName>
    <definedName name="Tidal2" localSheetId="22">SR!#REF!</definedName>
    <definedName name="Tidal2" localSheetId="2">[1]SR!$D$2</definedName>
    <definedName name="Tidal3" localSheetId="22">PR!#REF!</definedName>
    <definedName name="Tidal3" localSheetId="2">[1]PR!$D$2</definedName>
    <definedName name="Tidal4" localSheetId="22">NR!#REF!</definedName>
    <definedName name="Tidal4" localSheetId="2">[1]NR!$D$2</definedName>
    <definedName name="Tidal5" localSheetId="22">#REF!</definedName>
    <definedName name="Tidal5">#REF!</definedName>
    <definedName name="Tidal6" localSheetId="22">OE!#REF!</definedName>
    <definedName name="Tidal6" localSheetId="2">[1]OE!$D$2</definedName>
    <definedName name="Tidal7" localSheetId="22">WC!#REF!</definedName>
    <definedName name="Tidal7" localSheetId="2">[1]T!$D$2</definedName>
    <definedName name="Tidal8" localSheetId="22">INV!#REF!</definedName>
    <definedName name="Tidal8" localSheetId="2">[1]INV!$D$2</definedName>
    <definedName name="Tidal9" localSheetId="22">#REF!</definedName>
    <definedName name="Tidal9" localSheetId="2">[1]FA!$D$2</definedName>
    <definedName name="TidalNTconn13" localSheetId="22">FIRE!#REF!</definedName>
    <definedName name="TidalNTconn13" localSheetId="2">[1]WBN!#REF!</definedName>
    <definedName name="TidalPD" localSheetId="22">PH!#REF!</definedName>
    <definedName name="TidalPD" localSheetId="2">[1]PD!$D$2</definedName>
    <definedName name="TidalProx_S" localSheetId="22">#REF!</definedName>
    <definedName name="TidalProx_S">#REF!</definedName>
    <definedName name="TidalProx1" localSheetId="22">WS!#REF!</definedName>
    <definedName name="TidalProx1">WS!#REF!</definedName>
    <definedName name="TidalProx10" localSheetId="22">FH!#REF!</definedName>
    <definedName name="TidalProx10">FH!#REF!</definedName>
    <definedName name="TidalProx11" localSheetId="22">AM!#REF!</definedName>
    <definedName name="TidalProx11">AM!#REF!</definedName>
    <definedName name="TidalProx12" localSheetId="22">#REF!</definedName>
    <definedName name="TidalProx12" localSheetId="2">[1]WBF!$G$141</definedName>
    <definedName name="TidalProx13" localSheetId="22">FIRE!#REF!</definedName>
    <definedName name="TidalProx13">WB!#REF!</definedName>
    <definedName name="TidalProx14" localSheetId="22">SBRM!#REF!</definedName>
    <definedName name="TidalProx14">SBRM!#REF!</definedName>
    <definedName name="TidalProx3" localSheetId="22">PR!#REF!</definedName>
    <definedName name="TidalProx3">PR!#REF!</definedName>
    <definedName name="TidalProx4" localSheetId="22">NR!#REF!</definedName>
    <definedName name="TidalProx4">NR!#REF!</definedName>
    <definedName name="TidalProx5" localSheetId="22">#REF!</definedName>
    <definedName name="TidalProx5" localSheetId="2">[1]CS!$G$131</definedName>
    <definedName name="TidalProx6" localSheetId="22">OE!#REF!</definedName>
    <definedName name="TidalProx6">OE!#REF!</definedName>
    <definedName name="TidalProx8" localSheetId="22">INV!#REF!</definedName>
    <definedName name="TidalProx8">INV!#REF!</definedName>
    <definedName name="TidalProx9" localSheetId="22">#REF!</definedName>
    <definedName name="TidalProx9">#REF!</definedName>
    <definedName name="TidalProxPD" localSheetId="22">PH!#REF!</definedName>
    <definedName name="TidalProxPD">PH!#REF!</definedName>
    <definedName name="TidalProxPU" localSheetId="22">HU!#REF!</definedName>
    <definedName name="TidalProxPU">HU!#REF!</definedName>
    <definedName name="TidalProxS" localSheetId="22">#REF!</definedName>
    <definedName name="TidalProxS">#REF!</definedName>
    <definedName name="TidalW" localSheetId="22">#REF!</definedName>
    <definedName name="TidalW" localSheetId="2">#REF!</definedName>
    <definedName name="TideProx2" localSheetId="22">SR!#REF!</definedName>
    <definedName name="TideProx2">SR!#REF!</definedName>
    <definedName name="TideProx7" localSheetId="22">#REF!</definedName>
    <definedName name="TideProx7">#REF!</definedName>
    <definedName name="TnonTconn10" localSheetId="22">FH!#REF!</definedName>
    <definedName name="TnonTconn10">FH!#REF!</definedName>
    <definedName name="TnonTpd" localSheetId="22">PH!#REF!</definedName>
    <definedName name="TnonTpd" localSheetId="2">[1]PD!$G$9</definedName>
    <definedName name="TooSaline" localSheetId="22">F!#REF!</definedName>
    <definedName name="TooSaline">F!#REF!</definedName>
    <definedName name="TooSteep12" localSheetId="22">#REF!</definedName>
    <definedName name="TooSteep12" localSheetId="2">[1]WBF!$D$97</definedName>
    <definedName name="TooSteep13" localSheetId="22">FIRE!#REF!</definedName>
    <definedName name="TooSteep13">WB!$D$129</definedName>
    <definedName name="ToxData10" localSheetId="22">FH!#REF!</definedName>
    <definedName name="ToxData10">FH!#REF!</definedName>
    <definedName name="ToxData2" localSheetId="22">SR!#REF!</definedName>
    <definedName name="ToxData2">SR!#REF!</definedName>
    <definedName name="ToxData9" localSheetId="22">#REF!</definedName>
    <definedName name="ToxData9">#REF!</definedName>
    <definedName name="ToxDn2" localSheetId="22">SR!#REF!</definedName>
    <definedName name="ToxDn2">SR!#REF!</definedName>
    <definedName name="ToxDown2" localSheetId="22">SR!#REF!</definedName>
    <definedName name="ToxDown2">SR!#REF!</definedName>
    <definedName name="Toxic" localSheetId="22">#REF!</definedName>
    <definedName name="Toxic" localSheetId="2">[1]STR!$G$6</definedName>
    <definedName name="Toxic0" localSheetId="22">#REF!</definedName>
    <definedName name="Toxic0">#REF!</definedName>
    <definedName name="Toxic10">FH!$G$113</definedName>
    <definedName name="Toxic11">AM!$G$130</definedName>
    <definedName name="Toxic20">PH!$G$175</definedName>
    <definedName name="Toxic8">INV!$G$150</definedName>
    <definedName name="ToxicData" localSheetId="22">#REF!</definedName>
    <definedName name="ToxicData">#REF!</definedName>
    <definedName name="toxics13" localSheetId="2">[1]WBN!$G$186</definedName>
    <definedName name="ToxOnsite" localSheetId="22">#REF!</definedName>
    <definedName name="ToxOnsite">#REF!</definedName>
    <definedName name="ToxSource13" localSheetId="22">FIRE!#REF!</definedName>
    <definedName name="ToxSource13">WB!$G$155</definedName>
    <definedName name="ToxSource14">SBRM!$G$146</definedName>
    <definedName name="ToxUp2" localSheetId="22">SR!#REF!</definedName>
    <definedName name="ToxUp2">SR!#REF!</definedName>
    <definedName name="TprobUp" localSheetId="22">WC!#REF!</definedName>
    <definedName name="TprobUp" localSheetId="2">[1]T!$D$39</definedName>
    <definedName name="Trail">OF!#REF!</definedName>
    <definedName name="Transport1" localSheetId="22">WS!#REF!</definedName>
    <definedName name="Transport1" localSheetId="2">[1]WS!$G$92</definedName>
    <definedName name="Transport3" localSheetId="22">PR!#REF!</definedName>
    <definedName name="Transport3" localSheetId="2">[1]PR!$G$124</definedName>
    <definedName name="Transport4" localSheetId="22">NR!#REF!</definedName>
    <definedName name="Transport4" localSheetId="2">[1]NR!$G$124</definedName>
    <definedName name="TransportSS" localSheetId="22">SR!#REF!</definedName>
    <definedName name="TransportSS" localSheetId="2">[1]SR!$G$98</definedName>
    <definedName name="TRAP1A">SR!$G$98</definedName>
    <definedName name="TRAP1B">SR!#REF!</definedName>
    <definedName name="TreeCovPD">PH!#REF!</definedName>
    <definedName name="TreeCovS" localSheetId="22">#REF!</definedName>
    <definedName name="TreeCovS">#REF!</definedName>
    <definedName name="TreeDBHs" localSheetId="22">#REF!</definedName>
    <definedName name="TreeDBHs">#REF!</definedName>
    <definedName name="TreeForm13" localSheetId="22">FIRE!#REF!</definedName>
    <definedName name="TreeForm13">WB!$G$29</definedName>
    <definedName name="TreeForm5" localSheetId="22">#REF!</definedName>
    <definedName name="TreeForm5" localSheetId="2">[1]CS!$G$88</definedName>
    <definedName name="TreeForm6" localSheetId="22">OE!#REF!</definedName>
    <definedName name="TreeForm6" localSheetId="2">[1]OE!#REF!</definedName>
    <definedName name="TreeFrag_S" localSheetId="22">#REF!</definedName>
    <definedName name="TreeFrag_S" localSheetId="2">[1]Sen!#REF!</definedName>
    <definedName name="TreeFrag14" localSheetId="22">SBRM!#REF!</definedName>
    <definedName name="TreeFrag14" localSheetId="2">[1]SBM!#REF!</definedName>
    <definedName name="TreePct14">SBRM!#REF!</definedName>
    <definedName name="Trees13" localSheetId="22">FIRE!#REF!</definedName>
    <definedName name="Trees13">WB!$G$29</definedName>
    <definedName name="TreeTyp13" localSheetId="22">FIRE!#REF!</definedName>
    <definedName name="TreeTyp13">WB!$G$29</definedName>
    <definedName name="TreeTypes14" localSheetId="2">[1]SBM!$G$41</definedName>
    <definedName name="TreeTypes14">SBRM!$G$43</definedName>
    <definedName name="TreeTypes4">NR!#REF!</definedName>
    <definedName name="TreeVar11" localSheetId="2">[1]AM!$G$80</definedName>
    <definedName name="TreeVar11">AM!$G$25</definedName>
    <definedName name="TreeVar8" localSheetId="22">INV!#REF!</definedName>
    <definedName name="TreeVar8" localSheetId="2">[1]INV!#REF!</definedName>
    <definedName name="TrumSwan">OF!$E$39</definedName>
    <definedName name="TurbExceed" localSheetId="22">SR!#REF!</definedName>
    <definedName name="TurbExceed">SR!#REF!</definedName>
    <definedName name="TurbExceedSS" localSheetId="22">SR!#REF!</definedName>
    <definedName name="TurbExceedSS">SR!#REF!</definedName>
    <definedName name="Turbid15" localSheetId="22">PH!#REF!</definedName>
    <definedName name="Turbid15" localSheetId="2">[1]PD!$D$170</definedName>
    <definedName name="TurbUp2" localSheetId="22">SR!#REF!</definedName>
    <definedName name="TurbUp2" localSheetId="2">[1]SR!$D$109</definedName>
    <definedName name="Type1">WS!$G$13</definedName>
    <definedName name="Unbrow" localSheetId="22">SBRM!#REF!</definedName>
    <definedName name="Unbrow">SBRM!#REF!</definedName>
    <definedName name="Unbrowsed" localSheetId="22">PH!#REF!</definedName>
    <definedName name="Unbrowsed">PH!#REF!</definedName>
    <definedName name="Undercut10" localSheetId="22">FH!#REF!</definedName>
    <definedName name="Undercut10" localSheetId="2">[1]FR!$G$73</definedName>
    <definedName name="Undercut11" localSheetId="22">AM!#REF!</definedName>
    <definedName name="Undercut11" localSheetId="2">[1]AM!$G$54</definedName>
    <definedName name="Undercut2" localSheetId="22">SR!#REF!</definedName>
    <definedName name="Undercut2" localSheetId="2">[1]SR!$G$139</definedName>
    <definedName name="Undercut9" localSheetId="22">#REF!</definedName>
    <definedName name="Undercut9" localSheetId="2">[1]FA!$G$64</definedName>
    <definedName name="UndevOpenL100">OF!#REF!</definedName>
    <definedName name="UndevOpenL1k">OF!$E$40</definedName>
    <definedName name="UndevOpenL5k" localSheetId="22">OF!#REF!</definedName>
    <definedName name="UndevOpenL5k">OF!#REF!</definedName>
    <definedName name="Unif1" localSheetId="22">WS!#REF!</definedName>
    <definedName name="Unif1" localSheetId="2">[1]WS!#REF!</definedName>
    <definedName name="Unif11" localSheetId="22">AM!#REF!</definedName>
    <definedName name="Unif11" localSheetId="2">[1]AM!#REF!</definedName>
    <definedName name="UniPatch8" localSheetId="22">INV!#REF!</definedName>
    <definedName name="UniPatch8">INV!#REF!</definedName>
    <definedName name="UniqClass">OF!$E$41</definedName>
    <definedName name="UniqFenMarshSwamp">OF!$E$43</definedName>
    <definedName name="UniqMarshShallowOW">OF!$E$42</definedName>
    <definedName name="UniqPatch" localSheetId="22">#REF!</definedName>
    <definedName name="UniqPatch">#REF!</definedName>
    <definedName name="UniqPatch11" localSheetId="22">AM!#REF!</definedName>
    <definedName name="UniqPatch11" localSheetId="2">[1]AM!$G$228</definedName>
    <definedName name="UniqPatch12" localSheetId="22">#REF!</definedName>
    <definedName name="UniqPatch12">#REF!</definedName>
    <definedName name="UniqPatch12a" localSheetId="22">#REF!</definedName>
    <definedName name="UniqPatch12a">#REF!</definedName>
    <definedName name="UniqPatch13" localSheetId="22">FIRE!#REF!</definedName>
    <definedName name="UniqPatch13">WB!#REF!</definedName>
    <definedName name="UniqPatch14" localSheetId="22">SBRM!#REF!</definedName>
    <definedName name="UniqPatch14">SBRM!#REF!</definedName>
    <definedName name="UniqPatchPD" localSheetId="22">PH!#REF!</definedName>
    <definedName name="UniqPatchPD" localSheetId="2">[1]PD!$G$174</definedName>
    <definedName name="UniqVegF" localSheetId="22">#REF!</definedName>
    <definedName name="UniqVegF">#REF!</definedName>
    <definedName name="UniqWet" localSheetId="22">OF!#REF!</definedName>
    <definedName name="UniqWet">OF!#REF!</definedName>
    <definedName name="UniqWet_S" localSheetId="22">#REF!</definedName>
    <definedName name="UniqWet_S">#REF!</definedName>
    <definedName name="UniqWet10" localSheetId="22">AM!#REF!</definedName>
    <definedName name="UniqWet10">AM!#REF!</definedName>
    <definedName name="UniqWet13" localSheetId="22">FIRE!#REF!</definedName>
    <definedName name="UniqWet13">WB!#REF!</definedName>
    <definedName name="UniqWet14" localSheetId="22">SBRM!#REF!</definedName>
    <definedName name="UniqWet14">SBRM!#REF!</definedName>
    <definedName name="Unprotec" localSheetId="22">#REF!</definedName>
    <definedName name="Unprotec">#REF!</definedName>
    <definedName name="UpEdge_S" localSheetId="22">#REF!</definedName>
    <definedName name="UpEdge_S">#REF!</definedName>
    <definedName name="UpEdge14" localSheetId="22">SBRM!#REF!</definedName>
    <definedName name="UpEdge14" localSheetId="2">[1]SBM!$G$62</definedName>
    <definedName name="UpEdgeShape4" localSheetId="22">NR!#REF!</definedName>
    <definedName name="UpEdgeShape4" localSheetId="2">[1]NR!$G$80</definedName>
    <definedName name="UpErodible" localSheetId="22">#REF!</definedName>
    <definedName name="UpErodible" localSheetId="2">#REF!</definedName>
    <definedName name="UpEutro1k">OF!$E$38</definedName>
    <definedName name="UpExceed2" localSheetId="22">SR!#REF!</definedName>
    <definedName name="UpExceed2">SR!#REF!</definedName>
    <definedName name="UpExceedDist" localSheetId="22">#REF!</definedName>
    <definedName name="UpExceedDist" localSheetId="2">#REF!</definedName>
    <definedName name="UpNitrate" localSheetId="22">#REF!</definedName>
    <definedName name="UpNitrate" localSheetId="2">#REF!</definedName>
    <definedName name="UpPhos" localSheetId="22">#REF!</definedName>
    <definedName name="UpPhos" localSheetId="2">#REF!</definedName>
    <definedName name="UpPollute" localSheetId="22">#REF!</definedName>
    <definedName name="UpPollute" localSheetId="2">#REF!</definedName>
    <definedName name="UpRip1k" localSheetId="22">OF!#REF!</definedName>
    <definedName name="UpRip1k">OF!#REF!</definedName>
    <definedName name="UpRip5k" localSheetId="22">OF!#REF!</definedName>
    <definedName name="UpRip5k">OF!#REF!</definedName>
    <definedName name="UpStorage" localSheetId="22">#REF!</definedName>
    <definedName name="UpStorage" localSheetId="2">#REF!</definedName>
    <definedName name="UpStore1" localSheetId="22">WS!#REF!</definedName>
    <definedName name="UpStore1" localSheetId="2">[1]WS!$G$88</definedName>
    <definedName name="UpStore3" localSheetId="22">PR!#REF!</definedName>
    <definedName name="UpStore3" localSheetId="2">[1]PR!$G$120</definedName>
    <definedName name="UpStore4" localSheetId="22">NR!#REF!</definedName>
    <definedName name="UpStore4" localSheetId="2">[1]NR!$G$120</definedName>
    <definedName name="UpStoreSS" localSheetId="22">SR!#REF!</definedName>
    <definedName name="UpStoreSS" localSheetId="2">[1]SR!$G$94</definedName>
    <definedName name="UpThermo" localSheetId="22">#REF!</definedName>
    <definedName name="UpThermo" localSheetId="2">#REF!</definedName>
    <definedName name="UpTransport" localSheetId="22">#REF!</definedName>
    <definedName name="UpTransport" localSheetId="2">#REF!</definedName>
    <definedName name="UpTurbid" localSheetId="22">#REF!</definedName>
    <definedName name="UpTurbid" localSheetId="2">#REF!</definedName>
    <definedName name="UpWQdis2" localSheetId="22">SR!#REF!</definedName>
    <definedName name="UpWQdis2" localSheetId="2">[1]SR!#REF!</definedName>
    <definedName name="Use1a">HU!$G$71</definedName>
    <definedName name="Use1b" localSheetId="22">HU!#REF!</definedName>
    <definedName name="Use1b">HU!#REF!</definedName>
    <definedName name="VegClear" localSheetId="22">#REF!</definedName>
    <definedName name="VegClear" localSheetId="2">[1]STR!$G$9</definedName>
    <definedName name="VegCon1k">OF!#REF!</definedName>
    <definedName name="VegGap11" localSheetId="22">AM!#REF!</definedName>
    <definedName name="VegGap11" localSheetId="2">[1]AM!#REF!</definedName>
    <definedName name="VegGap14" localSheetId="22">SBRM!#REF!</definedName>
    <definedName name="VegGap14" localSheetId="2">[1]SBM!$G$54</definedName>
    <definedName name="VegGaps8" localSheetId="22">INV!#REF!</definedName>
    <definedName name="VegGaps8" localSheetId="2">[1]INV!$G$100</definedName>
    <definedName name="VegIntersp8">INV!$G$31</definedName>
    <definedName name="VegWabs3" localSheetId="2">[1]PR!$G$67</definedName>
    <definedName name="VegWabs3">PR!$G$64</definedName>
    <definedName name="VegWrel3" localSheetId="22">PR!#REF!</definedName>
    <definedName name="VegWrel3" localSheetId="2">[1]PR!$G$147</definedName>
    <definedName name="Visib12" localSheetId="22">#REF!</definedName>
    <definedName name="Visib12">#REF!</definedName>
    <definedName name="Visibility" localSheetId="2">[1]PU!$G$2</definedName>
    <definedName name="Visibility">HU!$G$20</definedName>
    <definedName name="VisibWet" localSheetId="22">#REF!</definedName>
    <definedName name="VisibWet">#REF!</definedName>
    <definedName name="Vremove6" localSheetId="22">OE!#REF!</definedName>
    <definedName name="Vremove6" localSheetId="2">[1]OE!$G$116</definedName>
    <definedName name="Vscape1a">PH!$G$188</definedName>
    <definedName name="Vscape1b" localSheetId="22">PH!#REF!</definedName>
    <definedName name="Vscape1b">PH!#REF!</definedName>
    <definedName name="VscoreSRM" localSheetId="22">SBRM!#REF!</definedName>
    <definedName name="VscoreSRM">SBRM!#REF!</definedName>
    <definedName name="VscoreWBF" localSheetId="22">#REF!</definedName>
    <definedName name="VscoreWBF">#REF!</definedName>
    <definedName name="VscoreWBN" localSheetId="22">FIRE!#REF!</definedName>
    <definedName name="VscoreWBN">WB!#REF!</definedName>
    <definedName name="Vspace1a">PH!$G$185</definedName>
    <definedName name="Vspace1b">PH!#REF!</definedName>
    <definedName name="Vstruc1a">PH!$G$179</definedName>
    <definedName name="Vstruc1b">PH!#REF!</definedName>
    <definedName name="vwidth0" localSheetId="22">#REF!</definedName>
    <definedName name="vwidth0">#REF!</definedName>
    <definedName name="Vwidth1">WS!$G$63</definedName>
    <definedName name="Vwidth11">AM!$G$74</definedName>
    <definedName name="Vwidth14">SBRM!$G$106</definedName>
    <definedName name="VwidthAbs_S" localSheetId="22">#REF!</definedName>
    <definedName name="VwidthAbs_S" localSheetId="2">[1]Sen!$G$40</definedName>
    <definedName name="VwidthAbs13" localSheetId="22">FIRE!#REF!</definedName>
    <definedName name="VwidthAbs13" localSheetId="2">[1]WBN!$G$56</definedName>
    <definedName name="VwidthAbs13">WB!$G$97</definedName>
    <definedName name="VwidthAbs4" localSheetId="2">[1]NR!$G$63</definedName>
    <definedName name="VwidthAbs4">NR!$G$90</definedName>
    <definedName name="VwidthAbs5" localSheetId="22">#REF!</definedName>
    <definedName name="VwidthAbs5" localSheetId="2">[1]CS!$G$75</definedName>
    <definedName name="VwidthAbs6" localSheetId="2">[1]OE!$G$72</definedName>
    <definedName name="VwidthAbs6">OE!$G$77</definedName>
    <definedName name="VwidthRel_S" localSheetId="22">#REF!</definedName>
    <definedName name="VwidthRel_S" localSheetId="2">[1]Sen!$G$37</definedName>
    <definedName name="VwidthRel4" localSheetId="22">NR!#REF!</definedName>
    <definedName name="VwidthRel4" localSheetId="2">[1]NR!$G$148</definedName>
    <definedName name="VwidthRel5" localSheetId="22">#REF!</definedName>
    <definedName name="VwidthRel5" localSheetId="2">[1]CS!$G$72</definedName>
    <definedName name="VwidthRel6" localSheetId="22">OE!#REF!</definedName>
    <definedName name="VwidthRel6" localSheetId="2">[1]OE!$G$69</definedName>
    <definedName name="WarmInflo7" localSheetId="22">WC!#REF!</definedName>
    <definedName name="WarmInflo7">WC!#REF!</definedName>
    <definedName name="Warmth1" localSheetId="22">WS!#REF!</definedName>
    <definedName name="Warmth1">WS!#REF!</definedName>
    <definedName name="warmth10" localSheetId="22">FH!#REF!</definedName>
    <definedName name="warmth10">FH!#REF!</definedName>
    <definedName name="warmth12" localSheetId="22">#REF!</definedName>
    <definedName name="warmth12">#REF!</definedName>
    <definedName name="Warmth2" localSheetId="22">SR!#REF!</definedName>
    <definedName name="Warmth2">SR!#REF!</definedName>
    <definedName name="Warmth3" localSheetId="22">PR!#REF!</definedName>
    <definedName name="Warmth3">PR!#REF!</definedName>
    <definedName name="Warmth4" localSheetId="22">NR!#REF!</definedName>
    <definedName name="Warmth4">NR!#REF!</definedName>
    <definedName name="Warmth5" localSheetId="22">#REF!</definedName>
    <definedName name="Warmth5">#REF!</definedName>
    <definedName name="Warmth6" localSheetId="22">OE!#REF!</definedName>
    <definedName name="Warmth6">OE!#REF!</definedName>
    <definedName name="Warmth7" localSheetId="22">WC!#REF!</definedName>
    <definedName name="Warmth7">WC!#REF!</definedName>
    <definedName name="warmth8" localSheetId="22">INV!#REF!</definedName>
    <definedName name="warmth8">INV!#REF!</definedName>
    <definedName name="WatEdgeSlope2">SR!$G$54</definedName>
    <definedName name="Water0" localSheetId="22">#REF!</definedName>
    <definedName name="Water0">#REF!</definedName>
    <definedName name="Water10">FH!$D$14</definedName>
    <definedName name="Water11">AM!$D$48</definedName>
    <definedName name="Water12" localSheetId="22">#REF!</definedName>
    <definedName name="Water12">#REF!</definedName>
    <definedName name="Water13" localSheetId="22">FIRE!#REF!</definedName>
    <definedName name="Water13">WB!$D$53</definedName>
    <definedName name="Water14">SBRM!$D$86</definedName>
    <definedName name="Water15">PH!#REF!</definedName>
    <definedName name="Water1a">FH!$G$119</definedName>
    <definedName name="Water1b" localSheetId="22">FH!#REF!</definedName>
    <definedName name="Water1b">FH!#REF!</definedName>
    <definedName name="Water2" localSheetId="22">SFS!#REF!</definedName>
    <definedName name="Water2">SFS!#REF!</definedName>
    <definedName name="Water2a" localSheetId="22">SR!#REF!</definedName>
    <definedName name="Water2a">SR!#REF!</definedName>
    <definedName name="Water3">PR!$D$31</definedName>
    <definedName name="Water4">NR!$D$52</definedName>
    <definedName name="Water7">WC!$D$15</definedName>
    <definedName name="Water7w" localSheetId="22">#REF!</definedName>
    <definedName name="Water7w">#REF!</definedName>
    <definedName name="Water8">INV!$D$60</definedName>
    <definedName name="Water9" localSheetId="22">#REF!</definedName>
    <definedName name="Water9">#REF!</definedName>
    <definedName name="WaterI1a">INV!$G$155</definedName>
    <definedName name="WaterI1b" localSheetId="22">INV!#REF!</definedName>
    <definedName name="WaterI1b">INV!#REF!</definedName>
    <definedName name="Waterscape11" localSheetId="22">AM!#REF!</definedName>
    <definedName name="Waterscape11">AM!#REF!</definedName>
    <definedName name="WatProb">OF!#REF!</definedName>
    <definedName name="WatProbVar" localSheetId="22">OF!#REF!</definedName>
    <definedName name="WatProbVar">OF!#REF!</definedName>
    <definedName name="Wave2" localSheetId="22">SR!#REF!</definedName>
    <definedName name="Wave2" localSheetId="2">[1]SR!$G$146</definedName>
    <definedName name="Waves" localSheetId="22">#REF!</definedName>
    <definedName name="Waves" localSheetId="2">[1]STR!$G$15</definedName>
    <definedName name="Waves15" localSheetId="22">PH!#REF!</definedName>
    <definedName name="Waves15" localSheetId="2">[1]PD!$G$105</definedName>
    <definedName name="WBFscore10" localSheetId="22">AM!#REF!</definedName>
    <definedName name="WBFscore10">AM!#REF!</definedName>
    <definedName name="WBFscores" localSheetId="2">[1]FR!$D$112</definedName>
    <definedName name="WBFsiteS" localSheetId="22">#REF!</definedName>
    <definedName name="WBFsiteS">#REF!</definedName>
    <definedName name="WbirdF" localSheetId="22">INV!#REF!</definedName>
    <definedName name="WbirdF" localSheetId="2">[1]INV!$G$162</definedName>
    <definedName name="WbirdFeed" localSheetId="22">#REF!</definedName>
    <definedName name="WbirdFeed" localSheetId="2">[1]FA!$G$124</definedName>
    <definedName name="WbirdNest" localSheetId="2">[1]INV!$G$163</definedName>
    <definedName name="WbirdScore10" localSheetId="22">FH!#REF!</definedName>
    <definedName name="WbirdScore10">FH!#REF!</definedName>
    <definedName name="WbirdScore8" localSheetId="22">INV!#REF!</definedName>
    <definedName name="WbirdScore8">INV!#REF!</definedName>
    <definedName name="WBN4a" localSheetId="22">FIRE!#REF!</definedName>
    <definedName name="WBN4a">WB!#REF!</definedName>
    <definedName name="WBscore" localSheetId="22">FIRE!#REF!</definedName>
    <definedName name="WBscore">WB!#REF!</definedName>
    <definedName name="WBstaging">OF!#REF!</definedName>
    <definedName name="WclassDom7">WC!$G$8</definedName>
    <definedName name="WclassSub7" localSheetId="22">WC!#REF!</definedName>
    <definedName name="WclassSub7">WC!#REF!</definedName>
    <definedName name="WeedSource" localSheetId="22">#REF!</definedName>
    <definedName name="WeedSource" localSheetId="2">[1]STR!$G$35</definedName>
    <definedName name="WeedSourcePD" localSheetId="2">[1]PD!$G$130</definedName>
    <definedName name="WeedSourcePD">PH!$G$91</definedName>
    <definedName name="Wells21">HU!$G$57</definedName>
    <definedName name="WellWater" localSheetId="22">#REF!</definedName>
    <definedName name="WellWater" localSheetId="2">#REF!</definedName>
    <definedName name="Wet1a">HU!$G$74</definedName>
    <definedName name="Wet1b">HU!$G$75</definedName>
    <definedName name="WetArea">OF!$E$44</definedName>
    <definedName name="WetClass">OF!$E$11</definedName>
    <definedName name="WetDens1k">OF!$E$45</definedName>
    <definedName name="WetDens1k_NoBog">OF!$E$46</definedName>
    <definedName name="WetDens1k_NoVeg">OF!$E$10</definedName>
    <definedName name="WetDens1k_OW">OF!$E$47</definedName>
    <definedName name="WetDens5k" localSheetId="22">OF!#REF!</definedName>
    <definedName name="WetDens5k">OF!#REF!</definedName>
    <definedName name="WetDens5k_NoBog" localSheetId="22">OF!#REF!</definedName>
    <definedName name="WetDens5k_NoBog">OF!#REF!</definedName>
    <definedName name="WetDens5k_NoVeg" localSheetId="22">OF!#REF!</definedName>
    <definedName name="WetDens5k_NoVeg">OF!#REF!</definedName>
    <definedName name="WetDens5k_OW" localSheetId="22">OF!#REF!</definedName>
    <definedName name="WetDens5k_OW">OF!#REF!</definedName>
    <definedName name="WetDistrib13" localSheetId="22">FIRE!#REF!</definedName>
    <definedName name="WetDistrib13" localSheetId="2">[1]WBN!#REF!</definedName>
    <definedName name="WetDivers" localSheetId="22">OF!#REF!</definedName>
    <definedName name="WetDivers">OF!#REF!</definedName>
    <definedName name="WetDivers14" localSheetId="22">SBRM!#REF!</definedName>
    <definedName name="WetDivers14">SBRM!#REF!</definedName>
    <definedName name="WetDivers15" localSheetId="22">PH!#REF!</definedName>
    <definedName name="WetDivers15">PH!#REF!</definedName>
    <definedName name="WetDiversB11" localSheetId="22">AM!#REF!</definedName>
    <definedName name="WetDiversB11">AM!#REF!</definedName>
    <definedName name="WetDiversB13" localSheetId="22">FIRE!#REF!</definedName>
    <definedName name="WetDiversB13">WB!#REF!</definedName>
    <definedName name="WetIntercept" localSheetId="22">SR!#REF!</definedName>
    <definedName name="WetIntercept">SR!#REF!</definedName>
    <definedName name="WetMnArea1k_NoBog">OF!$E$8</definedName>
    <definedName name="WetMnArea1k_OW" localSheetId="22">OF!#REF!</definedName>
    <definedName name="WetMnArea1k_OW">OF!#REF!</definedName>
    <definedName name="WetMnArea5k_NoVeg" localSheetId="22">OF!#REF!</definedName>
    <definedName name="WetMnArea5k_NoVeg">OF!#REF!</definedName>
    <definedName name="WetMnArea5k_OW" localSheetId="22">OF!#REF!</definedName>
    <definedName name="WetMnArea5k_OW">OF!#REF!</definedName>
    <definedName name="WetPct0" localSheetId="22">#REF!</definedName>
    <definedName name="WetPct0">#REF!</definedName>
    <definedName name="WetPctCA">WS!#REF!</definedName>
    <definedName name="WetPctCA1">WS!$G$100</definedName>
    <definedName name="WetPctCA2">SR!$G$90</definedName>
    <definedName name="WetPctCA3">PR!$G$103</definedName>
    <definedName name="WetPctCA4">NR!#REF!</definedName>
    <definedName name="WetPctHUC8">OF!$E$48</definedName>
    <definedName name="WetPctOfCA" localSheetId="22">OF!#REF!</definedName>
    <definedName name="WetPctOfCA">OF!#REF!</definedName>
    <definedName name="WetPerim2Area">OF!$E$49</definedName>
    <definedName name="WetScapes" localSheetId="22">OF!#REF!</definedName>
    <definedName name="WetScapes">OF!#REF!</definedName>
    <definedName name="Wetscapes_S" localSheetId="22">#REF!</definedName>
    <definedName name="Wetscapes_S">#REF!</definedName>
    <definedName name="Wetscapes10v" localSheetId="22">AM!#REF!</definedName>
    <definedName name="Wetscapes10v">AM!#REF!</definedName>
    <definedName name="WetScapes11" localSheetId="22">AM!#REF!</definedName>
    <definedName name="WetScapes11">AM!#REF!</definedName>
    <definedName name="WetScapes14" localSheetId="22">SBRM!#REF!</definedName>
    <definedName name="WetScapes14">SBRM!#REF!</definedName>
    <definedName name="Wetscapes15" localSheetId="22">PH!#REF!</definedName>
    <definedName name="Wetscapes15">PH!#REF!</definedName>
    <definedName name="WetScapes8" localSheetId="22">INV!#REF!</definedName>
    <definedName name="WetScapes8">INV!#REF!</definedName>
    <definedName name="WetScapesA11" localSheetId="22">FIRE!#REF!</definedName>
    <definedName name="WetScapesA11">WB!#REF!</definedName>
    <definedName name="WetScapesA13" localSheetId="22">FIRE!#REF!</definedName>
    <definedName name="WetScapesA13">WB!#REF!</definedName>
    <definedName name="WetscapesA13v" localSheetId="22">FIRE!#REF!</definedName>
    <definedName name="WetscapesA13v">WB!#REF!</definedName>
    <definedName name="WetscapesA14v" localSheetId="22">SBRM!#REF!</definedName>
    <definedName name="WetscapesA14v">SBRM!#REF!</definedName>
    <definedName name="WetscapesB" localSheetId="22">OF!#REF!</definedName>
    <definedName name="WetscapesB">OF!#REF!</definedName>
    <definedName name="WetSizePU" localSheetId="22">HU!#REF!</definedName>
    <definedName name="WetSizePU">HU!#REF!</definedName>
    <definedName name="Wetter" localSheetId="22">#REF!</definedName>
    <definedName name="Wetter" localSheetId="2">[1]STR!$G$2</definedName>
    <definedName name="wetter1" localSheetId="22">WS!#REF!</definedName>
    <definedName name="wetter1">WS!#REF!</definedName>
    <definedName name="Wetter5" localSheetId="22">#REF!</definedName>
    <definedName name="Wetter5">#REF!</definedName>
    <definedName name="WetterEx" localSheetId="22">#REF!</definedName>
    <definedName name="WetterEx">#REF!</definedName>
    <definedName name="Wettype10" localSheetId="22">FH!#REF!</definedName>
    <definedName name="Wettype10">FH!#REF!</definedName>
    <definedName name="Wettype11" localSheetId="22">AM!#REF!</definedName>
    <definedName name="Wettype11">AM!$G$18</definedName>
    <definedName name="Wettype12" localSheetId="22">#REF!</definedName>
    <definedName name="Wettype12">#REF!</definedName>
    <definedName name="Wettype13" localSheetId="22">FIRE!#REF!</definedName>
    <definedName name="Wettype13">WB!$G$15</definedName>
    <definedName name="Wettype14">SBRM!$G$23</definedName>
    <definedName name="Wettype2">SFS!$G$13</definedName>
    <definedName name="Wettype3">PR!$G$8</definedName>
    <definedName name="Wettype4">NR!$G$11</definedName>
    <definedName name="Wettype5" localSheetId="22">#REF!</definedName>
    <definedName name="Wettype5">#REF!</definedName>
    <definedName name="Wettype6">OE!$G$7</definedName>
    <definedName name="Wettype8">INV!$G$11</definedName>
    <definedName name="Wettype9" localSheetId="22">#REF!</definedName>
    <definedName name="Wettype9">#REF!</definedName>
    <definedName name="WettypePD">PH!#REF!</definedName>
    <definedName name="WettypeS" localSheetId="22">#REF!</definedName>
    <definedName name="WettypeS">#REF!</definedName>
    <definedName name="wetuniq" localSheetId="22">#REF!</definedName>
    <definedName name="wetuniq" localSheetId="2">[1]POL!$G$118</definedName>
    <definedName name="wetuniq0" localSheetId="22">#REF!</definedName>
    <definedName name="wetuniq0">#REF!</definedName>
    <definedName name="WetUniq14" localSheetId="22">SBRM!#REF!</definedName>
    <definedName name="WetUniq14">SBRM!#REF!</definedName>
    <definedName name="WetVegArea">OF!$E$50</definedName>
    <definedName name="WetVegPct">OF!$E$6</definedName>
    <definedName name="WetWooded">OF!$E$51</definedName>
    <definedName name="WidthAbs2" localSheetId="2">[1]SR!$G$50</definedName>
    <definedName name="WidthAbs2">SR!$G$48</definedName>
    <definedName name="WidthPD">PH!$G$122</definedName>
    <definedName name="WidthRel2" localSheetId="22">SR!#REF!</definedName>
    <definedName name="WidthRel2" localSheetId="2">[1]SR!$G$136</definedName>
    <definedName name="WindSumm">OF!$E$52</definedName>
    <definedName name="WindWin">OF!#REF!</definedName>
    <definedName name="wood1pd" localSheetId="22">PH!#REF!</definedName>
    <definedName name="wood1pd" localSheetId="2">[1]PD!$G$74</definedName>
    <definedName name="wood2pd" localSheetId="2">[1]PD!$G$80</definedName>
    <definedName name="wood2pd">PH!$G$47</definedName>
    <definedName name="WoodAbove10" localSheetId="2">[1]FR!$G$79</definedName>
    <definedName name="WoodAbove10">FH!$G$63</definedName>
    <definedName name="WoodAbove11" localSheetId="2">[1]AM!$G$67</definedName>
    <definedName name="WoodAbove11">AM!$G$85</definedName>
    <definedName name="WoodAbove12" localSheetId="22">#REF!</definedName>
    <definedName name="WoodAbove12" localSheetId="2">[1]WBF!#REF!</definedName>
    <definedName name="WoodAbove14" localSheetId="22">SBRM!#REF!</definedName>
    <definedName name="WoodAbove14" localSheetId="2">[1]SBM!$G$22</definedName>
    <definedName name="WoodAbove9" localSheetId="22">#REF!</definedName>
    <definedName name="WoodAbove9" localSheetId="2">[1]FA!$G$76</definedName>
    <definedName name="WoodCov8" localSheetId="22">INV!#REF!</definedName>
    <definedName name="WoodCov8">INV!#REF!</definedName>
    <definedName name="WoodDown11" localSheetId="2">[1]AM!$G$101</definedName>
    <definedName name="WoodDown11">AM!$G$41</definedName>
    <definedName name="WoodDown14" localSheetId="2">[1]SBM!$G$69</definedName>
    <definedName name="WoodDown14">SBRM!$G$57</definedName>
    <definedName name="WoodDown8" localSheetId="2">[1]INV!$G$108</definedName>
    <definedName name="WoodDown8">INV!$G$38</definedName>
    <definedName name="WoodPatch" localSheetId="22">OF!#REF!</definedName>
    <definedName name="WoodPatch">OF!#REF!</definedName>
    <definedName name="WoodPatch11" localSheetId="22">AM!#REF!</definedName>
    <definedName name="WoodPatch11">AM!#REF!</definedName>
    <definedName name="WoodPatch14" localSheetId="22">SBRM!#REF!</definedName>
    <definedName name="WoodPatch14">SBRM!#REF!</definedName>
    <definedName name="WoodPatchPD" localSheetId="22">PH!#REF!</definedName>
    <definedName name="WoodPatchPD">PH!#REF!</definedName>
    <definedName name="WoodPatt14">SBRM!$G$52</definedName>
    <definedName name="WoodsUndev" localSheetId="22">OF!#REF!</definedName>
    <definedName name="WoodsUndev">OF!#REF!</definedName>
    <definedName name="WoodsUndev15" localSheetId="22">PH!#REF!</definedName>
    <definedName name="WoodsUndev15">PH!#REF!</definedName>
    <definedName name="WoodsUndevA" localSheetId="22">OF!#REF!</definedName>
    <definedName name="WoodsUndevA">OF!#REF!</definedName>
    <definedName name="WoodsUndevA14" localSheetId="22">SBRM!#REF!</definedName>
    <definedName name="WoodsUndevA14">SBRM!#REF!</definedName>
    <definedName name="WoodsUndevB" localSheetId="22">OF!#REF!</definedName>
    <definedName name="WoodsUndevB">OF!#REF!</definedName>
    <definedName name="WoodsUndevS" localSheetId="22">#REF!</definedName>
    <definedName name="WoodsUndevS">#REF!</definedName>
    <definedName name="WoodType6">OE!$G$14</definedName>
    <definedName name="WoodTypes_S" localSheetId="22">#REF!</definedName>
    <definedName name="WoodTypes_S" localSheetId="2">[1]Sen!#REF!</definedName>
    <definedName name="WoodUndev8" localSheetId="22">INV!#REF!</definedName>
    <definedName name="WoodUndev8">INV!#REF!</definedName>
    <definedName name="WoodUndevA11" localSheetId="22">AM!#REF!</definedName>
    <definedName name="WoodUndevA11">AM!#REF!</definedName>
    <definedName name="WoodWaterEdge7" localSheetId="22">WC!#REF!</definedName>
    <definedName name="WoodWaterEdge7">WC!#REF!</definedName>
    <definedName name="woody">F!$D$35</definedName>
    <definedName name="Woody12" localSheetId="22">#REF!</definedName>
    <definedName name="Woody12">#REF!</definedName>
    <definedName name="Woody13" localSheetId="22">FIRE!#REF!</definedName>
    <definedName name="Woody13">WB!$G$22</definedName>
    <definedName name="Woody14" localSheetId="2">[1]SBM!$G$37</definedName>
    <definedName name="WoodyCovPD">PH!$G$21</definedName>
    <definedName name="woodydbh0" localSheetId="22">#REF!</definedName>
    <definedName name="woodydbh0" localSheetId="2">[1]POL!$G$42</definedName>
    <definedName name="WoodyEdge14" localSheetId="22">SBRM!#REF!</definedName>
    <definedName name="WoodyEdge14" localSheetId="2">[1]SBM!$G$31</definedName>
    <definedName name="woodynn0" localSheetId="22">#REF!</definedName>
    <definedName name="woodynn0" localSheetId="2">[1]POL!$G$36</definedName>
    <definedName name="woodypct0" localSheetId="22">#REF!</definedName>
    <definedName name="woodypct0">#REF!</definedName>
    <definedName name="WoodyPct14" localSheetId="2">[1]SBM!$G$25</definedName>
    <definedName name="WoodyPct14">SBRM!$G$36</definedName>
    <definedName name="WoodyPct2">SFS!#REF!</definedName>
    <definedName name="WoodyPct4">NR!$G$18</definedName>
    <definedName name="WoodyPct5" localSheetId="22">#REF!</definedName>
    <definedName name="WoodyPct5" localSheetId="2">[1]CS!$G$82</definedName>
    <definedName name="WoodyPct8">INV!$G$24</definedName>
    <definedName name="WoodySens2_C" localSheetId="22">#REF!</definedName>
    <definedName name="WoodySens2_C" localSheetId="2">[1]CQ!$G$65</definedName>
    <definedName name="WoodySens2_S" localSheetId="22">#REF!</definedName>
    <definedName name="WoodySens2_S" localSheetId="2">[1]Sen!$G$86</definedName>
    <definedName name="WQdisDown4" localSheetId="22">NR!#REF!</definedName>
    <definedName name="WQdisDown4" localSheetId="2">[1]NR!$G$132</definedName>
    <definedName name="WQdistUp7" localSheetId="22">WC!#REF!</definedName>
    <definedName name="WQdistUp7" localSheetId="2">[1]T!#REF!</definedName>
    <definedName name="WQdown4" localSheetId="22">NR!#REF!</definedName>
    <definedName name="WQdown4">NR!#REF!</definedName>
    <definedName name="WQdown7" localSheetId="22">WC!#REF!</definedName>
    <definedName name="WQdown7">WC!#REF!</definedName>
    <definedName name="WQdownDis" localSheetId="22">#REF!</definedName>
    <definedName name="WQdownDis" localSheetId="2">[1]STR!#REF!</definedName>
    <definedName name="WQdownDis11" localSheetId="22">AM!#REF!</definedName>
    <definedName name="WQdownDis11" localSheetId="2">[1]AM!#REF!</definedName>
    <definedName name="WQdownDis12" localSheetId="22">#REF!</definedName>
    <definedName name="WQdownDis12" localSheetId="2">[1]WBF!#REF!</definedName>
    <definedName name="WQdownDis13" localSheetId="22">FIRE!#REF!</definedName>
    <definedName name="WQdownDis13" localSheetId="2">[1]WBN!#REF!</definedName>
    <definedName name="WQdownDis7" localSheetId="22">WC!#REF!</definedName>
    <definedName name="WQdownDis7" localSheetId="2">[1]T!$G$42</definedName>
    <definedName name="WQdownDis8" localSheetId="22">INV!#REF!</definedName>
    <definedName name="WQdownDis8" localSheetId="2">[1]INV!#REF!</definedName>
    <definedName name="WQdownDis9" localSheetId="22">#REF!</definedName>
    <definedName name="WQdownDis9" localSheetId="2">[1]FA!$G$115</definedName>
    <definedName name="WQin10" localSheetId="22">FH!#REF!</definedName>
    <definedName name="WQin10">FH!#REF!</definedName>
    <definedName name="WQin11" localSheetId="22">AM!#REF!</definedName>
    <definedName name="WQin11">AM!#REF!</definedName>
    <definedName name="WQindex10" localSheetId="22">FH!#REF!</definedName>
    <definedName name="WQindex10">FH!#REF!</definedName>
    <definedName name="WQindex11" localSheetId="22">AM!#REF!</definedName>
    <definedName name="WQindex11">AM!#REF!</definedName>
    <definedName name="WQNdisUp4" localSheetId="22">NR!#REF!</definedName>
    <definedName name="WQNdisUp4" localSheetId="2">[1]NR!#REF!</definedName>
    <definedName name="WQprob10">FH!#REF!</definedName>
    <definedName name="WQprob11">AM!#REF!</definedName>
    <definedName name="WQprob8">INV!#REF!</definedName>
    <definedName name="WQprobDownS" localSheetId="22">#REF!</definedName>
    <definedName name="WQprobDownS" localSheetId="2">[1]STR!#REF!</definedName>
    <definedName name="WQprobUpS" localSheetId="22">#REF!</definedName>
    <definedName name="WQprobUpS" localSheetId="2">[1]STR!$G$62</definedName>
    <definedName name="WQrisk">OF!#REF!</definedName>
    <definedName name="WQrisk3" localSheetId="22">PR!#REF!</definedName>
    <definedName name="WQrisk3">PR!#REF!</definedName>
    <definedName name="WQrisk4" localSheetId="22">NR!#REF!</definedName>
    <definedName name="WQrisk4">NR!#REF!</definedName>
    <definedName name="WQrisk8" localSheetId="22">INV!#REF!</definedName>
    <definedName name="WQrisk8">INV!#REF!</definedName>
    <definedName name="WQriskS" localSheetId="22">#REF!</definedName>
    <definedName name="WQriskS">#REF!</definedName>
    <definedName name="WQstress" localSheetId="22">#REF!</definedName>
    <definedName name="WQstress">#REF!</definedName>
    <definedName name="WQup11" localSheetId="22">AM!#REF!</definedName>
    <definedName name="WQup11" localSheetId="2">[1]AM!$G$220</definedName>
    <definedName name="WQup13" localSheetId="22">FIRE!#REF!</definedName>
    <definedName name="WQup13">WB!#REF!</definedName>
    <definedName name="WQup4" localSheetId="22">NR!#REF!</definedName>
    <definedName name="WQup4">NR!#REF!</definedName>
    <definedName name="WQup7" localSheetId="22">WC!#REF!</definedName>
    <definedName name="WQup7">WC!#REF!</definedName>
    <definedName name="WQup9" localSheetId="22">#REF!</definedName>
    <definedName name="WQup9" localSheetId="2">[1]FA!$G$107</definedName>
    <definedName name="WQupDis" localSheetId="22">#REF!</definedName>
    <definedName name="WQupDis" localSheetId="2">[1]STR!#REF!</definedName>
    <definedName name="WQupDis11" localSheetId="22">AM!#REF!</definedName>
    <definedName name="WQupDis11" localSheetId="2">[1]AM!#REF!</definedName>
    <definedName name="WQupDis12" localSheetId="22">#REF!</definedName>
    <definedName name="WQupDis12" localSheetId="2">[1]WBF!#REF!</definedName>
    <definedName name="WQupDis13" localSheetId="22">FIRE!#REF!</definedName>
    <definedName name="WQupDis13" localSheetId="2">[1]WBN!#REF!</definedName>
    <definedName name="WQupdis8" localSheetId="22">INV!#REF!</definedName>
    <definedName name="WQupdis8" localSheetId="2">[1]INV!#REF!</definedName>
    <definedName name="WQupDis9" localSheetId="22">#REF!</definedName>
    <definedName name="WQupDis9" localSheetId="2">[1]FA!#REF!</definedName>
    <definedName name="Wscape" localSheetId="22">FIRE!#REF!</definedName>
    <definedName name="Wscape">WB!#REF!</definedName>
    <definedName name="Wscape14" localSheetId="22">SBRM!#REF!</definedName>
    <definedName name="Wscape14">SBRM!#REF!</definedName>
    <definedName name="Z_B8E02330_2419_4DE6_AD01_7ACC7A5D18DD_.wvu.Cols" localSheetId="24" hidden="1">Scores!$E:$E,Scores!#REF!</definedName>
    <definedName name="Z_B8E02330_2419_4DE6_AD01_7ACC7A5D18DD_.wvu.PrintArea" localSheetId="0" hidden="1">CoverPg!$B$1:$C$29</definedName>
    <definedName name="Z_B8E02330_2419_4DE6_AD01_7ACC7A5D18DD_.wvu.PrintArea" localSheetId="1" hidden="1">F!$A$2:$D$314</definedName>
    <definedName name="Z_B8E02330_2419_4DE6_AD01_7ACC7A5D18DD_.wvu.PrintArea" localSheetId="3" hidden="1">OF!$B$2:$D$52</definedName>
    <definedName name="Z_B8E02330_2419_4DE6_AD01_7ACC7A5D18DD_.wvu.PrintArea" localSheetId="2" hidden="1">S!$A$2:$F$88</definedName>
    <definedName name="Z_B8E02330_2419_4DE6_AD01_7ACC7A5D18DD_.wvu.PrintArea" localSheetId="24" hidden="1">Scores!$A$1:$G$25</definedName>
  </definedNames>
  <calcPr calcId="145621"/>
  <customWorkbookViews>
    <customWorkbookView name="Paul Adamus - Personal View" guid="{B8E02330-2419-4DE6-AD01-7ACC7A5D18DD}" mergeInterval="0" personalView="1" maximized="1" xWindow="1" yWindow="1" windowWidth="1020" windowHeight="490" tabRatio="1000" activeSheetId="3"/>
  </customWorkbookViews>
</workbook>
</file>

<file path=xl/calcChain.xml><?xml version="1.0" encoding="utf-8"?>
<calcChain xmlns="http://schemas.openxmlformats.org/spreadsheetml/2006/main">
  <c r="C12" i="27" l="1"/>
  <c r="B13" i="23"/>
  <c r="B16" i="21"/>
  <c r="CH88" i="4" l="1"/>
  <c r="CG88" i="4"/>
  <c r="CD88" i="4"/>
  <c r="CC88" i="4"/>
  <c r="BZ88" i="4"/>
  <c r="CI87" i="4"/>
  <c r="CI88" i="4" s="1"/>
  <c r="CH87" i="4"/>
  <c r="CG87" i="4"/>
  <c r="CF87" i="4"/>
  <c r="CF88" i="4" s="1"/>
  <c r="CE87" i="4"/>
  <c r="CE88" i="4" s="1"/>
  <c r="CD87" i="4"/>
  <c r="CC87" i="4"/>
  <c r="CB87" i="4"/>
  <c r="CB88" i="4" s="1"/>
  <c r="CA87" i="4"/>
  <c r="CA88" i="4" s="1"/>
  <c r="BZ87" i="4"/>
  <c r="CH70" i="4"/>
  <c r="CG70" i="4"/>
  <c r="CD70" i="4"/>
  <c r="CC70" i="4"/>
  <c r="BZ70" i="4"/>
  <c r="CI69" i="4"/>
  <c r="CI70" i="4" s="1"/>
  <c r="CH69" i="4"/>
  <c r="CG69" i="4"/>
  <c r="CF69" i="4"/>
  <c r="CF70" i="4" s="1"/>
  <c r="CE69" i="4"/>
  <c r="CE70" i="4" s="1"/>
  <c r="CD69" i="4"/>
  <c r="CC69" i="4"/>
  <c r="CB69" i="4"/>
  <c r="CB70" i="4" s="1"/>
  <c r="CA69" i="4"/>
  <c r="CA70" i="4" s="1"/>
  <c r="BZ69" i="4"/>
  <c r="CH52" i="4"/>
  <c r="CG52" i="4"/>
  <c r="CD52" i="4"/>
  <c r="CC52" i="4"/>
  <c r="BZ52" i="4"/>
  <c r="CI51" i="4"/>
  <c r="CI52" i="4" s="1"/>
  <c r="CH51" i="4"/>
  <c r="CG51" i="4"/>
  <c r="CF51" i="4"/>
  <c r="CF52" i="4" s="1"/>
  <c r="CE51" i="4"/>
  <c r="CE52" i="4" s="1"/>
  <c r="CD51" i="4"/>
  <c r="CC51" i="4"/>
  <c r="CB51" i="4"/>
  <c r="CB52" i="4" s="1"/>
  <c r="CA51" i="4"/>
  <c r="CA52" i="4" s="1"/>
  <c r="BZ51" i="4"/>
  <c r="CH39" i="4"/>
  <c r="CG39" i="4"/>
  <c r="CD39" i="4"/>
  <c r="CC39" i="4"/>
  <c r="BZ39" i="4"/>
  <c r="CI38" i="4"/>
  <c r="CI39" i="4" s="1"/>
  <c r="CH38" i="4"/>
  <c r="CG38" i="4"/>
  <c r="CF38" i="4"/>
  <c r="CF39" i="4" s="1"/>
  <c r="CE38" i="4"/>
  <c r="CE39" i="4" s="1"/>
  <c r="CD38" i="4"/>
  <c r="CC38" i="4"/>
  <c r="CB38" i="4"/>
  <c r="CB39" i="4" s="1"/>
  <c r="CA38" i="4"/>
  <c r="CA39" i="4" s="1"/>
  <c r="BZ38" i="4"/>
  <c r="CH24" i="4"/>
  <c r="CG24" i="4"/>
  <c r="CD24" i="4"/>
  <c r="CC24" i="4"/>
  <c r="BZ24" i="4"/>
  <c r="CI23" i="4"/>
  <c r="CI24" i="4" s="1"/>
  <c r="CH23" i="4"/>
  <c r="CG23" i="4"/>
  <c r="CF23" i="4"/>
  <c r="CF24" i="4" s="1"/>
  <c r="CE23" i="4"/>
  <c r="CE24" i="4" s="1"/>
  <c r="CD23" i="4"/>
  <c r="CC23" i="4"/>
  <c r="CB23" i="4"/>
  <c r="CB24" i="4" s="1"/>
  <c r="CA23" i="4"/>
  <c r="CA24" i="4" s="1"/>
  <c r="BZ23" i="4"/>
  <c r="BX88" i="4"/>
  <c r="BT88" i="4"/>
  <c r="BP88" i="4"/>
  <c r="BY87" i="4"/>
  <c r="BY88" i="4" s="1"/>
  <c r="BX87" i="4"/>
  <c r="BW87" i="4"/>
  <c r="BW88" i="4" s="1"/>
  <c r="BV87" i="4"/>
  <c r="BV88" i="4" s="1"/>
  <c r="BU87" i="4"/>
  <c r="BU88" i="4" s="1"/>
  <c r="BT87" i="4"/>
  <c r="BS87" i="4"/>
  <c r="BS88" i="4" s="1"/>
  <c r="BR87" i="4"/>
  <c r="BR88" i="4" s="1"/>
  <c r="BQ87" i="4"/>
  <c r="BQ88" i="4" s="1"/>
  <c r="BP87" i="4"/>
  <c r="BX70" i="4"/>
  <c r="BW70" i="4"/>
  <c r="BT70" i="4"/>
  <c r="BS70" i="4"/>
  <c r="BP70" i="4"/>
  <c r="BY69" i="4"/>
  <c r="BY70" i="4" s="1"/>
  <c r="BX69" i="4"/>
  <c r="BW69" i="4"/>
  <c r="BV69" i="4"/>
  <c r="BV70" i="4" s="1"/>
  <c r="BU69" i="4"/>
  <c r="BU70" i="4" s="1"/>
  <c r="BT69" i="4"/>
  <c r="BS69" i="4"/>
  <c r="BR69" i="4"/>
  <c r="BR70" i="4" s="1"/>
  <c r="BQ69" i="4"/>
  <c r="BQ70" i="4" s="1"/>
  <c r="BP69" i="4"/>
  <c r="BX52" i="4"/>
  <c r="BW52" i="4"/>
  <c r="BT52" i="4"/>
  <c r="BS52" i="4"/>
  <c r="BP52" i="4"/>
  <c r="BY51" i="4"/>
  <c r="BY52" i="4" s="1"/>
  <c r="BX51" i="4"/>
  <c r="BW51" i="4"/>
  <c r="BV51" i="4"/>
  <c r="BV52" i="4" s="1"/>
  <c r="BU51" i="4"/>
  <c r="BU52" i="4" s="1"/>
  <c r="BT51" i="4"/>
  <c r="BS51" i="4"/>
  <c r="BR51" i="4"/>
  <c r="BR52" i="4" s="1"/>
  <c r="BQ51" i="4"/>
  <c r="BQ52" i="4" s="1"/>
  <c r="BP51" i="4"/>
  <c r="BX39" i="4"/>
  <c r="BW39" i="4"/>
  <c r="BT39" i="4"/>
  <c r="BS39" i="4"/>
  <c r="BP39" i="4"/>
  <c r="BY38" i="4"/>
  <c r="BY39" i="4" s="1"/>
  <c r="BX38" i="4"/>
  <c r="BW38" i="4"/>
  <c r="BV38" i="4"/>
  <c r="BV39" i="4" s="1"/>
  <c r="BU38" i="4"/>
  <c r="BU39" i="4" s="1"/>
  <c r="BT38" i="4"/>
  <c r="BS38" i="4"/>
  <c r="BR38" i="4"/>
  <c r="BR39" i="4" s="1"/>
  <c r="BQ38" i="4"/>
  <c r="BQ39" i="4" s="1"/>
  <c r="BP38" i="4"/>
  <c r="BX24" i="4"/>
  <c r="BW24" i="4"/>
  <c r="BT24" i="4"/>
  <c r="BS24" i="4"/>
  <c r="BP24" i="4"/>
  <c r="BY23" i="4"/>
  <c r="BY24" i="4" s="1"/>
  <c r="BX23" i="4"/>
  <c r="BW23" i="4"/>
  <c r="BV23" i="4"/>
  <c r="BV24" i="4" s="1"/>
  <c r="BU23" i="4"/>
  <c r="BU24" i="4" s="1"/>
  <c r="BT23" i="4"/>
  <c r="BS23" i="4"/>
  <c r="BR23" i="4"/>
  <c r="BR24" i="4" s="1"/>
  <c r="BQ23" i="4"/>
  <c r="BQ24" i="4" s="1"/>
  <c r="BP23" i="4"/>
  <c r="BN88" i="4"/>
  <c r="BM88" i="4"/>
  <c r="BJ88" i="4"/>
  <c r="BI88" i="4"/>
  <c r="BF88" i="4"/>
  <c r="BO87" i="4"/>
  <c r="BO88" i="4" s="1"/>
  <c r="BN87" i="4"/>
  <c r="BM87" i="4"/>
  <c r="BL87" i="4"/>
  <c r="BL88" i="4" s="1"/>
  <c r="BK87" i="4"/>
  <c r="BK88" i="4" s="1"/>
  <c r="BJ87" i="4"/>
  <c r="BI87" i="4"/>
  <c r="BH87" i="4"/>
  <c r="BH88" i="4" s="1"/>
  <c r="BG87" i="4"/>
  <c r="BG88" i="4" s="1"/>
  <c r="BF87" i="4"/>
  <c r="BN70" i="4"/>
  <c r="BM70" i="4"/>
  <c r="BJ70" i="4"/>
  <c r="BI70" i="4"/>
  <c r="BF70" i="4"/>
  <c r="BO69" i="4"/>
  <c r="BO70" i="4" s="1"/>
  <c r="BN69" i="4"/>
  <c r="BM69" i="4"/>
  <c r="BL69" i="4"/>
  <c r="BL70" i="4" s="1"/>
  <c r="BK69" i="4"/>
  <c r="BK70" i="4" s="1"/>
  <c r="BJ69" i="4"/>
  <c r="BI69" i="4"/>
  <c r="BH69" i="4"/>
  <c r="BH70" i="4" s="1"/>
  <c r="BG69" i="4"/>
  <c r="BG70" i="4" s="1"/>
  <c r="BF69" i="4"/>
  <c r="BN52" i="4"/>
  <c r="BM52" i="4"/>
  <c r="BJ52" i="4"/>
  <c r="BI52" i="4"/>
  <c r="BF52" i="4"/>
  <c r="BO51" i="4"/>
  <c r="BO52" i="4" s="1"/>
  <c r="BN51" i="4"/>
  <c r="BM51" i="4"/>
  <c r="BL51" i="4"/>
  <c r="BL52" i="4" s="1"/>
  <c r="BK51" i="4"/>
  <c r="BK52" i="4" s="1"/>
  <c r="BJ51" i="4"/>
  <c r="BI51" i="4"/>
  <c r="BH51" i="4"/>
  <c r="BH52" i="4" s="1"/>
  <c r="BG51" i="4"/>
  <c r="BG52" i="4" s="1"/>
  <c r="BF51" i="4"/>
  <c r="BN39" i="4"/>
  <c r="BM39" i="4"/>
  <c r="BJ39" i="4"/>
  <c r="BI39" i="4"/>
  <c r="BF39" i="4"/>
  <c r="BO38" i="4"/>
  <c r="BO39" i="4" s="1"/>
  <c r="BN38" i="4"/>
  <c r="BM38" i="4"/>
  <c r="BL38" i="4"/>
  <c r="BL39" i="4" s="1"/>
  <c r="BK38" i="4"/>
  <c r="BK39" i="4" s="1"/>
  <c r="BJ38" i="4"/>
  <c r="BI38" i="4"/>
  <c r="BH38" i="4"/>
  <c r="BH39" i="4" s="1"/>
  <c r="BG38" i="4"/>
  <c r="BG39" i="4" s="1"/>
  <c r="BF38" i="4"/>
  <c r="BN24" i="4"/>
  <c r="BM24" i="4"/>
  <c r="BJ24" i="4"/>
  <c r="BI24" i="4"/>
  <c r="BF24" i="4"/>
  <c r="BO23" i="4"/>
  <c r="BO24" i="4" s="1"/>
  <c r="BN23" i="4"/>
  <c r="BM23" i="4"/>
  <c r="BL23" i="4"/>
  <c r="BL24" i="4" s="1"/>
  <c r="BK23" i="4"/>
  <c r="BK24" i="4" s="1"/>
  <c r="BJ23" i="4"/>
  <c r="BI23" i="4"/>
  <c r="BH23" i="4"/>
  <c r="BH24" i="4" s="1"/>
  <c r="BG23" i="4"/>
  <c r="BG24" i="4" s="1"/>
  <c r="BF23" i="4"/>
  <c r="BD88" i="4"/>
  <c r="BC88" i="4"/>
  <c r="AZ88" i="4"/>
  <c r="AY88" i="4"/>
  <c r="AV88" i="4"/>
  <c r="BE87" i="4"/>
  <c r="BE88" i="4" s="1"/>
  <c r="BD87" i="4"/>
  <c r="BC87" i="4"/>
  <c r="BB87" i="4"/>
  <c r="BB88" i="4" s="1"/>
  <c r="BA87" i="4"/>
  <c r="BA88" i="4" s="1"/>
  <c r="AZ87" i="4"/>
  <c r="AY87" i="4"/>
  <c r="AX87" i="4"/>
  <c r="AX88" i="4" s="1"/>
  <c r="AW87" i="4"/>
  <c r="AW88" i="4" s="1"/>
  <c r="AV87" i="4"/>
  <c r="BD70" i="4"/>
  <c r="BC70" i="4"/>
  <c r="AZ70" i="4"/>
  <c r="AY70" i="4"/>
  <c r="AV70" i="4"/>
  <c r="BE69" i="4"/>
  <c r="BE70" i="4" s="1"/>
  <c r="BD69" i="4"/>
  <c r="BC69" i="4"/>
  <c r="BB69" i="4"/>
  <c r="BB70" i="4" s="1"/>
  <c r="BA69" i="4"/>
  <c r="BA70" i="4" s="1"/>
  <c r="AZ69" i="4"/>
  <c r="AY69" i="4"/>
  <c r="AX69" i="4"/>
  <c r="AX70" i="4" s="1"/>
  <c r="AW69" i="4"/>
  <c r="AW70" i="4" s="1"/>
  <c r="AV69" i="4"/>
  <c r="BD52" i="4"/>
  <c r="BC52" i="4"/>
  <c r="AZ52" i="4"/>
  <c r="AY52" i="4"/>
  <c r="AV52" i="4"/>
  <c r="BE51" i="4"/>
  <c r="BE52" i="4" s="1"/>
  <c r="BD51" i="4"/>
  <c r="BC51" i="4"/>
  <c r="BB51" i="4"/>
  <c r="BB52" i="4" s="1"/>
  <c r="BA51" i="4"/>
  <c r="BA52" i="4" s="1"/>
  <c r="AZ51" i="4"/>
  <c r="AY51" i="4"/>
  <c r="AX51" i="4"/>
  <c r="AX52" i="4" s="1"/>
  <c r="AW51" i="4"/>
  <c r="AW52" i="4" s="1"/>
  <c r="AV51" i="4"/>
  <c r="BD39" i="4"/>
  <c r="BC39" i="4"/>
  <c r="AZ39" i="4"/>
  <c r="AY39" i="4"/>
  <c r="AV39" i="4"/>
  <c r="BE38" i="4"/>
  <c r="BE39" i="4" s="1"/>
  <c r="BD38" i="4"/>
  <c r="BC38" i="4"/>
  <c r="BB38" i="4"/>
  <c r="BB39" i="4" s="1"/>
  <c r="BA38" i="4"/>
  <c r="BA39" i="4" s="1"/>
  <c r="AZ38" i="4"/>
  <c r="AY38" i="4"/>
  <c r="AX38" i="4"/>
  <c r="AX39" i="4" s="1"/>
  <c r="AW38" i="4"/>
  <c r="AW39" i="4" s="1"/>
  <c r="AV38" i="4"/>
  <c r="BD24" i="4"/>
  <c r="BC24" i="4"/>
  <c r="AZ24" i="4"/>
  <c r="AY24" i="4"/>
  <c r="AV24" i="4"/>
  <c r="BE23" i="4"/>
  <c r="BE24" i="4" s="1"/>
  <c r="BD23" i="4"/>
  <c r="BC23" i="4"/>
  <c r="BB23" i="4"/>
  <c r="BB24" i="4" s="1"/>
  <c r="BA23" i="4"/>
  <c r="BA24" i="4" s="1"/>
  <c r="AZ23" i="4"/>
  <c r="AY23" i="4"/>
  <c r="AX23" i="4"/>
  <c r="AX24" i="4" s="1"/>
  <c r="AW23" i="4"/>
  <c r="AW24" i="4" s="1"/>
  <c r="AV23" i="4"/>
  <c r="AT88" i="4"/>
  <c r="AS88" i="4"/>
  <c r="AP88" i="4"/>
  <c r="AO88" i="4"/>
  <c r="AL88" i="4"/>
  <c r="AU87" i="4"/>
  <c r="AU88" i="4" s="1"/>
  <c r="AT87" i="4"/>
  <c r="AS87" i="4"/>
  <c r="AR87" i="4"/>
  <c r="AR88" i="4" s="1"/>
  <c r="AQ87" i="4"/>
  <c r="AQ88" i="4" s="1"/>
  <c r="AP87" i="4"/>
  <c r="AO87" i="4"/>
  <c r="AN87" i="4"/>
  <c r="AN88" i="4" s="1"/>
  <c r="AM87" i="4"/>
  <c r="AM88" i="4" s="1"/>
  <c r="AL87" i="4"/>
  <c r="AT70" i="4"/>
  <c r="AS70" i="4"/>
  <c r="AP70" i="4"/>
  <c r="AO70" i="4"/>
  <c r="AL70" i="4"/>
  <c r="AU69" i="4"/>
  <c r="AU70" i="4" s="1"/>
  <c r="AT69" i="4"/>
  <c r="AS69" i="4"/>
  <c r="AR69" i="4"/>
  <c r="AR70" i="4" s="1"/>
  <c r="AQ69" i="4"/>
  <c r="AQ70" i="4" s="1"/>
  <c r="AP69" i="4"/>
  <c r="AO69" i="4"/>
  <c r="AN69" i="4"/>
  <c r="AN70" i="4" s="1"/>
  <c r="AM69" i="4"/>
  <c r="AM70" i="4" s="1"/>
  <c r="AL69" i="4"/>
  <c r="AT52" i="4"/>
  <c r="AS52" i="4"/>
  <c r="AP52" i="4"/>
  <c r="AO52" i="4"/>
  <c r="AL52" i="4"/>
  <c r="AU51" i="4"/>
  <c r="AU52" i="4" s="1"/>
  <c r="AT51" i="4"/>
  <c r="AS51" i="4"/>
  <c r="AR51" i="4"/>
  <c r="AR52" i="4" s="1"/>
  <c r="AQ51" i="4"/>
  <c r="AQ52" i="4" s="1"/>
  <c r="AP51" i="4"/>
  <c r="AO51" i="4"/>
  <c r="AN51" i="4"/>
  <c r="AN52" i="4" s="1"/>
  <c r="AM51" i="4"/>
  <c r="AM52" i="4" s="1"/>
  <c r="AL51" i="4"/>
  <c r="AT39" i="4"/>
  <c r="AS39" i="4"/>
  <c r="AP39" i="4"/>
  <c r="AO39" i="4"/>
  <c r="AL39" i="4"/>
  <c r="AU38" i="4"/>
  <c r="AU39" i="4" s="1"/>
  <c r="AT38" i="4"/>
  <c r="AS38" i="4"/>
  <c r="AR38" i="4"/>
  <c r="AR39" i="4" s="1"/>
  <c r="AQ38" i="4"/>
  <c r="AQ39" i="4" s="1"/>
  <c r="AP38" i="4"/>
  <c r="AO38" i="4"/>
  <c r="AN38" i="4"/>
  <c r="AN39" i="4" s="1"/>
  <c r="AM38" i="4"/>
  <c r="AM39" i="4" s="1"/>
  <c r="AL38" i="4"/>
  <c r="AT24" i="4"/>
  <c r="AS24" i="4"/>
  <c r="AP24" i="4"/>
  <c r="AO24" i="4"/>
  <c r="AL24" i="4"/>
  <c r="AU23" i="4"/>
  <c r="AU24" i="4" s="1"/>
  <c r="AT23" i="4"/>
  <c r="AS23" i="4"/>
  <c r="AR23" i="4"/>
  <c r="AR24" i="4" s="1"/>
  <c r="AQ23" i="4"/>
  <c r="AQ24" i="4" s="1"/>
  <c r="AP23" i="4"/>
  <c r="AO23" i="4"/>
  <c r="AN23" i="4"/>
  <c r="AN24" i="4" s="1"/>
  <c r="AM23" i="4"/>
  <c r="AM24" i="4" s="1"/>
  <c r="AL23" i="4"/>
  <c r="AI88" i="4"/>
  <c r="AE88" i="4"/>
  <c r="AK87" i="4"/>
  <c r="AK88" i="4" s="1"/>
  <c r="AJ87" i="4"/>
  <c r="AJ88" i="4" s="1"/>
  <c r="AI87" i="4"/>
  <c r="AH87" i="4"/>
  <c r="AH88" i="4" s="1"/>
  <c r="AG87" i="4"/>
  <c r="AG88" i="4" s="1"/>
  <c r="AF87" i="4"/>
  <c r="AF88" i="4" s="1"/>
  <c r="AE87" i="4"/>
  <c r="AD87" i="4"/>
  <c r="AD88" i="4" s="1"/>
  <c r="AC87" i="4"/>
  <c r="AC88" i="4" s="1"/>
  <c r="AB87" i="4"/>
  <c r="AB88" i="4" s="1"/>
  <c r="AI70" i="4"/>
  <c r="AE70" i="4"/>
  <c r="AK69" i="4"/>
  <c r="AK70" i="4" s="1"/>
  <c r="AJ69" i="4"/>
  <c r="AJ70" i="4" s="1"/>
  <c r="AI69" i="4"/>
  <c r="AH69" i="4"/>
  <c r="AH70" i="4" s="1"/>
  <c r="AG69" i="4"/>
  <c r="AG70" i="4" s="1"/>
  <c r="AF69" i="4"/>
  <c r="AF70" i="4" s="1"/>
  <c r="AE69" i="4"/>
  <c r="AD69" i="4"/>
  <c r="AD70" i="4" s="1"/>
  <c r="AC69" i="4"/>
  <c r="AC70" i="4" s="1"/>
  <c r="AB69" i="4"/>
  <c r="AB70" i="4" s="1"/>
  <c r="AI52" i="4"/>
  <c r="AE52" i="4"/>
  <c r="AK51" i="4"/>
  <c r="AK52" i="4" s="1"/>
  <c r="AJ51" i="4"/>
  <c r="AJ52" i="4" s="1"/>
  <c r="AI51" i="4"/>
  <c r="AH51" i="4"/>
  <c r="AH52" i="4" s="1"/>
  <c r="AG51" i="4"/>
  <c r="AG52" i="4" s="1"/>
  <c r="AF51" i="4"/>
  <c r="AF52" i="4" s="1"/>
  <c r="AE51" i="4"/>
  <c r="AD51" i="4"/>
  <c r="AD52" i="4" s="1"/>
  <c r="AC51" i="4"/>
  <c r="AC52" i="4" s="1"/>
  <c r="AB51" i="4"/>
  <c r="AB52" i="4" s="1"/>
  <c r="AI39" i="4"/>
  <c r="AE39" i="4"/>
  <c r="AK38" i="4"/>
  <c r="AK39" i="4" s="1"/>
  <c r="AJ38" i="4"/>
  <c r="AJ39" i="4" s="1"/>
  <c r="AI38" i="4"/>
  <c r="AH38" i="4"/>
  <c r="AH39" i="4" s="1"/>
  <c r="AG38" i="4"/>
  <c r="AG39" i="4" s="1"/>
  <c r="AF38" i="4"/>
  <c r="AF39" i="4" s="1"/>
  <c r="AE38" i="4"/>
  <c r="AD38" i="4"/>
  <c r="AD39" i="4" s="1"/>
  <c r="AC38" i="4"/>
  <c r="AC39" i="4" s="1"/>
  <c r="AB38" i="4"/>
  <c r="AB39" i="4" s="1"/>
  <c r="AI24" i="4"/>
  <c r="AE24" i="4"/>
  <c r="AK23" i="4"/>
  <c r="AK24" i="4" s="1"/>
  <c r="AJ23" i="4"/>
  <c r="AJ24" i="4" s="1"/>
  <c r="AI23" i="4"/>
  <c r="AH23" i="4"/>
  <c r="AH24" i="4" s="1"/>
  <c r="AG23" i="4"/>
  <c r="AG24" i="4" s="1"/>
  <c r="AF23" i="4"/>
  <c r="AF24" i="4" s="1"/>
  <c r="AE23" i="4"/>
  <c r="AD23" i="4"/>
  <c r="AD24" i="4" s="1"/>
  <c r="AC23" i="4"/>
  <c r="AC24" i="4" s="1"/>
  <c r="AB23" i="4"/>
  <c r="AB24" i="4" s="1"/>
  <c r="AA87" i="4"/>
  <c r="AA88" i="4" s="1"/>
  <c r="Z87" i="4"/>
  <c r="Z88" i="4" s="1"/>
  <c r="Y87" i="4"/>
  <c r="Y88" i="4" s="1"/>
  <c r="X87" i="4"/>
  <c r="X88" i="4" s="1"/>
  <c r="W87" i="4"/>
  <c r="W88" i="4" s="1"/>
  <c r="V87" i="4"/>
  <c r="V88" i="4" s="1"/>
  <c r="U87" i="4"/>
  <c r="U88" i="4" s="1"/>
  <c r="T87" i="4"/>
  <c r="T88" i="4" s="1"/>
  <c r="S87" i="4"/>
  <c r="S88" i="4" s="1"/>
  <c r="R87" i="4"/>
  <c r="R88" i="4" s="1"/>
  <c r="AA69" i="4"/>
  <c r="AA70" i="4" s="1"/>
  <c r="Z69" i="4"/>
  <c r="Z70" i="4" s="1"/>
  <c r="Y69" i="4"/>
  <c r="Y70" i="4" s="1"/>
  <c r="X69" i="4"/>
  <c r="X70" i="4" s="1"/>
  <c r="W69" i="4"/>
  <c r="W70" i="4" s="1"/>
  <c r="V69" i="4"/>
  <c r="V70" i="4" s="1"/>
  <c r="U69" i="4"/>
  <c r="U70" i="4" s="1"/>
  <c r="T69" i="4"/>
  <c r="T70" i="4" s="1"/>
  <c r="S69" i="4"/>
  <c r="S70" i="4" s="1"/>
  <c r="R69" i="4"/>
  <c r="R70" i="4" s="1"/>
  <c r="AA51" i="4"/>
  <c r="AA52" i="4" s="1"/>
  <c r="Z51" i="4"/>
  <c r="Z52" i="4" s="1"/>
  <c r="Y51" i="4"/>
  <c r="Y52" i="4" s="1"/>
  <c r="X51" i="4"/>
  <c r="X52" i="4" s="1"/>
  <c r="W51" i="4"/>
  <c r="W52" i="4" s="1"/>
  <c r="V51" i="4"/>
  <c r="V52" i="4" s="1"/>
  <c r="U51" i="4"/>
  <c r="U52" i="4" s="1"/>
  <c r="T51" i="4"/>
  <c r="T52" i="4" s="1"/>
  <c r="S51" i="4"/>
  <c r="S52" i="4" s="1"/>
  <c r="R51" i="4"/>
  <c r="R52" i="4" s="1"/>
  <c r="AA38" i="4"/>
  <c r="AA39" i="4" s="1"/>
  <c r="Z38" i="4"/>
  <c r="Z39" i="4" s="1"/>
  <c r="Y38" i="4"/>
  <c r="Y39" i="4" s="1"/>
  <c r="X38" i="4"/>
  <c r="X39" i="4" s="1"/>
  <c r="W38" i="4"/>
  <c r="W39" i="4" s="1"/>
  <c r="V38" i="4"/>
  <c r="V39" i="4" s="1"/>
  <c r="U38" i="4"/>
  <c r="U39" i="4" s="1"/>
  <c r="T38" i="4"/>
  <c r="T39" i="4" s="1"/>
  <c r="S38" i="4"/>
  <c r="S39" i="4" s="1"/>
  <c r="R38" i="4"/>
  <c r="R39" i="4" s="1"/>
  <c r="AA23" i="4"/>
  <c r="AA24" i="4" s="1"/>
  <c r="Z23" i="4"/>
  <c r="Z24" i="4" s="1"/>
  <c r="Y23" i="4"/>
  <c r="Y24" i="4" s="1"/>
  <c r="X23" i="4"/>
  <c r="X24" i="4" s="1"/>
  <c r="W23" i="4"/>
  <c r="W24" i="4" s="1"/>
  <c r="V23" i="4"/>
  <c r="V24" i="4" s="1"/>
  <c r="U23" i="4"/>
  <c r="U24" i="4" s="1"/>
  <c r="T23" i="4"/>
  <c r="T24" i="4" s="1"/>
  <c r="S23" i="4"/>
  <c r="S24" i="4" s="1"/>
  <c r="R23" i="4"/>
  <c r="R24" i="4" s="1"/>
  <c r="Q87" i="4" l="1"/>
  <c r="Q88" i="4" s="1"/>
  <c r="Q69" i="4"/>
  <c r="Q70" i="4" s="1"/>
  <c r="Q51" i="4"/>
  <c r="Q52" i="4" s="1"/>
  <c r="Q38" i="4"/>
  <c r="Q39" i="4" s="1"/>
  <c r="Q23" i="4"/>
  <c r="Q24" i="4" s="1"/>
  <c r="P87" i="4"/>
  <c r="P88" i="4" s="1"/>
  <c r="P69" i="4"/>
  <c r="P70" i="4" s="1"/>
  <c r="P51" i="4"/>
  <c r="P52" i="4" s="1"/>
  <c r="P38" i="4"/>
  <c r="P39" i="4" s="1"/>
  <c r="P23" i="4"/>
  <c r="P24" i="4" s="1"/>
  <c r="O87" i="4"/>
  <c r="O88" i="4" s="1"/>
  <c r="O69" i="4"/>
  <c r="O70" i="4" s="1"/>
  <c r="O51" i="4"/>
  <c r="O52" i="4" s="1"/>
  <c r="O38" i="4"/>
  <c r="O39" i="4" s="1"/>
  <c r="O23" i="4"/>
  <c r="O24" i="4" s="1"/>
  <c r="N88" i="4"/>
  <c r="N87" i="4"/>
  <c r="N69" i="4"/>
  <c r="N70" i="4" s="1"/>
  <c r="N52" i="4"/>
  <c r="N51" i="4"/>
  <c r="N39" i="4"/>
  <c r="N38" i="4"/>
  <c r="N23" i="4"/>
  <c r="N24" i="4" s="1"/>
  <c r="M87" i="4"/>
  <c r="M88" i="4" s="1"/>
  <c r="M69" i="4"/>
  <c r="M70" i="4" s="1"/>
  <c r="M51" i="4"/>
  <c r="M52" i="4" s="1"/>
  <c r="M38" i="4"/>
  <c r="M39" i="4" s="1"/>
  <c r="M23" i="4"/>
  <c r="M24" i="4" s="1"/>
  <c r="L87" i="4"/>
  <c r="L88" i="4" s="1"/>
  <c r="L69" i="4"/>
  <c r="L70" i="4" s="1"/>
  <c r="L51" i="4"/>
  <c r="L52" i="4" s="1"/>
  <c r="L39" i="4"/>
  <c r="L38" i="4"/>
  <c r="L23" i="4"/>
  <c r="L24" i="4" s="1"/>
  <c r="K87" i="4"/>
  <c r="K88" i="4" s="1"/>
  <c r="K69" i="4"/>
  <c r="K70" i="4" s="1"/>
  <c r="K52" i="4"/>
  <c r="K51" i="4"/>
  <c r="K38" i="4"/>
  <c r="K39" i="4" s="1"/>
  <c r="K23" i="4"/>
  <c r="K24" i="4" s="1"/>
  <c r="J87" i="4"/>
  <c r="J88" i="4" s="1"/>
  <c r="J69" i="4"/>
  <c r="J70" i="4" s="1"/>
  <c r="J51" i="4"/>
  <c r="J52" i="4" s="1"/>
  <c r="J38" i="4"/>
  <c r="J39" i="4" s="1"/>
  <c r="J23" i="4"/>
  <c r="J24" i="4" s="1"/>
  <c r="I88" i="4"/>
  <c r="I87" i="4"/>
  <c r="I69" i="4"/>
  <c r="I70" i="4" s="1"/>
  <c r="I52" i="4"/>
  <c r="I51" i="4"/>
  <c r="I38" i="4"/>
  <c r="I39" i="4" s="1"/>
  <c r="I23" i="4"/>
  <c r="I24" i="4" s="1"/>
  <c r="H87" i="4"/>
  <c r="H88" i="4" s="1"/>
  <c r="H69" i="4"/>
  <c r="H70" i="4" s="1"/>
  <c r="H51" i="4"/>
  <c r="H52" i="4" s="1"/>
  <c r="H38" i="4"/>
  <c r="H39" i="4" s="1"/>
  <c r="H23" i="4"/>
  <c r="H24" i="4" s="1"/>
  <c r="F87" i="4" l="1"/>
  <c r="F88" i="4" s="1"/>
  <c r="F69" i="4"/>
  <c r="F70" i="4" s="1"/>
  <c r="F51" i="4"/>
  <c r="F52" i="4" s="1"/>
  <c r="F38" i="4"/>
  <c r="F39" i="4" s="1"/>
  <c r="F23" i="4"/>
  <c r="F24" i="4" s="1"/>
  <c r="D29" i="10" l="1"/>
  <c r="F29" i="10" s="1"/>
  <c r="C29" i="10"/>
  <c r="G164" i="20"/>
  <c r="G5" i="27"/>
  <c r="B5" i="27"/>
  <c r="A5" i="27"/>
  <c r="D9" i="46"/>
  <c r="F9" i="46" s="1"/>
  <c r="C9" i="46"/>
  <c r="A4" i="46"/>
  <c r="B4" i="46"/>
  <c r="G4" i="46"/>
  <c r="G3" i="46"/>
  <c r="B3" i="46"/>
  <c r="A3" i="46"/>
  <c r="D137" i="23"/>
  <c r="D127" i="23"/>
  <c r="F127" i="23" s="1"/>
  <c r="C127" i="23"/>
  <c r="D106" i="23"/>
  <c r="F106" i="23" s="1"/>
  <c r="C106" i="23"/>
  <c r="D69" i="23"/>
  <c r="F69" i="23" s="1"/>
  <c r="C69" i="23"/>
  <c r="D68" i="23"/>
  <c r="F68" i="23" s="1"/>
  <c r="C68" i="23"/>
  <c r="D40" i="23"/>
  <c r="F40" i="23" s="1"/>
  <c r="D39" i="23"/>
  <c r="F39" i="23" s="1"/>
  <c r="C40" i="23"/>
  <c r="C39" i="23"/>
  <c r="A20" i="21"/>
  <c r="D111" i="21"/>
  <c r="F111" i="21" s="1"/>
  <c r="C111" i="21"/>
  <c r="D80" i="21"/>
  <c r="F80" i="21" s="1"/>
  <c r="C80" i="21"/>
  <c r="G21" i="21"/>
  <c r="G19" i="21"/>
  <c r="G18" i="21"/>
  <c r="B19" i="21"/>
  <c r="B18" i="21"/>
  <c r="A21" i="21"/>
  <c r="A19" i="21"/>
  <c r="A18" i="21"/>
  <c r="G11" i="20"/>
  <c r="D135" i="20"/>
  <c r="D134" i="20"/>
  <c r="D133" i="20"/>
  <c r="D132" i="20"/>
  <c r="D131" i="20"/>
  <c r="D102" i="20"/>
  <c r="F102" i="20" s="1"/>
  <c r="C102" i="20"/>
  <c r="D76" i="20"/>
  <c r="F76" i="20" s="1"/>
  <c r="C76" i="20"/>
  <c r="D62" i="20"/>
  <c r="F62" i="20" s="1"/>
  <c r="C62" i="20"/>
  <c r="G9" i="18"/>
  <c r="G9" i="15"/>
  <c r="G8" i="15"/>
  <c r="G7" i="15"/>
  <c r="G15" i="18"/>
  <c r="B15" i="18"/>
  <c r="A15" i="18"/>
  <c r="D125" i="18"/>
  <c r="D113" i="18"/>
  <c r="D79" i="18"/>
  <c r="F79" i="18" s="1"/>
  <c r="C79" i="18"/>
  <c r="D57" i="18"/>
  <c r="F57" i="18" s="1"/>
  <c r="C57" i="18"/>
  <c r="D37" i="18"/>
  <c r="F37" i="18" s="1"/>
  <c r="D36" i="18"/>
  <c r="F36" i="18" s="1"/>
  <c r="C37" i="18"/>
  <c r="C36" i="18"/>
  <c r="G7" i="17"/>
  <c r="G5" i="15"/>
  <c r="B7" i="15"/>
  <c r="H7" i="15"/>
  <c r="B9" i="15"/>
  <c r="B8" i="15"/>
  <c r="A7" i="15"/>
  <c r="A9" i="15"/>
  <c r="A8" i="15"/>
  <c r="D119" i="15"/>
  <c r="G119" i="15" s="1"/>
  <c r="D120" i="15"/>
  <c r="F34" i="15"/>
  <c r="D82" i="15"/>
  <c r="F82" i="15" s="1"/>
  <c r="C82" i="15"/>
  <c r="D34" i="15"/>
  <c r="F33" i="15" s="1"/>
  <c r="D33" i="15"/>
  <c r="C34" i="15"/>
  <c r="C33" i="15"/>
  <c r="D82" i="14"/>
  <c r="F82" i="14" s="1"/>
  <c r="C82" i="14"/>
  <c r="D60" i="14"/>
  <c r="F60" i="14" s="1"/>
  <c r="C60" i="14"/>
  <c r="D43" i="14"/>
  <c r="F43" i="14" s="1"/>
  <c r="C43" i="14"/>
  <c r="D42" i="14"/>
  <c r="F42" i="14" s="1"/>
  <c r="C42" i="14"/>
  <c r="D95" i="11"/>
  <c r="F95" i="11" s="1"/>
  <c r="C95" i="11"/>
  <c r="D50" i="11"/>
  <c r="F50" i="11" s="1"/>
  <c r="C50" i="11"/>
  <c r="D69" i="10"/>
  <c r="F69" i="10" s="1"/>
  <c r="C69" i="10"/>
  <c r="D48" i="10"/>
  <c r="F48" i="10" s="1"/>
  <c r="C48" i="10"/>
  <c r="D25" i="9"/>
  <c r="F25" i="9" s="1"/>
  <c r="C25" i="9"/>
  <c r="D39" i="31" l="1"/>
  <c r="F39" i="31" s="1"/>
  <c r="D38" i="31"/>
  <c r="F38" i="31" s="1"/>
  <c r="D37" i="31"/>
  <c r="F37" i="31" s="1"/>
  <c r="D36" i="31"/>
  <c r="F36" i="31" s="1"/>
  <c r="D35" i="31"/>
  <c r="F35" i="31" s="1"/>
  <c r="D34" i="31"/>
  <c r="F34" i="31" s="1"/>
  <c r="C35" i="31"/>
  <c r="C39" i="31"/>
  <c r="C38" i="31"/>
  <c r="C37" i="31"/>
  <c r="C36" i="31"/>
  <c r="C34" i="31"/>
  <c r="C33" i="31"/>
  <c r="B33" i="31"/>
  <c r="A33" i="31"/>
  <c r="C25" i="31"/>
  <c r="D25" i="31"/>
  <c r="F25" i="31" s="1"/>
  <c r="G3" i="8"/>
  <c r="A3" i="8"/>
  <c r="B3" i="8"/>
  <c r="D46" i="8"/>
  <c r="F46" i="8" s="1"/>
  <c r="C46" i="8"/>
  <c r="C45" i="8"/>
  <c r="D45" i="8"/>
  <c r="C47" i="8"/>
  <c r="D47" i="8"/>
  <c r="C48" i="8"/>
  <c r="D48" i="8"/>
  <c r="G33" i="31" l="1"/>
  <c r="C95" i="18" l="1"/>
  <c r="B9" i="18" l="1"/>
  <c r="A9" i="18"/>
  <c r="D92" i="18"/>
  <c r="D94" i="18"/>
  <c r="G94" i="18" s="1"/>
  <c r="D75" i="17"/>
  <c r="D93" i="18"/>
  <c r="A113" i="11" l="1"/>
  <c r="G13" i="8" l="1"/>
  <c r="D37" i="21" l="1"/>
  <c r="D38" i="21"/>
  <c r="D39" i="21"/>
  <c r="D40" i="21"/>
  <c r="D41" i="21"/>
  <c r="D42" i="21"/>
  <c r="A7" i="17"/>
  <c r="B7" i="17"/>
  <c r="A5" i="15"/>
  <c r="B5" i="15"/>
  <c r="D30" i="15"/>
  <c r="D29" i="15"/>
  <c r="D28" i="15"/>
  <c r="D27" i="15"/>
  <c r="D26" i="15"/>
  <c r="D25" i="15"/>
  <c r="A24" i="15"/>
  <c r="B24" i="15"/>
  <c r="C30" i="15"/>
  <c r="C29" i="15"/>
  <c r="C28" i="15"/>
  <c r="C27" i="15"/>
  <c r="C26" i="15"/>
  <c r="C25" i="15"/>
  <c r="C24" i="15"/>
  <c r="D20" i="14"/>
  <c r="D19" i="14"/>
  <c r="D18" i="14"/>
  <c r="D17" i="14"/>
  <c r="D16" i="14"/>
  <c r="D15" i="14"/>
  <c r="B14" i="14"/>
  <c r="A14" i="14"/>
  <c r="C20" i="14"/>
  <c r="C19" i="14"/>
  <c r="C18" i="14"/>
  <c r="C17" i="14"/>
  <c r="C16" i="14"/>
  <c r="C15" i="14"/>
  <c r="C14" i="14"/>
  <c r="F29" i="11"/>
  <c r="D31" i="11"/>
  <c r="F31" i="11" s="1"/>
  <c r="D30" i="11"/>
  <c r="F30" i="11" s="1"/>
  <c r="D28" i="11"/>
  <c r="F28" i="11" s="1"/>
  <c r="D27" i="11"/>
  <c r="F27" i="11" s="1"/>
  <c r="A25" i="11"/>
  <c r="B25" i="11"/>
  <c r="C31" i="11"/>
  <c r="C30" i="11"/>
  <c r="C29" i="11"/>
  <c r="C28" i="11"/>
  <c r="C27" i="11"/>
  <c r="C26" i="11"/>
  <c r="C25" i="11"/>
  <c r="D28" i="10"/>
  <c r="F28" i="10" s="1"/>
  <c r="C28" i="10"/>
  <c r="D49" i="11"/>
  <c r="F49" i="11" s="1"/>
  <c r="C49" i="11"/>
  <c r="D107" i="10"/>
  <c r="F107" i="10" s="1"/>
  <c r="D106" i="10"/>
  <c r="F106" i="10" s="1"/>
  <c r="D105" i="10"/>
  <c r="F105" i="10" s="1"/>
  <c r="D104" i="10"/>
  <c r="F104" i="10" s="1"/>
  <c r="B103" i="10"/>
  <c r="A103" i="10"/>
  <c r="C107" i="10"/>
  <c r="C106" i="10"/>
  <c r="C105" i="10"/>
  <c r="C104" i="10"/>
  <c r="C103" i="10"/>
  <c r="G14" i="14" l="1"/>
  <c r="G24" i="15"/>
  <c r="G25" i="11"/>
  <c r="G103" i="10"/>
  <c r="D94" i="9"/>
  <c r="F94" i="9" s="1"/>
  <c r="D93" i="9"/>
  <c r="F93" i="9" s="1"/>
  <c r="D92" i="9"/>
  <c r="F92" i="9" s="1"/>
  <c r="D91" i="9"/>
  <c r="F91" i="9" s="1"/>
  <c r="B90" i="9"/>
  <c r="A90" i="9"/>
  <c r="C94" i="9"/>
  <c r="C93" i="9"/>
  <c r="C92" i="9"/>
  <c r="C91" i="9"/>
  <c r="C90" i="9"/>
  <c r="A4" i="12"/>
  <c r="B4" i="12"/>
  <c r="D19" i="8"/>
  <c r="D18" i="8"/>
  <c r="D16" i="8"/>
  <c r="D15" i="8"/>
  <c r="C19" i="8"/>
  <c r="C18" i="8"/>
  <c r="C17" i="8"/>
  <c r="C16" i="8"/>
  <c r="C15" i="8"/>
  <c r="C14" i="8"/>
  <c r="C13" i="8"/>
  <c r="D104" i="8"/>
  <c r="F104" i="8" s="1"/>
  <c r="D103" i="8"/>
  <c r="F103" i="8" s="1"/>
  <c r="D102" i="8"/>
  <c r="F102" i="8" s="1"/>
  <c r="D101" i="8"/>
  <c r="F101" i="8" s="1"/>
  <c r="C104" i="8"/>
  <c r="C103" i="8"/>
  <c r="C102" i="8"/>
  <c r="C101" i="8"/>
  <c r="B100" i="8"/>
  <c r="A100" i="8"/>
  <c r="C100" i="8"/>
  <c r="G90" i="9" l="1"/>
  <c r="G100" i="8"/>
  <c r="D152" i="15" l="1"/>
  <c r="D151" i="15"/>
  <c r="D113" i="17"/>
  <c r="D149" i="15" l="1"/>
  <c r="G149" i="15"/>
  <c r="G7" i="18"/>
  <c r="G11" i="17"/>
  <c r="G9" i="17"/>
  <c r="G7" i="11"/>
  <c r="G6" i="11"/>
  <c r="G3" i="11"/>
  <c r="G5" i="10"/>
  <c r="G4" i="10"/>
  <c r="G4" i="9"/>
  <c r="G7" i="8"/>
  <c r="G6" i="8"/>
  <c r="G4" i="8"/>
  <c r="G12" i="21"/>
  <c r="G9" i="23"/>
  <c r="G4" i="27"/>
  <c r="G3" i="27"/>
  <c r="G6" i="12" l="1"/>
  <c r="C93" i="18"/>
  <c r="D118" i="15"/>
  <c r="C118" i="15"/>
  <c r="D76" i="17"/>
  <c r="C76" i="17"/>
  <c r="D79" i="10"/>
  <c r="C79" i="10"/>
  <c r="D78" i="10"/>
  <c r="C78" i="10"/>
  <c r="D119" i="20"/>
  <c r="C119" i="20"/>
  <c r="D118" i="20"/>
  <c r="C118" i="20"/>
  <c r="D113" i="15"/>
  <c r="C113" i="15"/>
  <c r="D112" i="15"/>
  <c r="C112" i="15"/>
  <c r="D71" i="17"/>
  <c r="C71" i="17"/>
  <c r="D70" i="17"/>
  <c r="C70" i="17"/>
  <c r="D28" i="20" l="1"/>
  <c r="C28" i="20"/>
  <c r="D27" i="20"/>
  <c r="C27" i="20"/>
  <c r="D24" i="11"/>
  <c r="F24" i="11" s="1"/>
  <c r="C24" i="11"/>
  <c r="D23" i="11"/>
  <c r="F23" i="11" s="1"/>
  <c r="C23" i="11"/>
  <c r="D22" i="11"/>
  <c r="F22" i="11" s="1"/>
  <c r="C22" i="11"/>
  <c r="D21" i="11"/>
  <c r="F21" i="11" s="1"/>
  <c r="C21" i="11"/>
  <c r="D20" i="11"/>
  <c r="F20" i="11" s="1"/>
  <c r="C20" i="11"/>
  <c r="G149" i="20" l="1"/>
  <c r="D152" i="20"/>
  <c r="D151" i="20"/>
  <c r="D150" i="20"/>
  <c r="C152" i="20"/>
  <c r="C151" i="20"/>
  <c r="C150" i="20"/>
  <c r="C149" i="20"/>
  <c r="A149" i="20"/>
  <c r="B149" i="20"/>
  <c r="C78" i="17"/>
  <c r="D111" i="17"/>
  <c r="G110" i="17" s="1"/>
  <c r="C111" i="17"/>
  <c r="D129" i="18"/>
  <c r="G128" i="18" s="1"/>
  <c r="C129" i="18"/>
  <c r="D154" i="20"/>
  <c r="G153" i="20" s="1"/>
  <c r="C154" i="20"/>
  <c r="D145" i="21"/>
  <c r="G144" i="21" s="1"/>
  <c r="C145" i="21"/>
  <c r="A144" i="21"/>
  <c r="C144" i="21"/>
  <c r="B144" i="21"/>
  <c r="C153" i="20"/>
  <c r="A153" i="20"/>
  <c r="B153" i="20"/>
  <c r="C128" i="18"/>
  <c r="A128" i="18"/>
  <c r="B128" i="18"/>
  <c r="C110" i="17"/>
  <c r="A110" i="17"/>
  <c r="B110" i="17"/>
  <c r="D173" i="23"/>
  <c r="G172" i="23" s="1"/>
  <c r="C173" i="23"/>
  <c r="C172" i="23"/>
  <c r="B172" i="23"/>
  <c r="A172" i="23"/>
  <c r="B174" i="23"/>
  <c r="D24" i="18"/>
  <c r="F24" i="18" s="1"/>
  <c r="D23" i="18"/>
  <c r="F23" i="18" s="1"/>
  <c r="D21" i="18"/>
  <c r="F21" i="18" s="1"/>
  <c r="D20" i="18"/>
  <c r="F20" i="18" s="1"/>
  <c r="C24" i="18"/>
  <c r="C23" i="18"/>
  <c r="C22" i="18"/>
  <c r="C21" i="18"/>
  <c r="C20" i="18"/>
  <c r="C19" i="18"/>
  <c r="C18" i="18"/>
  <c r="A18" i="18"/>
  <c r="B18" i="18"/>
  <c r="D23" i="15"/>
  <c r="C23" i="15"/>
  <c r="D22" i="15"/>
  <c r="C22" i="15"/>
  <c r="D21" i="15"/>
  <c r="C21" i="15"/>
  <c r="D20" i="15"/>
  <c r="C20" i="15"/>
  <c r="D65" i="27"/>
  <c r="D64" i="27"/>
  <c r="D63" i="27"/>
  <c r="D62" i="27"/>
  <c r="C65" i="27"/>
  <c r="C64" i="27"/>
  <c r="C63" i="27"/>
  <c r="C62" i="27"/>
  <c r="C61" i="27"/>
  <c r="B61" i="27"/>
  <c r="A61" i="27"/>
  <c r="G18" i="18" l="1"/>
  <c r="C42" i="21"/>
  <c r="C41" i="21"/>
  <c r="C40" i="21"/>
  <c r="C39" i="21"/>
  <c r="C38" i="21"/>
  <c r="D22" i="23"/>
  <c r="D23" i="23"/>
  <c r="D24" i="23"/>
  <c r="D25" i="23"/>
  <c r="D26" i="23"/>
  <c r="D27" i="23"/>
  <c r="C27" i="23"/>
  <c r="C26" i="23"/>
  <c r="C25" i="23"/>
  <c r="C24" i="23"/>
  <c r="C23" i="23"/>
  <c r="D81" i="10"/>
  <c r="G81" i="10" s="1"/>
  <c r="D80" i="10"/>
  <c r="G80" i="10" s="1"/>
  <c r="G68" i="27"/>
  <c r="G21" i="23" l="1"/>
  <c r="G36" i="21"/>
  <c r="D26" i="20"/>
  <c r="C26" i="20"/>
  <c r="D25" i="20"/>
  <c r="C25" i="20"/>
  <c r="D24" i="20"/>
  <c r="C24" i="20"/>
  <c r="D95" i="18"/>
  <c r="G95" i="18" s="1"/>
  <c r="D91" i="18"/>
  <c r="C94" i="18"/>
  <c r="C92" i="18"/>
  <c r="C91" i="18"/>
  <c r="G120" i="15"/>
  <c r="D117" i="15"/>
  <c r="D116" i="15"/>
  <c r="C120" i="15"/>
  <c r="C119" i="15"/>
  <c r="C117" i="15"/>
  <c r="C116" i="15"/>
  <c r="D78" i="17"/>
  <c r="G78" i="17" s="1"/>
  <c r="D77" i="17"/>
  <c r="G77" i="17" s="1"/>
  <c r="D74" i="17"/>
  <c r="C77" i="17"/>
  <c r="C75" i="17"/>
  <c r="C74" i="17"/>
  <c r="D24" i="31"/>
  <c r="F24" i="31" s="1"/>
  <c r="C24" i="31"/>
  <c r="D36" i="8"/>
  <c r="F36" i="8" s="1"/>
  <c r="C36" i="8"/>
  <c r="D35" i="8"/>
  <c r="F35" i="8" s="1"/>
  <c r="C35" i="8"/>
  <c r="D34" i="8"/>
  <c r="C34" i="8"/>
  <c r="D33" i="8"/>
  <c r="C33" i="8"/>
  <c r="D77" i="10"/>
  <c r="C81" i="10"/>
  <c r="C80" i="10"/>
  <c r="C77" i="10"/>
  <c r="D40" i="9"/>
  <c r="C40" i="9"/>
  <c r="D39" i="9"/>
  <c r="C39" i="9"/>
  <c r="D38" i="9"/>
  <c r="C38" i="9"/>
  <c r="D37" i="9"/>
  <c r="C37" i="9"/>
  <c r="D36" i="9"/>
  <c r="C36" i="9"/>
  <c r="D26" i="8"/>
  <c r="C26" i="8"/>
  <c r="D25" i="8"/>
  <c r="C25" i="8"/>
  <c r="D24" i="8"/>
  <c r="C24" i="8"/>
  <c r="D23" i="8"/>
  <c r="C23" i="8"/>
  <c r="D22" i="8"/>
  <c r="C22" i="8"/>
  <c r="D17" i="46"/>
  <c r="F17" i="46" s="1"/>
  <c r="D16" i="46"/>
  <c r="F16" i="46" s="1"/>
  <c r="D15" i="46"/>
  <c r="F15" i="46" s="1"/>
  <c r="D14" i="46"/>
  <c r="F14" i="46" s="1"/>
  <c r="C17" i="46"/>
  <c r="C16" i="46"/>
  <c r="C15" i="46"/>
  <c r="C14" i="46"/>
  <c r="C13" i="46"/>
  <c r="A13" i="46"/>
  <c r="B13" i="46"/>
  <c r="D12" i="46"/>
  <c r="F12" i="46" s="1"/>
  <c r="C12" i="46"/>
  <c r="D11" i="46"/>
  <c r="F11" i="46" s="1"/>
  <c r="C11" i="46"/>
  <c r="D10" i="46"/>
  <c r="F10" i="46" s="1"/>
  <c r="C10" i="46"/>
  <c r="D8" i="46"/>
  <c r="F8" i="46" s="1"/>
  <c r="C8" i="46"/>
  <c r="D7" i="46"/>
  <c r="F7" i="46" s="1"/>
  <c r="C7" i="46"/>
  <c r="C6" i="46"/>
  <c r="B6" i="46"/>
  <c r="A6" i="46"/>
  <c r="D59" i="23"/>
  <c r="D58" i="23"/>
  <c r="D57" i="23"/>
  <c r="C59" i="23"/>
  <c r="C58" i="23"/>
  <c r="C57" i="23"/>
  <c r="D132" i="23"/>
  <c r="C132" i="23"/>
  <c r="D19" i="23"/>
  <c r="C19" i="23"/>
  <c r="D18" i="23"/>
  <c r="C18" i="23"/>
  <c r="A146" i="21"/>
  <c r="D66" i="21"/>
  <c r="C66" i="21"/>
  <c r="D65" i="21"/>
  <c r="C65" i="21"/>
  <c r="D64" i="21"/>
  <c r="C64" i="21"/>
  <c r="D116" i="21"/>
  <c r="C116" i="21"/>
  <c r="D91" i="21"/>
  <c r="C91" i="21"/>
  <c r="D90" i="21"/>
  <c r="C90" i="21"/>
  <c r="D89" i="21"/>
  <c r="C89" i="21"/>
  <c r="D41" i="20"/>
  <c r="F41" i="20" s="1"/>
  <c r="D40" i="20"/>
  <c r="F40" i="20" s="1"/>
  <c r="D39" i="20"/>
  <c r="F39" i="20" s="1"/>
  <c r="C41" i="20"/>
  <c r="C40" i="20"/>
  <c r="C39" i="20"/>
  <c r="D120" i="20"/>
  <c r="D117" i="20"/>
  <c r="D113" i="20"/>
  <c r="C113" i="20"/>
  <c r="D89" i="20"/>
  <c r="C89" i="20"/>
  <c r="D88" i="20"/>
  <c r="C88" i="20"/>
  <c r="D87" i="20"/>
  <c r="C87" i="20"/>
  <c r="D86" i="20"/>
  <c r="C86" i="20"/>
  <c r="B155" i="20"/>
  <c r="A155" i="20"/>
  <c r="D58" i="20"/>
  <c r="D57" i="20"/>
  <c r="D56" i="20"/>
  <c r="D55" i="20"/>
  <c r="D54" i="20"/>
  <c r="C58" i="20"/>
  <c r="C57" i="20"/>
  <c r="C56" i="20"/>
  <c r="C55" i="20"/>
  <c r="D84" i="18"/>
  <c r="C84" i="18"/>
  <c r="D105" i="15"/>
  <c r="G115" i="23"/>
  <c r="G66" i="20"/>
  <c r="D62" i="17"/>
  <c r="D61" i="17"/>
  <c r="D60" i="17"/>
  <c r="C62" i="17"/>
  <c r="C61" i="17"/>
  <c r="A73" i="17"/>
  <c r="B73" i="17"/>
  <c r="C73" i="17"/>
  <c r="D72" i="17"/>
  <c r="C72" i="17"/>
  <c r="D69" i="17"/>
  <c r="C69" i="17"/>
  <c r="C68" i="17"/>
  <c r="A68" i="17"/>
  <c r="B68" i="17"/>
  <c r="D51" i="17"/>
  <c r="C51" i="17"/>
  <c r="D50" i="17"/>
  <c r="C50" i="17"/>
  <c r="D49" i="17"/>
  <c r="C49" i="17"/>
  <c r="D48" i="17"/>
  <c r="C48" i="17"/>
  <c r="D19" i="17"/>
  <c r="C19" i="17"/>
  <c r="D18" i="17"/>
  <c r="C18" i="17"/>
  <c r="D17" i="17"/>
  <c r="C17" i="17"/>
  <c r="D16" i="17"/>
  <c r="C16" i="17"/>
  <c r="D120" i="14"/>
  <c r="F120" i="14" s="1"/>
  <c r="D119" i="14"/>
  <c r="F119" i="14" s="1"/>
  <c r="D118" i="14"/>
  <c r="F118" i="14" s="1"/>
  <c r="D117" i="14"/>
  <c r="F117" i="14" s="1"/>
  <c r="D87" i="14"/>
  <c r="C87" i="14"/>
  <c r="D86" i="14"/>
  <c r="C86" i="14"/>
  <c r="D69" i="14"/>
  <c r="D68" i="14"/>
  <c r="D67" i="14"/>
  <c r="D66" i="14"/>
  <c r="D65" i="14"/>
  <c r="D64" i="14"/>
  <c r="C69" i="14"/>
  <c r="C68" i="14"/>
  <c r="C67" i="14"/>
  <c r="C66" i="14"/>
  <c r="C65" i="14"/>
  <c r="C64" i="14"/>
  <c r="D89" i="9"/>
  <c r="F89" i="9" s="1"/>
  <c r="D88" i="9"/>
  <c r="F88" i="9" s="1"/>
  <c r="D87" i="9"/>
  <c r="F87" i="9" s="1"/>
  <c r="D86" i="9"/>
  <c r="F86" i="9" s="1"/>
  <c r="C89" i="9"/>
  <c r="C88" i="9"/>
  <c r="C87" i="9"/>
  <c r="C86" i="9"/>
  <c r="C85" i="9"/>
  <c r="A85" i="9"/>
  <c r="B85" i="9"/>
  <c r="D100" i="11"/>
  <c r="D99" i="11"/>
  <c r="D98" i="11"/>
  <c r="C100" i="11"/>
  <c r="C99" i="11"/>
  <c r="D82" i="11"/>
  <c r="D81" i="11"/>
  <c r="D80" i="11"/>
  <c r="D79" i="11"/>
  <c r="D78" i="11"/>
  <c r="D77" i="11"/>
  <c r="C82" i="11"/>
  <c r="C81" i="11"/>
  <c r="C80" i="11"/>
  <c r="C79" i="11"/>
  <c r="C78" i="11"/>
  <c r="C77" i="11"/>
  <c r="C57" i="11"/>
  <c r="C56" i="11"/>
  <c r="C55" i="11"/>
  <c r="C54" i="11"/>
  <c r="C53" i="11"/>
  <c r="D74" i="10"/>
  <c r="C74" i="10"/>
  <c r="D73" i="10"/>
  <c r="C73" i="10"/>
  <c r="D72" i="10"/>
  <c r="D36" i="10"/>
  <c r="D35" i="10"/>
  <c r="D34" i="10"/>
  <c r="D33" i="10"/>
  <c r="D32" i="10"/>
  <c r="C36" i="10"/>
  <c r="C35" i="10"/>
  <c r="C34" i="10"/>
  <c r="C33" i="10"/>
  <c r="C32" i="10"/>
  <c r="D63" i="9"/>
  <c r="C63" i="9"/>
  <c r="D62" i="9"/>
  <c r="C62" i="9"/>
  <c r="D39" i="12"/>
  <c r="C39" i="12"/>
  <c r="D38" i="12"/>
  <c r="C38" i="12"/>
  <c r="D37" i="12"/>
  <c r="C37" i="12"/>
  <c r="D36" i="12"/>
  <c r="C36" i="12"/>
  <c r="D35" i="12"/>
  <c r="C35" i="12"/>
  <c r="C34" i="12"/>
  <c r="D14" i="12"/>
  <c r="F14" i="12" s="1"/>
  <c r="C14" i="12"/>
  <c r="D13" i="12"/>
  <c r="F13" i="12" s="1"/>
  <c r="C13" i="12"/>
  <c r="C12" i="12"/>
  <c r="D11" i="12"/>
  <c r="F11" i="12" s="1"/>
  <c r="C11" i="12"/>
  <c r="D10" i="12"/>
  <c r="F10" i="12" s="1"/>
  <c r="C10" i="12"/>
  <c r="C9" i="12"/>
  <c r="D55" i="8"/>
  <c r="C55" i="8"/>
  <c r="D54" i="8"/>
  <c r="C54" i="8"/>
  <c r="D53" i="8"/>
  <c r="C53" i="8"/>
  <c r="D52" i="8"/>
  <c r="C52" i="8"/>
  <c r="D99" i="8"/>
  <c r="F99" i="8" s="1"/>
  <c r="D98" i="8"/>
  <c r="F98" i="8" s="1"/>
  <c r="D97" i="8"/>
  <c r="F97" i="8" s="1"/>
  <c r="D96" i="8"/>
  <c r="F96" i="8" s="1"/>
  <c r="C99" i="8"/>
  <c r="C98" i="8"/>
  <c r="C97" i="8"/>
  <c r="C96" i="8"/>
  <c r="C95" i="8"/>
  <c r="A95" i="8"/>
  <c r="B95" i="8"/>
  <c r="C70" i="9"/>
  <c r="C120" i="20"/>
  <c r="C117" i="20"/>
  <c r="C116" i="20"/>
  <c r="A116" i="20"/>
  <c r="B116" i="20"/>
  <c r="D114" i="15"/>
  <c r="D111" i="15"/>
  <c r="C114" i="15"/>
  <c r="C111" i="15"/>
  <c r="C110" i="15"/>
  <c r="A110" i="15"/>
  <c r="B110" i="15"/>
  <c r="D13" i="14"/>
  <c r="F13" i="14" s="1"/>
  <c r="C13" i="14"/>
  <c r="D12" i="14"/>
  <c r="F12" i="14" s="1"/>
  <c r="C12" i="14"/>
  <c r="D11" i="14"/>
  <c r="F11" i="14" s="1"/>
  <c r="C11" i="14"/>
  <c r="D10" i="14"/>
  <c r="F10" i="14" s="1"/>
  <c r="C10" i="14"/>
  <c r="D9" i="14"/>
  <c r="C9" i="14"/>
  <c r="D8" i="14"/>
  <c r="C8" i="14"/>
  <c r="D14" i="10"/>
  <c r="F14" i="10" s="1"/>
  <c r="C14" i="10"/>
  <c r="D13" i="10"/>
  <c r="F13" i="10" s="1"/>
  <c r="C13" i="10"/>
  <c r="C12" i="10"/>
  <c r="D11" i="10"/>
  <c r="F11" i="10" s="1"/>
  <c r="C11" i="10"/>
  <c r="D10" i="10"/>
  <c r="F10" i="10" s="1"/>
  <c r="C10" i="10"/>
  <c r="D19" i="31"/>
  <c r="F19" i="31" s="1"/>
  <c r="D18" i="31"/>
  <c r="F18" i="31" s="1"/>
  <c r="D16" i="31"/>
  <c r="F16" i="31" s="1"/>
  <c r="D15" i="31"/>
  <c r="F15" i="31" s="1"/>
  <c r="C19" i="31"/>
  <c r="C18" i="31"/>
  <c r="C17" i="31"/>
  <c r="C16" i="31"/>
  <c r="C15" i="31"/>
  <c r="C14" i="31"/>
  <c r="D148" i="15"/>
  <c r="D147" i="15"/>
  <c r="F147" i="15" s="1"/>
  <c r="D146" i="15"/>
  <c r="F146" i="15" s="1"/>
  <c r="D145" i="15"/>
  <c r="F145" i="15" s="1"/>
  <c r="C148" i="15"/>
  <c r="C147" i="15"/>
  <c r="C146" i="15"/>
  <c r="C145" i="15"/>
  <c r="C144" i="15"/>
  <c r="A144" i="15"/>
  <c r="B144" i="15"/>
  <c r="D34" i="21"/>
  <c r="C34" i="21"/>
  <c r="D33" i="21"/>
  <c r="C33" i="21"/>
  <c r="C31" i="21"/>
  <c r="C32" i="21"/>
  <c r="D29" i="21"/>
  <c r="F29" i="21" s="1"/>
  <c r="D28" i="21"/>
  <c r="F28" i="21" s="1"/>
  <c r="D26" i="21"/>
  <c r="F26" i="21" s="1"/>
  <c r="D25" i="21"/>
  <c r="F25" i="21" s="1"/>
  <c r="C29" i="21"/>
  <c r="C28" i="21"/>
  <c r="C27" i="21"/>
  <c r="C26" i="21"/>
  <c r="C25" i="21"/>
  <c r="C24" i="21"/>
  <c r="B146" i="21"/>
  <c r="D21" i="20"/>
  <c r="F21" i="20" s="1"/>
  <c r="D20" i="20"/>
  <c r="F20" i="20" s="1"/>
  <c r="D18" i="20"/>
  <c r="F18" i="20" s="1"/>
  <c r="D17" i="20"/>
  <c r="C21" i="20"/>
  <c r="C20" i="20"/>
  <c r="C19" i="20"/>
  <c r="C18" i="20"/>
  <c r="C17" i="20"/>
  <c r="C16" i="20"/>
  <c r="C115" i="15"/>
  <c r="A115" i="15"/>
  <c r="B115" i="15"/>
  <c r="D109" i="17"/>
  <c r="F109" i="17" s="1"/>
  <c r="D108" i="17"/>
  <c r="F108" i="17" s="1"/>
  <c r="D107" i="17"/>
  <c r="F107" i="17" s="1"/>
  <c r="D106" i="17"/>
  <c r="F106" i="17" s="1"/>
  <c r="C109" i="17"/>
  <c r="C108" i="17"/>
  <c r="C107" i="17"/>
  <c r="C106" i="17"/>
  <c r="C105" i="17"/>
  <c r="A105" i="17"/>
  <c r="B105" i="17"/>
  <c r="D124" i="15"/>
  <c r="F124" i="15" s="1"/>
  <c r="D123" i="15"/>
  <c r="F123" i="15" s="1"/>
  <c r="D122" i="15"/>
  <c r="F122" i="15" s="1"/>
  <c r="C124" i="15"/>
  <c r="C123" i="15"/>
  <c r="C122" i="15"/>
  <c r="C121" i="15"/>
  <c r="A121" i="15"/>
  <c r="B121" i="15"/>
  <c r="D17" i="15"/>
  <c r="F17" i="15" s="1"/>
  <c r="D16" i="15"/>
  <c r="F16" i="15" s="1"/>
  <c r="D14" i="15"/>
  <c r="F14" i="15" s="1"/>
  <c r="D13" i="15"/>
  <c r="F13" i="15" s="1"/>
  <c r="C17" i="15"/>
  <c r="C16" i="15"/>
  <c r="C15" i="15"/>
  <c r="C14" i="15"/>
  <c r="C13" i="15"/>
  <c r="C12" i="15"/>
  <c r="D17" i="11"/>
  <c r="F17" i="11" s="1"/>
  <c r="C17" i="11"/>
  <c r="D16" i="11"/>
  <c r="F16" i="11" s="1"/>
  <c r="C16" i="11"/>
  <c r="C15" i="11"/>
  <c r="D14" i="11"/>
  <c r="C14" i="11"/>
  <c r="D13" i="11"/>
  <c r="C13" i="11"/>
  <c r="C12" i="11"/>
  <c r="C9" i="10"/>
  <c r="C8" i="10"/>
  <c r="A8" i="10"/>
  <c r="B8" i="10"/>
  <c r="C120" i="14"/>
  <c r="C119" i="14"/>
  <c r="C118" i="14"/>
  <c r="C117" i="14"/>
  <c r="C116" i="14"/>
  <c r="A116" i="14"/>
  <c r="B116" i="14"/>
  <c r="G90" i="18" l="1"/>
  <c r="G23" i="21"/>
  <c r="G11" i="15"/>
  <c r="G68" i="17"/>
  <c r="G76" i="10"/>
  <c r="G6" i="46"/>
  <c r="G116" i="20"/>
  <c r="G115" i="15"/>
  <c r="G73" i="17"/>
  <c r="G38" i="20"/>
  <c r="G110" i="15"/>
  <c r="G85" i="9"/>
  <c r="G95" i="8"/>
  <c r="G13" i="46"/>
  <c r="G116" i="14"/>
  <c r="G105" i="17"/>
  <c r="G144" i="15"/>
  <c r="G121" i="15"/>
  <c r="G8" i="10"/>
  <c r="D155" i="20" l="1"/>
  <c r="G155" i="20" s="1"/>
  <c r="D146" i="21"/>
  <c r="G146" i="21" s="1"/>
  <c r="C88" i="17" l="1"/>
  <c r="C87" i="17"/>
  <c r="C86" i="17"/>
  <c r="C85" i="17"/>
  <c r="C84" i="17"/>
  <c r="C130" i="15"/>
  <c r="C129" i="15"/>
  <c r="C128" i="15"/>
  <c r="C127" i="15"/>
  <c r="C126" i="15"/>
  <c r="C93" i="14"/>
  <c r="C92" i="14"/>
  <c r="C91" i="14"/>
  <c r="C90" i="14"/>
  <c r="C89" i="14"/>
  <c r="C106" i="11"/>
  <c r="C105" i="11"/>
  <c r="C104" i="11"/>
  <c r="C103" i="11"/>
  <c r="C102" i="11"/>
  <c r="C87" i="10"/>
  <c r="C86" i="10"/>
  <c r="C85" i="10"/>
  <c r="C84" i="10"/>
  <c r="C83" i="10"/>
  <c r="C69" i="9"/>
  <c r="C68" i="9"/>
  <c r="C67" i="9"/>
  <c r="C66" i="9"/>
  <c r="C65" i="9"/>
  <c r="C75" i="8"/>
  <c r="C74" i="8"/>
  <c r="C73" i="8"/>
  <c r="C72" i="8"/>
  <c r="C71" i="8"/>
  <c r="C37" i="21" l="1"/>
  <c r="C36" i="21"/>
  <c r="A36" i="21"/>
  <c r="B36" i="21"/>
  <c r="B11" i="8" l="1"/>
  <c r="B10" i="8"/>
  <c r="B9" i="8"/>
  <c r="B8" i="8"/>
  <c r="B7" i="8"/>
  <c r="B6" i="8"/>
  <c r="B5" i="8"/>
  <c r="B4" i="8"/>
  <c r="B57" i="27"/>
  <c r="B48" i="27"/>
  <c r="B47" i="27"/>
  <c r="B46" i="27"/>
  <c r="B41" i="27"/>
  <c r="B34" i="27"/>
  <c r="B29" i="27"/>
  <c r="B24" i="27"/>
  <c r="B20" i="27"/>
  <c r="B19" i="27"/>
  <c r="B12" i="27"/>
  <c r="B11" i="27"/>
  <c r="B10" i="27"/>
  <c r="B176" i="23"/>
  <c r="B175" i="23"/>
  <c r="B171" i="23"/>
  <c r="B166" i="23"/>
  <c r="B159" i="23"/>
  <c r="B152" i="23"/>
  <c r="B151" i="23"/>
  <c r="B148" i="23"/>
  <c r="B142" i="23"/>
  <c r="B91" i="23"/>
  <c r="B85" i="23"/>
  <c r="B82" i="23"/>
  <c r="B77" i="23"/>
  <c r="B71" i="23"/>
  <c r="B64" i="23"/>
  <c r="B60" i="23"/>
  <c r="B56" i="23"/>
  <c r="B50" i="23"/>
  <c r="B47" i="23"/>
  <c r="B44" i="23"/>
  <c r="B28" i="23"/>
  <c r="B37" i="23"/>
  <c r="B21" i="23"/>
  <c r="B138" i="23"/>
  <c r="B137" i="23"/>
  <c r="B133" i="23"/>
  <c r="B129" i="23"/>
  <c r="B115" i="23"/>
  <c r="B122" i="23"/>
  <c r="B109" i="23"/>
  <c r="B103" i="23"/>
  <c r="B96" i="23"/>
  <c r="B15" i="23"/>
  <c r="B143" i="21"/>
  <c r="B138" i="21"/>
  <c r="B131" i="21"/>
  <c r="B130" i="21"/>
  <c r="B127" i="21"/>
  <c r="B121" i="21"/>
  <c r="B83" i="21"/>
  <c r="B77" i="21"/>
  <c r="B71" i="21"/>
  <c r="B67" i="21"/>
  <c r="B52" i="21"/>
  <c r="B60" i="21"/>
  <c r="B57" i="21"/>
  <c r="B63" i="21"/>
  <c r="B43" i="21"/>
  <c r="B117" i="21"/>
  <c r="B113" i="21"/>
  <c r="B99" i="21"/>
  <c r="B106" i="21"/>
  <c r="B92" i="21"/>
  <c r="B86" i="21"/>
  <c r="B30" i="21"/>
  <c r="B23" i="21"/>
  <c r="G3" i="21"/>
  <c r="B148" i="20"/>
  <c r="B143" i="20"/>
  <c r="B136" i="20"/>
  <c r="B130" i="20"/>
  <c r="B47" i="20"/>
  <c r="B42" i="20"/>
  <c r="B38" i="20"/>
  <c r="B29" i="20"/>
  <c r="B22" i="20"/>
  <c r="B125" i="20"/>
  <c r="B121" i="20"/>
  <c r="B115" i="20"/>
  <c r="B114" i="20"/>
  <c r="B110" i="20"/>
  <c r="B90" i="20"/>
  <c r="B83" i="20"/>
  <c r="B97" i="20"/>
  <c r="B104" i="20"/>
  <c r="B79" i="20"/>
  <c r="B73" i="20"/>
  <c r="B67" i="20"/>
  <c r="B66" i="20"/>
  <c r="B59" i="20"/>
  <c r="B53" i="20"/>
  <c r="B15" i="20"/>
  <c r="G7" i="20"/>
  <c r="G6" i="20"/>
  <c r="G5" i="20"/>
  <c r="B130" i="18"/>
  <c r="B90" i="18"/>
  <c r="B127" i="18"/>
  <c r="B122" i="18"/>
  <c r="B115" i="18"/>
  <c r="B109" i="18"/>
  <c r="B44" i="18"/>
  <c r="B34" i="18"/>
  <c r="B41" i="18"/>
  <c r="B25" i="18"/>
  <c r="B104" i="18"/>
  <c r="B100" i="18"/>
  <c r="B96" i="18"/>
  <c r="B89" i="18"/>
  <c r="B81" i="18"/>
  <c r="B67" i="18"/>
  <c r="B60" i="18"/>
  <c r="B85" i="18"/>
  <c r="B74" i="18"/>
  <c r="B54" i="18"/>
  <c r="B48" i="18"/>
  <c r="G14" i="18"/>
  <c r="B152" i="15"/>
  <c r="B151" i="15"/>
  <c r="B150" i="15"/>
  <c r="B149" i="15"/>
  <c r="B141" i="15"/>
  <c r="B135" i="15"/>
  <c r="B57" i="15"/>
  <c r="B53" i="15"/>
  <c r="B47" i="15"/>
  <c r="B41" i="15"/>
  <c r="B31" i="15"/>
  <c r="B38" i="15"/>
  <c r="B131" i="15"/>
  <c r="B125" i="15"/>
  <c r="B102" i="15"/>
  <c r="B95" i="15"/>
  <c r="B106" i="15"/>
  <c r="B91" i="15"/>
  <c r="B85" i="15"/>
  <c r="B79" i="15"/>
  <c r="B73" i="15"/>
  <c r="B66" i="15"/>
  <c r="B60" i="15"/>
  <c r="B18" i="15"/>
  <c r="B11" i="15"/>
  <c r="B113" i="17"/>
  <c r="B112" i="17"/>
  <c r="B99" i="17"/>
  <c r="B95" i="17"/>
  <c r="B89" i="17"/>
  <c r="B83" i="17"/>
  <c r="B79" i="17"/>
  <c r="B67" i="17"/>
  <c r="B59" i="17"/>
  <c r="B52" i="17"/>
  <c r="B45" i="17"/>
  <c r="B63" i="17"/>
  <c r="B41" i="17"/>
  <c r="B35" i="17"/>
  <c r="B34" i="17"/>
  <c r="B33" i="17"/>
  <c r="B27" i="17"/>
  <c r="B20" i="17"/>
  <c r="B14" i="17"/>
  <c r="B109" i="14"/>
  <c r="B38" i="14"/>
  <c r="B33" i="14"/>
  <c r="B27" i="14"/>
  <c r="B21" i="14"/>
  <c r="B104" i="14"/>
  <c r="B100" i="14"/>
  <c r="B94" i="14"/>
  <c r="B88" i="14"/>
  <c r="B84" i="14"/>
  <c r="B70" i="14"/>
  <c r="B63" i="14"/>
  <c r="B77" i="14"/>
  <c r="B57" i="14"/>
  <c r="B51" i="14"/>
  <c r="B45" i="14"/>
  <c r="B7" i="14"/>
  <c r="B133" i="11"/>
  <c r="B126" i="11"/>
  <c r="B45" i="11"/>
  <c r="B41" i="11"/>
  <c r="B37" i="11"/>
  <c r="B32" i="11"/>
  <c r="B18" i="11"/>
  <c r="B121" i="11"/>
  <c r="B117" i="11"/>
  <c r="B113" i="11"/>
  <c r="B107" i="11"/>
  <c r="B101" i="11"/>
  <c r="B97" i="11"/>
  <c r="B83" i="11"/>
  <c r="B76" i="11"/>
  <c r="B90" i="11"/>
  <c r="B71" i="11"/>
  <c r="B65" i="11"/>
  <c r="B58" i="11"/>
  <c r="B52" i="11"/>
  <c r="B11" i="11"/>
  <c r="B108" i="10"/>
  <c r="B76" i="10"/>
  <c r="B24" i="10"/>
  <c r="B20" i="10"/>
  <c r="B15" i="10"/>
  <c r="B98" i="10"/>
  <c r="B94" i="10"/>
  <c r="B88" i="10"/>
  <c r="B82" i="10"/>
  <c r="B75" i="10"/>
  <c r="B71" i="10"/>
  <c r="B57" i="10"/>
  <c r="B64" i="10"/>
  <c r="B51" i="10"/>
  <c r="B45" i="10"/>
  <c r="B44" i="10"/>
  <c r="B37" i="10"/>
  <c r="B31" i="10"/>
  <c r="B95" i="9"/>
  <c r="B12" i="9"/>
  <c r="B7" i="9"/>
  <c r="B80" i="9"/>
  <c r="B76" i="9"/>
  <c r="B70" i="9"/>
  <c r="B64" i="9"/>
  <c r="B60" i="9"/>
  <c r="B41" i="9"/>
  <c r="B34" i="9"/>
  <c r="B48" i="9"/>
  <c r="B54" i="9"/>
  <c r="B28" i="9"/>
  <c r="B22" i="9"/>
  <c r="B16" i="9"/>
  <c r="G3" i="9"/>
  <c r="B53" i="12"/>
  <c r="B47" i="12"/>
  <c r="B40" i="12"/>
  <c r="B33" i="12"/>
  <c r="B27" i="12"/>
  <c r="B21" i="12"/>
  <c r="B15" i="12"/>
  <c r="B8" i="12"/>
  <c r="B20" i="31"/>
  <c r="B46" i="31"/>
  <c r="B40" i="31"/>
  <c r="B27" i="31"/>
  <c r="B13" i="31"/>
  <c r="G7" i="31"/>
  <c r="B31" i="8"/>
  <c r="B27" i="8"/>
  <c r="B20" i="8"/>
  <c r="B90" i="8"/>
  <c r="B86" i="8"/>
  <c r="B82" i="8"/>
  <c r="B76" i="8"/>
  <c r="B70" i="8"/>
  <c r="B56" i="8"/>
  <c r="B49" i="8"/>
  <c r="B63" i="8"/>
  <c r="B43" i="8"/>
  <c r="B37" i="8"/>
  <c r="G10" i="31" l="1"/>
  <c r="G9" i="31"/>
  <c r="B8" i="27" l="1"/>
  <c r="B7" i="27"/>
  <c r="B6" i="27"/>
  <c r="B4" i="27"/>
  <c r="B3" i="27"/>
  <c r="A8" i="27"/>
  <c r="A7" i="27"/>
  <c r="A6" i="27"/>
  <c r="A4" i="27"/>
  <c r="A3" i="27"/>
  <c r="B12" i="23"/>
  <c r="B11" i="23"/>
  <c r="B10" i="23"/>
  <c r="B9" i="23"/>
  <c r="B8" i="23"/>
  <c r="B7" i="23"/>
  <c r="B6" i="23"/>
  <c r="B5" i="23"/>
  <c r="B4" i="23"/>
  <c r="B3" i="23"/>
  <c r="A13" i="23"/>
  <c r="A12" i="23"/>
  <c r="A11" i="23"/>
  <c r="A10" i="23"/>
  <c r="A9" i="23"/>
  <c r="A8" i="23"/>
  <c r="A7" i="23"/>
  <c r="A6" i="23"/>
  <c r="A5" i="23"/>
  <c r="A4" i="23"/>
  <c r="A3" i="23"/>
  <c r="B17" i="21"/>
  <c r="B15" i="21"/>
  <c r="B14" i="21"/>
  <c r="B13" i="21"/>
  <c r="B12" i="21"/>
  <c r="B11" i="21"/>
  <c r="B10" i="21"/>
  <c r="B9" i="21"/>
  <c r="B8" i="21"/>
  <c r="B7" i="21"/>
  <c r="B6" i="21"/>
  <c r="B5" i="21"/>
  <c r="B4" i="21"/>
  <c r="B3" i="21"/>
  <c r="A17" i="21"/>
  <c r="A16" i="21"/>
  <c r="A15" i="21"/>
  <c r="A14" i="21"/>
  <c r="A13" i="21"/>
  <c r="A12" i="21"/>
  <c r="A11" i="21"/>
  <c r="A10" i="21"/>
  <c r="A9" i="21"/>
  <c r="A8" i="21"/>
  <c r="A7" i="21"/>
  <c r="A6" i="21"/>
  <c r="A5" i="21"/>
  <c r="A4" i="21"/>
  <c r="A3" i="21"/>
  <c r="B13" i="20"/>
  <c r="B12" i="20"/>
  <c r="B11" i="20"/>
  <c r="B10" i="20"/>
  <c r="B9" i="20"/>
  <c r="B8" i="20"/>
  <c r="B7" i="20"/>
  <c r="B6" i="20"/>
  <c r="B5" i="20"/>
  <c r="B4" i="20"/>
  <c r="B3" i="20"/>
  <c r="A13" i="20"/>
  <c r="A12" i="20"/>
  <c r="A11" i="20"/>
  <c r="A10" i="20"/>
  <c r="A9" i="20"/>
  <c r="A8" i="20"/>
  <c r="A7" i="20"/>
  <c r="A6" i="20"/>
  <c r="A5" i="20"/>
  <c r="A4" i="20"/>
  <c r="A3" i="20"/>
  <c r="B16" i="18"/>
  <c r="B14" i="18"/>
  <c r="B13" i="18"/>
  <c r="B12" i="18"/>
  <c r="B11" i="18"/>
  <c r="B10" i="18"/>
  <c r="B8" i="18"/>
  <c r="B7" i="18"/>
  <c r="B6" i="18"/>
  <c r="B5" i="18"/>
  <c r="B4" i="18"/>
  <c r="B3" i="18"/>
  <c r="A16" i="18"/>
  <c r="A14" i="18"/>
  <c r="A13" i="18"/>
  <c r="A12" i="18"/>
  <c r="A11" i="18"/>
  <c r="A10" i="18"/>
  <c r="A8" i="18"/>
  <c r="A7" i="18"/>
  <c r="A6" i="18"/>
  <c r="A5" i="18"/>
  <c r="A4" i="18"/>
  <c r="A3" i="18"/>
  <c r="B6" i="15"/>
  <c r="B4" i="15"/>
  <c r="B3" i="15"/>
  <c r="A6" i="15"/>
  <c r="A4" i="15"/>
  <c r="A3" i="15"/>
  <c r="B12" i="17"/>
  <c r="B11" i="17"/>
  <c r="B10" i="17"/>
  <c r="B9" i="17"/>
  <c r="B8" i="17"/>
  <c r="B6" i="17"/>
  <c r="B5" i="17"/>
  <c r="B4" i="17"/>
  <c r="B3" i="17"/>
  <c r="A12" i="17"/>
  <c r="A11" i="17"/>
  <c r="A10" i="17"/>
  <c r="A9" i="17"/>
  <c r="A8" i="17"/>
  <c r="A6" i="17"/>
  <c r="A5" i="17"/>
  <c r="A4" i="17"/>
  <c r="A3" i="17"/>
  <c r="B5" i="14"/>
  <c r="B4" i="14"/>
  <c r="B3" i="14"/>
  <c r="A5" i="14"/>
  <c r="A4" i="14"/>
  <c r="A3" i="14"/>
  <c r="B9" i="11"/>
  <c r="B8" i="11"/>
  <c r="B7" i="11"/>
  <c r="B6" i="11"/>
  <c r="B5" i="11"/>
  <c r="B4" i="11"/>
  <c r="B3" i="11"/>
  <c r="A9" i="11"/>
  <c r="A8" i="11"/>
  <c r="A7" i="11"/>
  <c r="A6" i="11"/>
  <c r="A5" i="11"/>
  <c r="A4" i="11"/>
  <c r="A3" i="11"/>
  <c r="B6" i="10"/>
  <c r="B5" i="10"/>
  <c r="B4" i="10"/>
  <c r="B3" i="10"/>
  <c r="A6" i="10"/>
  <c r="A5" i="10"/>
  <c r="A4" i="10"/>
  <c r="A3" i="10"/>
  <c r="B5" i="9"/>
  <c r="B4" i="9"/>
  <c r="B3" i="9"/>
  <c r="A5" i="9"/>
  <c r="A4" i="9"/>
  <c r="A3" i="9"/>
  <c r="B6" i="12"/>
  <c r="B5" i="12"/>
  <c r="B3" i="12"/>
  <c r="A6" i="12"/>
  <c r="A5" i="12"/>
  <c r="A3" i="12"/>
  <c r="B11" i="31"/>
  <c r="B10" i="31"/>
  <c r="B9" i="31"/>
  <c r="B8" i="31"/>
  <c r="B7" i="31"/>
  <c r="B6" i="31"/>
  <c r="B5" i="31"/>
  <c r="B4" i="31"/>
  <c r="B3" i="31"/>
  <c r="A8" i="31"/>
  <c r="A11" i="31"/>
  <c r="A10" i="31"/>
  <c r="A9" i="31"/>
  <c r="A7" i="31"/>
  <c r="A6" i="31"/>
  <c r="A5" i="31"/>
  <c r="A4" i="31"/>
  <c r="A3" i="31"/>
  <c r="A11" i="8"/>
  <c r="A10" i="8"/>
  <c r="A9" i="8"/>
  <c r="A8" i="8"/>
  <c r="A7" i="8"/>
  <c r="A6" i="8"/>
  <c r="A5" i="8"/>
  <c r="A4" i="8"/>
  <c r="G8" i="27" l="1"/>
  <c r="G7" i="27"/>
  <c r="G6" i="27"/>
  <c r="G13" i="23"/>
  <c r="G12" i="23"/>
  <c r="G11" i="23"/>
  <c r="G10" i="23"/>
  <c r="G8" i="23"/>
  <c r="G7" i="23"/>
  <c r="G6" i="23"/>
  <c r="G5" i="23"/>
  <c r="G4" i="23"/>
  <c r="G3" i="23"/>
  <c r="G17" i="21"/>
  <c r="G16" i="21"/>
  <c r="G15" i="21"/>
  <c r="G14" i="21"/>
  <c r="G13" i="21"/>
  <c r="G11" i="21"/>
  <c r="G10" i="21"/>
  <c r="G9" i="21"/>
  <c r="G8" i="21"/>
  <c r="G7" i="21"/>
  <c r="G6" i="21"/>
  <c r="G5" i="21"/>
  <c r="G4" i="21"/>
  <c r="G13" i="20"/>
  <c r="G12" i="20"/>
  <c r="G10" i="20"/>
  <c r="G9" i="20"/>
  <c r="G8" i="20"/>
  <c r="G4" i="20"/>
  <c r="G3" i="20"/>
  <c r="G16" i="18"/>
  <c r="G13" i="18"/>
  <c r="G11" i="18"/>
  <c r="G12" i="18"/>
  <c r="G10" i="18"/>
  <c r="G8" i="18"/>
  <c r="G6" i="18"/>
  <c r="G5" i="18"/>
  <c r="G4" i="18"/>
  <c r="G3" i="18"/>
  <c r="G6" i="15"/>
  <c r="G4" i="15"/>
  <c r="G3" i="15"/>
  <c r="G12" i="17"/>
  <c r="G8" i="17"/>
  <c r="G6" i="17"/>
  <c r="G4" i="17"/>
  <c r="G3" i="17"/>
  <c r="G10" i="17"/>
  <c r="G5" i="17"/>
  <c r="G5" i="14"/>
  <c r="G4" i="14"/>
  <c r="G3" i="14"/>
  <c r="G9" i="11"/>
  <c r="G8" i="11"/>
  <c r="G5" i="11"/>
  <c r="G4" i="11"/>
  <c r="G6" i="10"/>
  <c r="G3" i="10"/>
  <c r="G5" i="9"/>
  <c r="G5" i="12"/>
  <c r="G11" i="31"/>
  <c r="G8" i="31"/>
  <c r="G6" i="31"/>
  <c r="G5" i="31"/>
  <c r="G4" i="31"/>
  <c r="G3" i="31"/>
  <c r="G11" i="8"/>
  <c r="G10" i="8"/>
  <c r="G9" i="8"/>
  <c r="G8" i="8"/>
  <c r="G5" i="8"/>
  <c r="D43" i="23"/>
  <c r="F43" i="23" s="1"/>
  <c r="D42" i="23"/>
  <c r="F42" i="23" s="1"/>
  <c r="G37" i="23" s="1"/>
  <c r="A37" i="23"/>
  <c r="C43" i="23"/>
  <c r="C42" i="23"/>
  <c r="C41" i="23"/>
  <c r="C38" i="23"/>
  <c r="C37" i="23"/>
  <c r="D60" i="27"/>
  <c r="F60" i="27" s="1"/>
  <c r="D59" i="27"/>
  <c r="F59" i="27" s="1"/>
  <c r="D58" i="27"/>
  <c r="F58" i="27" s="1"/>
  <c r="C60" i="27"/>
  <c r="C59" i="27"/>
  <c r="C58" i="27"/>
  <c r="C57" i="27"/>
  <c r="A57" i="27"/>
  <c r="G57" i="27" l="1"/>
  <c r="D114" i="20"/>
  <c r="G114" i="20" s="1"/>
  <c r="C114" i="20"/>
  <c r="A114" i="20"/>
  <c r="D47" i="27"/>
  <c r="D46" i="27"/>
  <c r="D45" i="27"/>
  <c r="F45" i="27" s="1"/>
  <c r="D36" i="27"/>
  <c r="F36" i="27" s="1"/>
  <c r="D33" i="27"/>
  <c r="F33" i="27" s="1"/>
  <c r="D32" i="27"/>
  <c r="F32" i="27" s="1"/>
  <c r="D31" i="27"/>
  <c r="F31" i="27" s="1"/>
  <c r="D30" i="27"/>
  <c r="F30" i="27" s="1"/>
  <c r="D25" i="27"/>
  <c r="F25" i="27" s="1"/>
  <c r="D23" i="27"/>
  <c r="F23" i="27" s="1"/>
  <c r="D16" i="27"/>
  <c r="F16" i="27" s="1"/>
  <c r="D11" i="27"/>
  <c r="D10" i="27"/>
  <c r="D167" i="23"/>
  <c r="D165" i="23"/>
  <c r="F165" i="23" s="1"/>
  <c r="D153" i="23"/>
  <c r="F153" i="23" s="1"/>
  <c r="D151" i="23"/>
  <c r="G151" i="23" s="1"/>
  <c r="D150" i="23"/>
  <c r="F150" i="23" s="1"/>
  <c r="D147" i="23"/>
  <c r="F147" i="23" s="1"/>
  <c r="D92" i="23"/>
  <c r="F92" i="23" s="1"/>
  <c r="D86" i="23"/>
  <c r="F86" i="23" s="1"/>
  <c r="D84" i="23"/>
  <c r="F84" i="23" s="1"/>
  <c r="D79" i="23"/>
  <c r="F79" i="23" s="1"/>
  <c r="D74" i="23"/>
  <c r="F74" i="23" s="1"/>
  <c r="D65" i="23"/>
  <c r="F65" i="23" s="1"/>
  <c r="D63" i="23"/>
  <c r="F63" i="23" s="1"/>
  <c r="F58" i="23"/>
  <c r="D53" i="23"/>
  <c r="F53" i="23" s="1"/>
  <c r="D49" i="23"/>
  <c r="F49" i="23" s="1"/>
  <c r="D45" i="23"/>
  <c r="F45" i="23" s="1"/>
  <c r="D36" i="23"/>
  <c r="F36" i="23" s="1"/>
  <c r="D35" i="23"/>
  <c r="F35" i="23" s="1"/>
  <c r="D34" i="23"/>
  <c r="F34" i="23" s="1"/>
  <c r="D33" i="23"/>
  <c r="F33" i="23" s="1"/>
  <c r="D32" i="23"/>
  <c r="F32" i="23" s="1"/>
  <c r="D31" i="23"/>
  <c r="F31" i="23" s="1"/>
  <c r="D30" i="23"/>
  <c r="F30" i="23" s="1"/>
  <c r="D29" i="23"/>
  <c r="D139" i="23"/>
  <c r="F139" i="23" s="1"/>
  <c r="D134" i="23"/>
  <c r="F134" i="23" s="1"/>
  <c r="D130" i="23"/>
  <c r="F130" i="23" s="1"/>
  <c r="D117" i="23"/>
  <c r="D128" i="23"/>
  <c r="F128" i="23" s="1"/>
  <c r="D110" i="23"/>
  <c r="F110" i="23" s="1"/>
  <c r="D107" i="23"/>
  <c r="F107" i="23" s="1"/>
  <c r="D98" i="23"/>
  <c r="F98" i="23" s="1"/>
  <c r="D17" i="23"/>
  <c r="D16" i="23"/>
  <c r="D139" i="21"/>
  <c r="F139" i="21" s="1"/>
  <c r="D137" i="21"/>
  <c r="F137" i="21" s="1"/>
  <c r="D130" i="21"/>
  <c r="G130" i="21" s="1"/>
  <c r="D129" i="21"/>
  <c r="F129" i="21" s="1"/>
  <c r="D126" i="21"/>
  <c r="F126" i="21" s="1"/>
  <c r="D79" i="21"/>
  <c r="F79" i="21" s="1"/>
  <c r="D74" i="21"/>
  <c r="F74" i="21" s="1"/>
  <c r="D70" i="21"/>
  <c r="F70" i="21" s="1"/>
  <c r="D53" i="21"/>
  <c r="F53" i="21" s="1"/>
  <c r="D62" i="21"/>
  <c r="F62" i="21" s="1"/>
  <c r="F64" i="21"/>
  <c r="D58" i="21"/>
  <c r="F58" i="21" s="1"/>
  <c r="D51" i="21"/>
  <c r="F51" i="21" s="1"/>
  <c r="D50" i="21"/>
  <c r="F50" i="21" s="1"/>
  <c r="D49" i="21"/>
  <c r="F49" i="21" s="1"/>
  <c r="D48" i="21"/>
  <c r="F48" i="21" s="1"/>
  <c r="D47" i="21"/>
  <c r="F47" i="21" s="1"/>
  <c r="D46" i="21"/>
  <c r="F46" i="21" s="1"/>
  <c r="D45" i="21"/>
  <c r="F45" i="21" s="1"/>
  <c r="D44" i="21"/>
  <c r="D118" i="21"/>
  <c r="F118" i="21" s="1"/>
  <c r="D114" i="21"/>
  <c r="F114" i="21" s="1"/>
  <c r="D101" i="21"/>
  <c r="F101" i="21" s="1"/>
  <c r="D112" i="21"/>
  <c r="F112" i="21" s="1"/>
  <c r="D93" i="21"/>
  <c r="F93" i="21" s="1"/>
  <c r="F91" i="21"/>
  <c r="D32" i="21"/>
  <c r="D31" i="21"/>
  <c r="D148" i="20"/>
  <c r="D144" i="20"/>
  <c r="F144" i="20" s="1"/>
  <c r="D142" i="20"/>
  <c r="F142" i="20" s="1"/>
  <c r="F135" i="20"/>
  <c r="D52" i="20"/>
  <c r="F52" i="20" s="1"/>
  <c r="D46" i="20"/>
  <c r="F46" i="20" s="1"/>
  <c r="D37" i="20"/>
  <c r="F37" i="20" s="1"/>
  <c r="D23" i="20"/>
  <c r="G22" i="20" s="1"/>
  <c r="D126" i="20"/>
  <c r="F126" i="20" s="1"/>
  <c r="D122" i="20"/>
  <c r="F122" i="20" s="1"/>
  <c r="D115" i="20"/>
  <c r="G115" i="20" s="1"/>
  <c r="D111" i="20"/>
  <c r="F111" i="20" s="1"/>
  <c r="D94" i="20"/>
  <c r="F94" i="20" s="1"/>
  <c r="D103" i="20"/>
  <c r="F103" i="20" s="1"/>
  <c r="D109" i="20"/>
  <c r="F109" i="20" s="1"/>
  <c r="D82" i="20"/>
  <c r="F82" i="20" s="1"/>
  <c r="D77" i="20"/>
  <c r="F77" i="20" s="1"/>
  <c r="D69" i="20"/>
  <c r="F69" i="20" s="1"/>
  <c r="D64" i="20"/>
  <c r="F64" i="20" s="1"/>
  <c r="F55" i="20"/>
  <c r="D123" i="18"/>
  <c r="F123" i="18" s="1"/>
  <c r="D121" i="18"/>
  <c r="F121" i="18" s="1"/>
  <c r="D114" i="18"/>
  <c r="F114" i="18" s="1"/>
  <c r="D47" i="18"/>
  <c r="F47" i="18" s="1"/>
  <c r="D42" i="18"/>
  <c r="F42" i="18" s="1"/>
  <c r="D33" i="18"/>
  <c r="F33" i="18" s="1"/>
  <c r="D32" i="18"/>
  <c r="F32" i="18" s="1"/>
  <c r="D31" i="18"/>
  <c r="F31" i="18" s="1"/>
  <c r="D30" i="18"/>
  <c r="F30" i="18" s="1"/>
  <c r="D29" i="18"/>
  <c r="F29" i="18" s="1"/>
  <c r="D28" i="18"/>
  <c r="F28" i="18" s="1"/>
  <c r="D27" i="18"/>
  <c r="F27" i="18" s="1"/>
  <c r="D26" i="18"/>
  <c r="D105" i="18"/>
  <c r="F105" i="18" s="1"/>
  <c r="D101" i="18"/>
  <c r="F101" i="18" s="1"/>
  <c r="D97" i="18"/>
  <c r="F97" i="18" s="1"/>
  <c r="D82" i="18"/>
  <c r="F82" i="18" s="1"/>
  <c r="D68" i="18"/>
  <c r="F68" i="18" s="1"/>
  <c r="D66" i="18"/>
  <c r="F66" i="18" s="1"/>
  <c r="D88" i="18"/>
  <c r="F88" i="18" s="1"/>
  <c r="D80" i="18"/>
  <c r="F80" i="18" s="1"/>
  <c r="D55" i="18"/>
  <c r="F55" i="18" s="1"/>
  <c r="D50" i="18"/>
  <c r="F50" i="18" s="1"/>
  <c r="D143" i="15"/>
  <c r="F143" i="15" s="1"/>
  <c r="D140" i="15"/>
  <c r="F140" i="15" s="1"/>
  <c r="D59" i="15"/>
  <c r="F59" i="15" s="1"/>
  <c r="D56" i="15"/>
  <c r="F56" i="15" s="1"/>
  <c r="D48" i="15"/>
  <c r="F48" i="15" s="1"/>
  <c r="D46" i="15"/>
  <c r="F46" i="15" s="1"/>
  <c r="D39" i="15"/>
  <c r="F39" i="15" s="1"/>
  <c r="D132" i="15"/>
  <c r="F132" i="15" s="1"/>
  <c r="D128" i="15"/>
  <c r="F128" i="15" s="1"/>
  <c r="D103" i="15"/>
  <c r="F103" i="15" s="1"/>
  <c r="D99" i="15"/>
  <c r="F99" i="15" s="1"/>
  <c r="D109" i="15"/>
  <c r="F109" i="15" s="1"/>
  <c r="D94" i="15"/>
  <c r="F94" i="15" s="1"/>
  <c r="D87" i="15"/>
  <c r="F87" i="15" s="1"/>
  <c r="D81" i="15"/>
  <c r="F81" i="15" s="1"/>
  <c r="D75" i="15"/>
  <c r="F75" i="15" s="1"/>
  <c r="D72" i="15"/>
  <c r="F72" i="15" s="1"/>
  <c r="D62" i="15"/>
  <c r="F62" i="15" s="1"/>
  <c r="D104" i="17"/>
  <c r="F104" i="17" s="1"/>
  <c r="D96" i="17"/>
  <c r="F96" i="17" s="1"/>
  <c r="D86" i="17"/>
  <c r="F86" i="17" s="1"/>
  <c r="D90" i="17"/>
  <c r="F90" i="17" s="1"/>
  <c r="D80" i="17"/>
  <c r="F80" i="17" s="1"/>
  <c r="D67" i="17"/>
  <c r="G67" i="17" s="1"/>
  <c r="F60" i="17"/>
  <c r="D55" i="17"/>
  <c r="F55" i="17" s="1"/>
  <c r="F51" i="17"/>
  <c r="D66" i="17"/>
  <c r="F66" i="17" s="1"/>
  <c r="D44" i="17"/>
  <c r="F44" i="17" s="1"/>
  <c r="D40" i="17"/>
  <c r="F40" i="17" s="1"/>
  <c r="D31" i="17"/>
  <c r="F31" i="17" s="1"/>
  <c r="D26" i="17"/>
  <c r="F26" i="17" s="1"/>
  <c r="D15" i="17"/>
  <c r="F15" i="17" s="1"/>
  <c r="D110" i="14"/>
  <c r="F110" i="14" s="1"/>
  <c r="D41" i="14"/>
  <c r="F41" i="14" s="1"/>
  <c r="D34" i="14"/>
  <c r="F34" i="14" s="1"/>
  <c r="D32" i="14"/>
  <c r="F32" i="14" s="1"/>
  <c r="D26" i="14"/>
  <c r="F26" i="14" s="1"/>
  <c r="D108" i="14"/>
  <c r="F108" i="14" s="1"/>
  <c r="D103" i="14"/>
  <c r="F103" i="14" s="1"/>
  <c r="D95" i="14"/>
  <c r="F95" i="14" s="1"/>
  <c r="D91" i="14"/>
  <c r="F91" i="14" s="1"/>
  <c r="D85" i="14"/>
  <c r="F85" i="14" s="1"/>
  <c r="D71" i="14"/>
  <c r="F71" i="14" s="1"/>
  <c r="F64" i="14"/>
  <c r="D78" i="14"/>
  <c r="F78" i="14" s="1"/>
  <c r="D62" i="14"/>
  <c r="F62" i="14" s="1"/>
  <c r="D56" i="14"/>
  <c r="F56" i="14" s="1"/>
  <c r="D50" i="14"/>
  <c r="F50" i="14" s="1"/>
  <c r="D127" i="11"/>
  <c r="F127" i="11" s="1"/>
  <c r="D48" i="11"/>
  <c r="F48" i="11" s="1"/>
  <c r="D44" i="11"/>
  <c r="F44" i="11" s="1"/>
  <c r="D40" i="11"/>
  <c r="F40" i="11" s="1"/>
  <c r="D33" i="11"/>
  <c r="F33" i="11" s="1"/>
  <c r="D122" i="11"/>
  <c r="F122" i="11" s="1"/>
  <c r="D118" i="11"/>
  <c r="F118" i="11" s="1"/>
  <c r="D114" i="11"/>
  <c r="F114" i="11" s="1"/>
  <c r="D111" i="11"/>
  <c r="F111" i="11" s="1"/>
  <c r="D106" i="11"/>
  <c r="F106" i="11" s="1"/>
  <c r="F98" i="11"/>
  <c r="D84" i="11"/>
  <c r="F84" i="11" s="1"/>
  <c r="D96" i="11"/>
  <c r="F96" i="11" s="1"/>
  <c r="D75" i="11"/>
  <c r="F75" i="11" s="1"/>
  <c r="D70" i="11"/>
  <c r="F70" i="11" s="1"/>
  <c r="D62" i="11"/>
  <c r="F62" i="11" s="1"/>
  <c r="D54" i="11"/>
  <c r="F54" i="11" s="1"/>
  <c r="F13" i="11"/>
  <c r="D27" i="10"/>
  <c r="F27" i="10" s="1"/>
  <c r="D23" i="10"/>
  <c r="F23" i="10" s="1"/>
  <c r="D16" i="10"/>
  <c r="F16" i="10" s="1"/>
  <c r="D99" i="10"/>
  <c r="F99" i="10" s="1"/>
  <c r="D95" i="10"/>
  <c r="F95" i="10" s="1"/>
  <c r="D92" i="10"/>
  <c r="F92" i="10" s="1"/>
  <c r="D87" i="10"/>
  <c r="F87" i="10" s="1"/>
  <c r="F72" i="10"/>
  <c r="D58" i="10"/>
  <c r="F58" i="10" s="1"/>
  <c r="D70" i="10"/>
  <c r="F70" i="10" s="1"/>
  <c r="D54" i="10"/>
  <c r="F54" i="10" s="1"/>
  <c r="D46" i="10"/>
  <c r="F46" i="10" s="1"/>
  <c r="D44" i="10"/>
  <c r="G44" i="10" s="1"/>
  <c r="D38" i="10"/>
  <c r="F38" i="10" s="1"/>
  <c r="D15" i="9"/>
  <c r="F15" i="9" s="1"/>
  <c r="D8" i="9"/>
  <c r="F8" i="9" s="1"/>
  <c r="D81" i="9"/>
  <c r="F81" i="9" s="1"/>
  <c r="D77" i="9"/>
  <c r="F77" i="9" s="1"/>
  <c r="D74" i="9"/>
  <c r="F74" i="9" s="1"/>
  <c r="D69" i="9"/>
  <c r="F69" i="9" s="1"/>
  <c r="D61" i="9"/>
  <c r="F61" i="9" s="1"/>
  <c r="D42" i="9"/>
  <c r="F42" i="9" s="1"/>
  <c r="D53" i="9"/>
  <c r="F53" i="9" s="1"/>
  <c r="D59" i="9"/>
  <c r="F59" i="9" s="1"/>
  <c r="D33" i="9"/>
  <c r="F33" i="9" s="1"/>
  <c r="D27" i="9"/>
  <c r="F27" i="9" s="1"/>
  <c r="D21" i="9"/>
  <c r="F21" i="9" s="1"/>
  <c r="D54" i="12"/>
  <c r="F54" i="12" s="1"/>
  <c r="D48" i="12"/>
  <c r="F48" i="12" s="1"/>
  <c r="D41" i="12"/>
  <c r="F41" i="12" s="1"/>
  <c r="D34" i="12"/>
  <c r="F34" i="12" s="1"/>
  <c r="D32" i="12"/>
  <c r="F32" i="12" s="1"/>
  <c r="D26" i="12"/>
  <c r="F26" i="12" s="1"/>
  <c r="D23" i="31"/>
  <c r="F23" i="31" s="1"/>
  <c r="D47" i="31"/>
  <c r="F47" i="31" s="1"/>
  <c r="D41" i="31"/>
  <c r="F41" i="31" s="1"/>
  <c r="D32" i="31"/>
  <c r="F32" i="31" s="1"/>
  <c r="D38" i="8"/>
  <c r="F38" i="8" s="1"/>
  <c r="D39" i="8"/>
  <c r="F39" i="8" s="1"/>
  <c r="D40" i="8"/>
  <c r="F40" i="8" s="1"/>
  <c r="D41" i="8"/>
  <c r="F41" i="8" s="1"/>
  <c r="D42" i="8"/>
  <c r="F42" i="8" s="1"/>
  <c r="D32" i="8"/>
  <c r="F32" i="8" s="1"/>
  <c r="F33" i="8"/>
  <c r="F34" i="8"/>
  <c r="D57" i="8"/>
  <c r="F57" i="8" s="1"/>
  <c r="D58" i="8"/>
  <c r="F58" i="8" s="1"/>
  <c r="D59" i="8"/>
  <c r="F59" i="8" s="1"/>
  <c r="D60" i="8"/>
  <c r="F60" i="8" s="1"/>
  <c r="D61" i="8"/>
  <c r="F61" i="8" s="1"/>
  <c r="D62" i="8"/>
  <c r="F62" i="8" s="1"/>
  <c r="D21" i="8"/>
  <c r="G20" i="8" s="1"/>
  <c r="D30" i="8"/>
  <c r="F30" i="8" s="1"/>
  <c r="D91" i="8"/>
  <c r="F91" i="8" s="1"/>
  <c r="D89" i="8"/>
  <c r="F89" i="8" s="1"/>
  <c r="D83" i="8"/>
  <c r="F83" i="8" s="1"/>
  <c r="D81" i="8"/>
  <c r="D75" i="8"/>
  <c r="F75" i="8" s="1"/>
  <c r="D69" i="8"/>
  <c r="F69" i="8" s="1"/>
  <c r="F48" i="8"/>
  <c r="D26" i="27"/>
  <c r="F26" i="27" s="1"/>
  <c r="D27" i="27"/>
  <c r="F27" i="27" s="1"/>
  <c r="D28" i="27"/>
  <c r="F28" i="27" s="1"/>
  <c r="D131" i="23"/>
  <c r="F131" i="23" s="1"/>
  <c r="F132" i="23"/>
  <c r="D54" i="21"/>
  <c r="F54" i="21" s="1"/>
  <c r="D55" i="21"/>
  <c r="F55" i="21" s="1"/>
  <c r="D56" i="21"/>
  <c r="F56" i="21" s="1"/>
  <c r="D115" i="21"/>
  <c r="F115" i="21" s="1"/>
  <c r="F116" i="21"/>
  <c r="D100" i="21"/>
  <c r="F100" i="21" s="1"/>
  <c r="D102" i="21"/>
  <c r="F102" i="21" s="1"/>
  <c r="D103" i="21"/>
  <c r="F103" i="21" s="1"/>
  <c r="D104" i="21"/>
  <c r="F104" i="21" s="1"/>
  <c r="D105" i="21"/>
  <c r="F105" i="21" s="1"/>
  <c r="D112" i="20"/>
  <c r="F112" i="20" s="1"/>
  <c r="F113" i="20"/>
  <c r="D91" i="20"/>
  <c r="F91" i="20" s="1"/>
  <c r="D92" i="20"/>
  <c r="F92" i="20" s="1"/>
  <c r="D93" i="20"/>
  <c r="F93" i="20" s="1"/>
  <c r="D95" i="20"/>
  <c r="F95" i="20" s="1"/>
  <c r="D96" i="20"/>
  <c r="F96" i="20" s="1"/>
  <c r="D83" i="18"/>
  <c r="F83" i="18" s="1"/>
  <c r="F84" i="18"/>
  <c r="D69" i="18"/>
  <c r="F69" i="18" s="1"/>
  <c r="D70" i="18"/>
  <c r="F70" i="18" s="1"/>
  <c r="D71" i="18"/>
  <c r="F71" i="18" s="1"/>
  <c r="D72" i="18"/>
  <c r="F72" i="18" s="1"/>
  <c r="D73" i="18"/>
  <c r="F73" i="18" s="1"/>
  <c r="D39" i="18"/>
  <c r="F39" i="18" s="1"/>
  <c r="D40" i="18"/>
  <c r="F40" i="18" s="1"/>
  <c r="D104" i="15"/>
  <c r="F104" i="15" s="1"/>
  <c r="F105" i="15"/>
  <c r="D96" i="15"/>
  <c r="F96" i="15" s="1"/>
  <c r="D97" i="15"/>
  <c r="F97" i="15" s="1"/>
  <c r="D98" i="15"/>
  <c r="F98" i="15" s="1"/>
  <c r="D100" i="15"/>
  <c r="F100" i="15" s="1"/>
  <c r="D101" i="15"/>
  <c r="F101" i="15" s="1"/>
  <c r="D36" i="15"/>
  <c r="F36" i="15" s="1"/>
  <c r="D37" i="15"/>
  <c r="F37" i="15" s="1"/>
  <c r="D91" i="17"/>
  <c r="F91" i="17" s="1"/>
  <c r="D92" i="17"/>
  <c r="F92" i="17" s="1"/>
  <c r="D93" i="17"/>
  <c r="F93" i="17" s="1"/>
  <c r="D94" i="17"/>
  <c r="F94" i="17" s="1"/>
  <c r="D53" i="17"/>
  <c r="F53" i="17" s="1"/>
  <c r="D54" i="17"/>
  <c r="F54" i="17" s="1"/>
  <c r="D56" i="17"/>
  <c r="F56" i="17" s="1"/>
  <c r="D57" i="17"/>
  <c r="F57" i="17" s="1"/>
  <c r="F61" i="17"/>
  <c r="F62" i="17"/>
  <c r="F86" i="14"/>
  <c r="F87" i="14"/>
  <c r="D39" i="14"/>
  <c r="F39" i="14" s="1"/>
  <c r="D40" i="14"/>
  <c r="F40" i="14" s="1"/>
  <c r="D44" i="14"/>
  <c r="F44" i="14" s="1"/>
  <c r="F99" i="11"/>
  <c r="F100" i="11"/>
  <c r="D46" i="11"/>
  <c r="F46" i="11" s="1"/>
  <c r="D47" i="11"/>
  <c r="F47" i="11" s="1"/>
  <c r="D51" i="11"/>
  <c r="F51" i="11" s="1"/>
  <c r="D59" i="10"/>
  <c r="F59" i="10" s="1"/>
  <c r="D60" i="10"/>
  <c r="F60" i="10" s="1"/>
  <c r="D61" i="10"/>
  <c r="F61" i="10" s="1"/>
  <c r="D62" i="10"/>
  <c r="F62" i="10" s="1"/>
  <c r="D63" i="10"/>
  <c r="F63" i="10" s="1"/>
  <c r="F73" i="10"/>
  <c r="F74" i="10"/>
  <c r="D25" i="10"/>
  <c r="F25" i="10" s="1"/>
  <c r="D26" i="10"/>
  <c r="F26" i="10" s="1"/>
  <c r="D30" i="10"/>
  <c r="F30" i="10" s="1"/>
  <c r="D43" i="9"/>
  <c r="F43" i="9" s="1"/>
  <c r="D44" i="9"/>
  <c r="F44" i="9" s="1"/>
  <c r="D45" i="9"/>
  <c r="F45" i="9" s="1"/>
  <c r="D46" i="9"/>
  <c r="F46" i="9" s="1"/>
  <c r="D47" i="9"/>
  <c r="F47" i="9" s="1"/>
  <c r="F62" i="9"/>
  <c r="F63" i="9"/>
  <c r="D42" i="12"/>
  <c r="F42" i="12" s="1"/>
  <c r="D43" i="12"/>
  <c r="F43" i="12" s="1"/>
  <c r="D44" i="12"/>
  <c r="F44" i="12" s="1"/>
  <c r="D45" i="12"/>
  <c r="F45" i="12" s="1"/>
  <c r="D46" i="12"/>
  <c r="F46" i="12" s="1"/>
  <c r="D22" i="12"/>
  <c r="F22" i="12" s="1"/>
  <c r="D23" i="12"/>
  <c r="F23" i="12" s="1"/>
  <c r="D24" i="12"/>
  <c r="F24" i="12" s="1"/>
  <c r="D25" i="12"/>
  <c r="F25" i="12" s="1"/>
  <c r="D56" i="27"/>
  <c r="G48" i="27" s="1"/>
  <c r="D21" i="27"/>
  <c r="F21" i="27" s="1"/>
  <c r="D22" i="27"/>
  <c r="F22" i="27" s="1"/>
  <c r="D35" i="27"/>
  <c r="F35" i="27" s="1"/>
  <c r="D37" i="27"/>
  <c r="F37" i="27" s="1"/>
  <c r="D38" i="27"/>
  <c r="F38" i="27" s="1"/>
  <c r="D39" i="27"/>
  <c r="F39" i="27" s="1"/>
  <c r="D40" i="27"/>
  <c r="F40" i="27" s="1"/>
  <c r="D42" i="27"/>
  <c r="F42" i="27" s="1"/>
  <c r="D43" i="27"/>
  <c r="F43" i="27" s="1"/>
  <c r="D44" i="27"/>
  <c r="F44" i="27" s="1"/>
  <c r="D19" i="27"/>
  <c r="G19" i="27" s="1"/>
  <c r="D13" i="27"/>
  <c r="F13" i="27" s="1"/>
  <c r="D14" i="27"/>
  <c r="F14" i="27" s="1"/>
  <c r="D15" i="27"/>
  <c r="F15" i="27" s="1"/>
  <c r="D17" i="27"/>
  <c r="F17" i="27" s="1"/>
  <c r="D18" i="27"/>
  <c r="F18" i="27" s="1"/>
  <c r="D61" i="18"/>
  <c r="F61" i="18" s="1"/>
  <c r="D62" i="18"/>
  <c r="F62" i="18" s="1"/>
  <c r="D63" i="18"/>
  <c r="F63" i="18" s="1"/>
  <c r="D64" i="18"/>
  <c r="F64" i="18" s="1"/>
  <c r="D65" i="18"/>
  <c r="F65" i="18" s="1"/>
  <c r="D45" i="18"/>
  <c r="F45" i="18" s="1"/>
  <c r="D46" i="18"/>
  <c r="F46" i="18" s="1"/>
  <c r="D43" i="18"/>
  <c r="F43" i="18" s="1"/>
  <c r="D103" i="18"/>
  <c r="F103" i="18" s="1"/>
  <c r="D102" i="18"/>
  <c r="F102" i="18" s="1"/>
  <c r="D98" i="18"/>
  <c r="F98" i="18" s="1"/>
  <c r="D99" i="18"/>
  <c r="F99" i="18" s="1"/>
  <c r="D106" i="18"/>
  <c r="F106" i="18" s="1"/>
  <c r="D107" i="18"/>
  <c r="F107" i="18" s="1"/>
  <c r="D108" i="18"/>
  <c r="F108" i="18" s="1"/>
  <c r="D49" i="18"/>
  <c r="F49" i="18" s="1"/>
  <c r="D51" i="18"/>
  <c r="F51" i="18" s="1"/>
  <c r="D52" i="18"/>
  <c r="F52" i="18" s="1"/>
  <c r="D53" i="18"/>
  <c r="F53" i="18" s="1"/>
  <c r="D56" i="18"/>
  <c r="F56" i="18" s="1"/>
  <c r="D58" i="18"/>
  <c r="F58" i="18" s="1"/>
  <c r="D59" i="18"/>
  <c r="F59" i="18" s="1"/>
  <c r="D89" i="18"/>
  <c r="G89" i="18" s="1"/>
  <c r="D116" i="18"/>
  <c r="F116" i="18" s="1"/>
  <c r="D117" i="18"/>
  <c r="F117" i="18" s="1"/>
  <c r="D118" i="18"/>
  <c r="F118" i="18" s="1"/>
  <c r="D119" i="18"/>
  <c r="F119" i="18" s="1"/>
  <c r="D120" i="18"/>
  <c r="F120" i="18" s="1"/>
  <c r="D127" i="18"/>
  <c r="D54" i="15"/>
  <c r="F54" i="15" s="1"/>
  <c r="D55" i="15"/>
  <c r="F55" i="15" s="1"/>
  <c r="D134" i="15"/>
  <c r="F134" i="15" s="1"/>
  <c r="D133" i="15"/>
  <c r="F133" i="15" s="1"/>
  <c r="D61" i="15"/>
  <c r="F61" i="15" s="1"/>
  <c r="D63" i="15"/>
  <c r="F63" i="15" s="1"/>
  <c r="D64" i="15"/>
  <c r="F64" i="15" s="1"/>
  <c r="D65" i="15"/>
  <c r="F65" i="15" s="1"/>
  <c r="D67" i="15"/>
  <c r="F67" i="15" s="1"/>
  <c r="D68" i="15"/>
  <c r="F68" i="15" s="1"/>
  <c r="D69" i="15"/>
  <c r="F69" i="15" s="1"/>
  <c r="D70" i="15"/>
  <c r="F70" i="15" s="1"/>
  <c r="D71" i="15"/>
  <c r="F71" i="15" s="1"/>
  <c r="D74" i="15"/>
  <c r="F74" i="15" s="1"/>
  <c r="D76" i="15"/>
  <c r="F76" i="15" s="1"/>
  <c r="D77" i="15"/>
  <c r="F77" i="15" s="1"/>
  <c r="D78" i="15"/>
  <c r="F78" i="15" s="1"/>
  <c r="D58" i="15"/>
  <c r="F58" i="15" s="1"/>
  <c r="D40" i="15"/>
  <c r="F40" i="15" s="1"/>
  <c r="D92" i="15"/>
  <c r="F92" i="15" s="1"/>
  <c r="D93" i="15"/>
  <c r="F93" i="15" s="1"/>
  <c r="D49" i="15"/>
  <c r="F49" i="15" s="1"/>
  <c r="D50" i="15"/>
  <c r="F50" i="15" s="1"/>
  <c r="D51" i="15"/>
  <c r="F51" i="15" s="1"/>
  <c r="D52" i="15"/>
  <c r="F52" i="15" s="1"/>
  <c r="D86" i="15"/>
  <c r="F86" i="15" s="1"/>
  <c r="D88" i="15"/>
  <c r="F88" i="15" s="1"/>
  <c r="D89" i="15"/>
  <c r="F89" i="15" s="1"/>
  <c r="D90" i="15"/>
  <c r="F90" i="15" s="1"/>
  <c r="D80" i="15"/>
  <c r="F80" i="15" s="1"/>
  <c r="D83" i="15"/>
  <c r="F83" i="15" s="1"/>
  <c r="D84" i="15"/>
  <c r="F84" i="15" s="1"/>
  <c r="D42" i="15"/>
  <c r="F42" i="15" s="1"/>
  <c r="D43" i="15"/>
  <c r="F43" i="15" s="1"/>
  <c r="D44" i="15"/>
  <c r="F44" i="15" s="1"/>
  <c r="D45" i="15"/>
  <c r="F45" i="15" s="1"/>
  <c r="G150" i="15"/>
  <c r="D136" i="15"/>
  <c r="F136" i="15" s="1"/>
  <c r="D137" i="15"/>
  <c r="F137" i="15" s="1"/>
  <c r="D138" i="15"/>
  <c r="F138" i="15" s="1"/>
  <c r="D139" i="15"/>
  <c r="F139" i="15" s="1"/>
  <c r="D72" i="14"/>
  <c r="F72" i="14" s="1"/>
  <c r="D73" i="14"/>
  <c r="F73" i="14" s="1"/>
  <c r="D74" i="14"/>
  <c r="F74" i="14" s="1"/>
  <c r="D75" i="14"/>
  <c r="F75" i="14" s="1"/>
  <c r="D76" i="14"/>
  <c r="F76" i="14" s="1"/>
  <c r="D28" i="14"/>
  <c r="F28" i="14" s="1"/>
  <c r="D29" i="14"/>
  <c r="F29" i="14" s="1"/>
  <c r="D30" i="14"/>
  <c r="F30" i="14" s="1"/>
  <c r="D31" i="14"/>
  <c r="F31" i="14" s="1"/>
  <c r="D58" i="14"/>
  <c r="F58" i="14" s="1"/>
  <c r="D59" i="14"/>
  <c r="F59" i="14" s="1"/>
  <c r="D61" i="14"/>
  <c r="F61" i="14" s="1"/>
  <c r="D115" i="14"/>
  <c r="D111" i="14"/>
  <c r="F111" i="14" s="1"/>
  <c r="D112" i="14"/>
  <c r="F112" i="14" s="1"/>
  <c r="D113" i="14"/>
  <c r="F113" i="14" s="1"/>
  <c r="D114" i="14"/>
  <c r="F114" i="14" s="1"/>
  <c r="F8" i="14"/>
  <c r="F9" i="14"/>
  <c r="D105" i="14"/>
  <c r="F105" i="14" s="1"/>
  <c r="D106" i="14"/>
  <c r="F106" i="14" s="1"/>
  <c r="D107" i="14"/>
  <c r="F107" i="14" s="1"/>
  <c r="D35" i="14"/>
  <c r="F35" i="14" s="1"/>
  <c r="D36" i="14"/>
  <c r="F36" i="14" s="1"/>
  <c r="D37" i="14"/>
  <c r="F37" i="14" s="1"/>
  <c r="F65" i="14"/>
  <c r="F66" i="14"/>
  <c r="F67" i="14"/>
  <c r="F68" i="14"/>
  <c r="F69" i="14"/>
  <c r="D52" i="14"/>
  <c r="F52" i="14" s="1"/>
  <c r="D53" i="14"/>
  <c r="F53" i="14" s="1"/>
  <c r="D54" i="14"/>
  <c r="F54" i="14" s="1"/>
  <c r="D55" i="14"/>
  <c r="F55" i="14" s="1"/>
  <c r="D46" i="14"/>
  <c r="F46" i="14" s="1"/>
  <c r="D47" i="14"/>
  <c r="F47" i="14" s="1"/>
  <c r="D48" i="14"/>
  <c r="F48" i="14" s="1"/>
  <c r="D49" i="14"/>
  <c r="F49" i="14" s="1"/>
  <c r="D22" i="14"/>
  <c r="F22" i="14" s="1"/>
  <c r="D23" i="14"/>
  <c r="F23" i="14" s="1"/>
  <c r="D24" i="14"/>
  <c r="F24" i="14" s="1"/>
  <c r="D25" i="14"/>
  <c r="F25" i="14" s="1"/>
  <c r="D101" i="14"/>
  <c r="F101" i="14" s="1"/>
  <c r="D102" i="14"/>
  <c r="F102" i="14" s="1"/>
  <c r="D96" i="14"/>
  <c r="F96" i="14" s="1"/>
  <c r="D97" i="14"/>
  <c r="F97" i="14" s="1"/>
  <c r="D98" i="14"/>
  <c r="F98" i="14" s="1"/>
  <c r="D99" i="14"/>
  <c r="F99" i="14" s="1"/>
  <c r="D19" i="11"/>
  <c r="F19" i="11" s="1"/>
  <c r="D34" i="11"/>
  <c r="F34" i="11" s="1"/>
  <c r="D35" i="11"/>
  <c r="F35" i="11" s="1"/>
  <c r="D36" i="11"/>
  <c r="F36" i="11" s="1"/>
  <c r="D85" i="11"/>
  <c r="F85" i="11" s="1"/>
  <c r="D86" i="11"/>
  <c r="F86" i="11" s="1"/>
  <c r="D87" i="11"/>
  <c r="F87" i="11" s="1"/>
  <c r="D88" i="11"/>
  <c r="F88" i="11" s="1"/>
  <c r="D89" i="11"/>
  <c r="F89" i="11" s="1"/>
  <c r="F14" i="11"/>
  <c r="D132" i="11"/>
  <c r="D128" i="11"/>
  <c r="F128" i="11" s="1"/>
  <c r="D129" i="11"/>
  <c r="F129" i="11" s="1"/>
  <c r="D130" i="11"/>
  <c r="F130" i="11" s="1"/>
  <c r="D131" i="11"/>
  <c r="F131" i="11" s="1"/>
  <c r="D42" i="11"/>
  <c r="F42" i="11" s="1"/>
  <c r="D43" i="11"/>
  <c r="F43" i="11" s="1"/>
  <c r="D119" i="11"/>
  <c r="F119" i="11" s="1"/>
  <c r="D120" i="11"/>
  <c r="F120" i="11" s="1"/>
  <c r="D59" i="11"/>
  <c r="F59" i="11" s="1"/>
  <c r="D60" i="11"/>
  <c r="F60" i="11" s="1"/>
  <c r="D61" i="11"/>
  <c r="F61" i="11" s="1"/>
  <c r="D63" i="11"/>
  <c r="F63" i="11" s="1"/>
  <c r="D64" i="11"/>
  <c r="F64" i="11" s="1"/>
  <c r="D53" i="11"/>
  <c r="F53" i="11" s="1"/>
  <c r="D55" i="11"/>
  <c r="F55" i="11" s="1"/>
  <c r="D56" i="11"/>
  <c r="F56" i="11" s="1"/>
  <c r="D57" i="11"/>
  <c r="F57" i="11" s="1"/>
  <c r="D66" i="11"/>
  <c r="F66" i="11" s="1"/>
  <c r="D67" i="11"/>
  <c r="F67" i="11" s="1"/>
  <c r="D68" i="11"/>
  <c r="F68" i="11" s="1"/>
  <c r="D69" i="11"/>
  <c r="F69" i="11" s="1"/>
  <c r="D72" i="11"/>
  <c r="F72" i="11" s="1"/>
  <c r="D73" i="11"/>
  <c r="F73" i="11" s="1"/>
  <c r="D74" i="11"/>
  <c r="F74" i="11" s="1"/>
  <c r="D123" i="11"/>
  <c r="F123" i="11" s="1"/>
  <c r="D124" i="11"/>
  <c r="F124" i="11" s="1"/>
  <c r="D125" i="11"/>
  <c r="F125" i="11" s="1"/>
  <c r="F77" i="11"/>
  <c r="F78" i="11"/>
  <c r="F79" i="11"/>
  <c r="F80" i="11"/>
  <c r="F81" i="11"/>
  <c r="F82" i="11"/>
  <c r="D38" i="11"/>
  <c r="F38" i="11" s="1"/>
  <c r="D39" i="11"/>
  <c r="F39" i="11" s="1"/>
  <c r="D115" i="11"/>
  <c r="F115" i="11" s="1"/>
  <c r="D116" i="11"/>
  <c r="F116" i="11" s="1"/>
  <c r="D108" i="11"/>
  <c r="F108" i="11" s="1"/>
  <c r="D109" i="11"/>
  <c r="F109" i="11" s="1"/>
  <c r="D110" i="11"/>
  <c r="F110" i="11" s="1"/>
  <c r="D112" i="11"/>
  <c r="F112" i="11" s="1"/>
  <c r="F32" i="10"/>
  <c r="F33" i="10"/>
  <c r="F34" i="10"/>
  <c r="F35" i="10"/>
  <c r="F36" i="10"/>
  <c r="D75" i="10"/>
  <c r="G75" i="10" s="1"/>
  <c r="D47" i="10"/>
  <c r="F47" i="10" s="1"/>
  <c r="D49" i="10"/>
  <c r="F49" i="10" s="1"/>
  <c r="D50" i="10"/>
  <c r="F50" i="10" s="1"/>
  <c r="D52" i="10"/>
  <c r="F52" i="10" s="1"/>
  <c r="D53" i="10"/>
  <c r="F53" i="10" s="1"/>
  <c r="D55" i="10"/>
  <c r="F55" i="10" s="1"/>
  <c r="D56" i="10"/>
  <c r="F56" i="10" s="1"/>
  <c r="D39" i="10"/>
  <c r="F39" i="10" s="1"/>
  <c r="D40" i="10"/>
  <c r="F40" i="10" s="1"/>
  <c r="D41" i="10"/>
  <c r="F41" i="10" s="1"/>
  <c r="D42" i="10"/>
  <c r="F42" i="10" s="1"/>
  <c r="D43" i="10"/>
  <c r="F43" i="10" s="1"/>
  <c r="D96" i="10"/>
  <c r="F96" i="10" s="1"/>
  <c r="D97" i="10"/>
  <c r="F97" i="10" s="1"/>
  <c r="D100" i="10"/>
  <c r="F100" i="10" s="1"/>
  <c r="D101" i="10"/>
  <c r="F101" i="10" s="1"/>
  <c r="D102" i="10"/>
  <c r="F102" i="10" s="1"/>
  <c r="D17" i="10"/>
  <c r="F17" i="10" s="1"/>
  <c r="D18" i="10"/>
  <c r="F18" i="10" s="1"/>
  <c r="D19" i="10"/>
  <c r="F19" i="10" s="1"/>
  <c r="D21" i="10"/>
  <c r="F21" i="10" s="1"/>
  <c r="D22" i="10"/>
  <c r="F22" i="10" s="1"/>
  <c r="D89" i="10"/>
  <c r="F89" i="10" s="1"/>
  <c r="D90" i="10"/>
  <c r="F90" i="10" s="1"/>
  <c r="D91" i="10"/>
  <c r="F91" i="10" s="1"/>
  <c r="D93" i="10"/>
  <c r="F93" i="10" s="1"/>
  <c r="D82" i="9"/>
  <c r="F82" i="9" s="1"/>
  <c r="D83" i="9"/>
  <c r="F83" i="9" s="1"/>
  <c r="D84" i="9"/>
  <c r="F84" i="9" s="1"/>
  <c r="D17" i="9"/>
  <c r="F17" i="9" s="1"/>
  <c r="D18" i="9"/>
  <c r="F18" i="9" s="1"/>
  <c r="D19" i="9"/>
  <c r="F19" i="9" s="1"/>
  <c r="D20" i="9"/>
  <c r="F20" i="9" s="1"/>
  <c r="D23" i="9"/>
  <c r="F23" i="9" s="1"/>
  <c r="D24" i="9"/>
  <c r="F24" i="9" s="1"/>
  <c r="D26" i="9"/>
  <c r="F26" i="9" s="1"/>
  <c r="D29" i="9"/>
  <c r="F29" i="9" s="1"/>
  <c r="D30" i="9"/>
  <c r="F30" i="9" s="1"/>
  <c r="D31" i="9"/>
  <c r="F31" i="9" s="1"/>
  <c r="D32" i="9"/>
  <c r="F32" i="9" s="1"/>
  <c r="D78" i="9"/>
  <c r="F78" i="9" s="1"/>
  <c r="D79" i="9"/>
  <c r="F79" i="9" s="1"/>
  <c r="D9" i="9"/>
  <c r="F9" i="9" s="1"/>
  <c r="D10" i="9"/>
  <c r="F10" i="9" s="1"/>
  <c r="D11" i="9"/>
  <c r="F11" i="9" s="1"/>
  <c r="D13" i="9"/>
  <c r="F13" i="9" s="1"/>
  <c r="D14" i="9"/>
  <c r="F14" i="9" s="1"/>
  <c r="D71" i="9"/>
  <c r="F71" i="9" s="1"/>
  <c r="D72" i="9"/>
  <c r="F72" i="9" s="1"/>
  <c r="D73" i="9"/>
  <c r="F73" i="9" s="1"/>
  <c r="D75" i="9"/>
  <c r="F75" i="9" s="1"/>
  <c r="D16" i="12"/>
  <c r="F16" i="12" s="1"/>
  <c r="D17" i="12"/>
  <c r="F17" i="12" s="1"/>
  <c r="D18" i="12"/>
  <c r="F18" i="12" s="1"/>
  <c r="D19" i="12"/>
  <c r="F19" i="12" s="1"/>
  <c r="D20" i="12"/>
  <c r="F20" i="12" s="1"/>
  <c r="D28" i="12"/>
  <c r="F28" i="12" s="1"/>
  <c r="D29" i="12"/>
  <c r="F29" i="12" s="1"/>
  <c r="D30" i="12"/>
  <c r="F30" i="12" s="1"/>
  <c r="D31" i="12"/>
  <c r="F31" i="12" s="1"/>
  <c r="F35" i="12"/>
  <c r="F36" i="12"/>
  <c r="F37" i="12"/>
  <c r="F38" i="12"/>
  <c r="F39" i="12"/>
  <c r="D55" i="12"/>
  <c r="F55" i="12" s="1"/>
  <c r="D56" i="12"/>
  <c r="F56" i="12" s="1"/>
  <c r="D49" i="12"/>
  <c r="F49" i="12" s="1"/>
  <c r="D50" i="12"/>
  <c r="F50" i="12" s="1"/>
  <c r="D51" i="12"/>
  <c r="F51" i="12" s="1"/>
  <c r="D52" i="12"/>
  <c r="F52" i="12" s="1"/>
  <c r="D48" i="31"/>
  <c r="F48" i="31" s="1"/>
  <c r="D49" i="31"/>
  <c r="F49" i="31" s="1"/>
  <c r="D21" i="31"/>
  <c r="F21" i="31" s="1"/>
  <c r="D22" i="31"/>
  <c r="F22" i="31" s="1"/>
  <c r="D26" i="31"/>
  <c r="F26" i="31" s="1"/>
  <c r="D28" i="31"/>
  <c r="F28" i="31" s="1"/>
  <c r="D29" i="31"/>
  <c r="F29" i="31" s="1"/>
  <c r="D30" i="31"/>
  <c r="F30" i="31" s="1"/>
  <c r="D31" i="31"/>
  <c r="F31" i="31" s="1"/>
  <c r="D42" i="31"/>
  <c r="F42" i="31" s="1"/>
  <c r="D43" i="31"/>
  <c r="F43" i="31" s="1"/>
  <c r="D44" i="31"/>
  <c r="F44" i="31" s="1"/>
  <c r="D45" i="31"/>
  <c r="F45" i="31" s="1"/>
  <c r="D80" i="8"/>
  <c r="F80" i="8" s="1"/>
  <c r="D84" i="8"/>
  <c r="F84" i="8" s="1"/>
  <c r="D85" i="8"/>
  <c r="F85" i="8" s="1"/>
  <c r="D92" i="8"/>
  <c r="F92" i="8" s="1"/>
  <c r="D93" i="8"/>
  <c r="F93" i="8" s="1"/>
  <c r="D94" i="8"/>
  <c r="F94" i="8" s="1"/>
  <c r="D28" i="8"/>
  <c r="F28" i="8" s="1"/>
  <c r="D29" i="8"/>
  <c r="F29" i="8" s="1"/>
  <c r="D50" i="8"/>
  <c r="F50" i="8" s="1"/>
  <c r="D51" i="8"/>
  <c r="F51" i="8" s="1"/>
  <c r="F52" i="8"/>
  <c r="F53" i="8"/>
  <c r="F54" i="8"/>
  <c r="F55" i="8"/>
  <c r="D64" i="8"/>
  <c r="F64" i="8" s="1"/>
  <c r="D65" i="8"/>
  <c r="F65" i="8" s="1"/>
  <c r="D66" i="8"/>
  <c r="F66" i="8" s="1"/>
  <c r="D67" i="8"/>
  <c r="F67" i="8" s="1"/>
  <c r="D68" i="8"/>
  <c r="F68" i="8" s="1"/>
  <c r="D87" i="8"/>
  <c r="F87" i="8" s="1"/>
  <c r="D88" i="8"/>
  <c r="F88" i="8" s="1"/>
  <c r="D44" i="8"/>
  <c r="F44" i="8" s="1"/>
  <c r="F45" i="8"/>
  <c r="F47" i="8"/>
  <c r="G137" i="23"/>
  <c r="D119" i="21"/>
  <c r="F119" i="21" s="1"/>
  <c r="D120" i="21"/>
  <c r="F120" i="21" s="1"/>
  <c r="D78" i="21"/>
  <c r="F78" i="21" s="1"/>
  <c r="D81" i="21"/>
  <c r="F81" i="21" s="1"/>
  <c r="D82" i="21"/>
  <c r="F82" i="21" s="1"/>
  <c r="D72" i="21"/>
  <c r="F72" i="21" s="1"/>
  <c r="D73" i="21"/>
  <c r="F73" i="21" s="1"/>
  <c r="D75" i="21"/>
  <c r="F75" i="21" s="1"/>
  <c r="D76" i="21"/>
  <c r="F76" i="21" s="1"/>
  <c r="D48" i="23"/>
  <c r="F48" i="23" s="1"/>
  <c r="D83" i="23"/>
  <c r="F83" i="23" s="1"/>
  <c r="D78" i="23"/>
  <c r="F78" i="23" s="1"/>
  <c r="D80" i="23"/>
  <c r="F80" i="23" s="1"/>
  <c r="D81" i="23"/>
  <c r="F81" i="23" s="1"/>
  <c r="D72" i="23"/>
  <c r="F72" i="23" s="1"/>
  <c r="D73" i="23"/>
  <c r="F73" i="23" s="1"/>
  <c r="D75" i="23"/>
  <c r="F75" i="23" s="1"/>
  <c r="D76" i="23"/>
  <c r="F76" i="23" s="1"/>
  <c r="F131" i="20"/>
  <c r="F132" i="20"/>
  <c r="F133" i="20"/>
  <c r="F134" i="20"/>
  <c r="D137" i="20"/>
  <c r="F137" i="20" s="1"/>
  <c r="D138" i="20"/>
  <c r="F138" i="20" s="1"/>
  <c r="D139" i="20"/>
  <c r="F139" i="20" s="1"/>
  <c r="D140" i="20"/>
  <c r="F140" i="20" s="1"/>
  <c r="D141" i="20"/>
  <c r="F141" i="20" s="1"/>
  <c r="D145" i="20"/>
  <c r="F145" i="20" s="1"/>
  <c r="D146" i="20"/>
  <c r="F146" i="20" s="1"/>
  <c r="D147" i="20"/>
  <c r="F147" i="20" s="1"/>
  <c r="D34" i="17"/>
  <c r="G34" i="17" s="1"/>
  <c r="D33" i="17"/>
  <c r="G33" i="17" s="1"/>
  <c r="D81" i="17"/>
  <c r="F81" i="17" s="1"/>
  <c r="D82" i="17"/>
  <c r="F82" i="17" s="1"/>
  <c r="D97" i="17"/>
  <c r="F97" i="17" s="1"/>
  <c r="D98" i="17"/>
  <c r="F98" i="17" s="1"/>
  <c r="D77" i="8"/>
  <c r="F77" i="8" s="1"/>
  <c r="D78" i="8"/>
  <c r="F78" i="8" s="1"/>
  <c r="D79" i="8"/>
  <c r="F79" i="8" s="1"/>
  <c r="D97" i="23"/>
  <c r="F97" i="23" s="1"/>
  <c r="D99" i="23"/>
  <c r="F99" i="23" s="1"/>
  <c r="D100" i="23"/>
  <c r="F100" i="23" s="1"/>
  <c r="D101" i="23"/>
  <c r="F101" i="23" s="1"/>
  <c r="D102" i="23"/>
  <c r="F102" i="23" s="1"/>
  <c r="D46" i="23"/>
  <c r="F46" i="23" s="1"/>
  <c r="F57" i="23"/>
  <c r="F59" i="23"/>
  <c r="D61" i="23"/>
  <c r="F61" i="23" s="1"/>
  <c r="D62" i="23"/>
  <c r="F62" i="23" s="1"/>
  <c r="D66" i="23"/>
  <c r="F66" i="23" s="1"/>
  <c r="D67" i="23"/>
  <c r="F67" i="23" s="1"/>
  <c r="D70" i="23"/>
  <c r="F70" i="23" s="1"/>
  <c r="D135" i="23"/>
  <c r="F135" i="23" s="1"/>
  <c r="D136" i="23"/>
  <c r="F136" i="23" s="1"/>
  <c r="D51" i="23"/>
  <c r="F51" i="23" s="1"/>
  <c r="D52" i="23"/>
  <c r="F52" i="23" s="1"/>
  <c r="D54" i="23"/>
  <c r="F54" i="23" s="1"/>
  <c r="D55" i="23"/>
  <c r="F55" i="23" s="1"/>
  <c r="D158" i="23"/>
  <c r="D154" i="23"/>
  <c r="F154" i="23" s="1"/>
  <c r="D155" i="23"/>
  <c r="F155" i="23" s="1"/>
  <c r="D156" i="23"/>
  <c r="F156" i="23" s="1"/>
  <c r="D157" i="23"/>
  <c r="F157" i="23" s="1"/>
  <c r="D104" i="23"/>
  <c r="F104" i="23" s="1"/>
  <c r="D105" i="23"/>
  <c r="F105" i="23" s="1"/>
  <c r="D108" i="23"/>
  <c r="F108" i="23" s="1"/>
  <c r="D111" i="23"/>
  <c r="F111" i="23" s="1"/>
  <c r="D112" i="23"/>
  <c r="F112" i="23" s="1"/>
  <c r="D113" i="23"/>
  <c r="F113" i="23" s="1"/>
  <c r="D114" i="23"/>
  <c r="F114" i="23" s="1"/>
  <c r="D149" i="23"/>
  <c r="F149" i="23" s="1"/>
  <c r="D122" i="21"/>
  <c r="F122" i="21" s="1"/>
  <c r="D123" i="21"/>
  <c r="F123" i="21" s="1"/>
  <c r="D124" i="21"/>
  <c r="F124" i="21" s="1"/>
  <c r="D125" i="21"/>
  <c r="F125" i="21" s="1"/>
  <c r="D87" i="23"/>
  <c r="F87" i="23" s="1"/>
  <c r="D88" i="23"/>
  <c r="F88" i="23" s="1"/>
  <c r="D89" i="23"/>
  <c r="F89" i="23" s="1"/>
  <c r="D90" i="23"/>
  <c r="F90" i="23" s="1"/>
  <c r="D160" i="23"/>
  <c r="F160" i="23" s="1"/>
  <c r="D161" i="23"/>
  <c r="F161" i="23" s="1"/>
  <c r="D162" i="23"/>
  <c r="F162" i="23" s="1"/>
  <c r="D163" i="23"/>
  <c r="F163" i="23" s="1"/>
  <c r="D164" i="23"/>
  <c r="F164" i="23" s="1"/>
  <c r="D168" i="23"/>
  <c r="F168" i="23" s="1"/>
  <c r="D169" i="23"/>
  <c r="F169" i="23" s="1"/>
  <c r="D170" i="23"/>
  <c r="F170" i="23" s="1"/>
  <c r="D171" i="23"/>
  <c r="D93" i="23"/>
  <c r="F93" i="23" s="1"/>
  <c r="D94" i="23"/>
  <c r="F94" i="23" s="1"/>
  <c r="D95" i="23"/>
  <c r="F95" i="23" s="1"/>
  <c r="D68" i="21"/>
  <c r="F68" i="21" s="1"/>
  <c r="D69" i="21"/>
  <c r="F69" i="21" s="1"/>
  <c r="D87" i="21"/>
  <c r="F87" i="21" s="1"/>
  <c r="D88" i="21"/>
  <c r="F88" i="21" s="1"/>
  <c r="F89" i="21"/>
  <c r="F90" i="21"/>
  <c r="D61" i="21"/>
  <c r="F61" i="21" s="1"/>
  <c r="D85" i="21"/>
  <c r="G83" i="21" s="1"/>
  <c r="F65" i="21"/>
  <c r="F66" i="21"/>
  <c r="D59" i="21"/>
  <c r="F59" i="21" s="1"/>
  <c r="D132" i="21"/>
  <c r="F132" i="21" s="1"/>
  <c r="D133" i="21"/>
  <c r="F133" i="21" s="1"/>
  <c r="D134" i="21"/>
  <c r="F134" i="21" s="1"/>
  <c r="D135" i="21"/>
  <c r="F135" i="21" s="1"/>
  <c r="D136" i="21"/>
  <c r="F136" i="21" s="1"/>
  <c r="D140" i="21"/>
  <c r="F140" i="21" s="1"/>
  <c r="D141" i="21"/>
  <c r="F141" i="21" s="1"/>
  <c r="D142" i="21"/>
  <c r="F142" i="21" s="1"/>
  <c r="D143" i="21"/>
  <c r="D21" i="17"/>
  <c r="F21" i="17" s="1"/>
  <c r="D22" i="17"/>
  <c r="F22" i="17" s="1"/>
  <c r="D23" i="17"/>
  <c r="F23" i="17" s="1"/>
  <c r="D24" i="17"/>
  <c r="F24" i="17" s="1"/>
  <c r="D25" i="17"/>
  <c r="F25" i="17" s="1"/>
  <c r="F16" i="17"/>
  <c r="F17" i="17"/>
  <c r="F18" i="17"/>
  <c r="F19" i="17"/>
  <c r="D36" i="17"/>
  <c r="F36" i="17" s="1"/>
  <c r="D37" i="17"/>
  <c r="F37" i="17" s="1"/>
  <c r="D38" i="17"/>
  <c r="F38" i="17" s="1"/>
  <c r="D39" i="17"/>
  <c r="F39" i="17" s="1"/>
  <c r="D46" i="17"/>
  <c r="F46" i="17" s="1"/>
  <c r="D47" i="17"/>
  <c r="F47" i="17" s="1"/>
  <c r="F48" i="17"/>
  <c r="F49" i="17"/>
  <c r="F50" i="17"/>
  <c r="D42" i="17"/>
  <c r="F42" i="17" s="1"/>
  <c r="D43" i="17"/>
  <c r="F43" i="17" s="1"/>
  <c r="D28" i="17"/>
  <c r="F28" i="17" s="1"/>
  <c r="D29" i="17"/>
  <c r="F29" i="17" s="1"/>
  <c r="D30" i="17"/>
  <c r="F30" i="17" s="1"/>
  <c r="D32" i="17"/>
  <c r="F32" i="17" s="1"/>
  <c r="G113" i="17"/>
  <c r="D100" i="17"/>
  <c r="F100" i="17" s="1"/>
  <c r="D101" i="17"/>
  <c r="F101" i="17" s="1"/>
  <c r="D102" i="17"/>
  <c r="F102" i="17" s="1"/>
  <c r="D103" i="17"/>
  <c r="F103" i="17" s="1"/>
  <c r="C28" i="27"/>
  <c r="A24" i="27"/>
  <c r="C27" i="27"/>
  <c r="C26" i="27"/>
  <c r="C25" i="27"/>
  <c r="C24" i="27"/>
  <c r="A175" i="23"/>
  <c r="A15" i="23"/>
  <c r="D20" i="23"/>
  <c r="D19" i="15"/>
  <c r="G18" i="15" s="1"/>
  <c r="A18" i="15"/>
  <c r="C19" i="15"/>
  <c r="C18" i="15"/>
  <c r="C20" i="23"/>
  <c r="C17" i="23"/>
  <c r="C16" i="23"/>
  <c r="C15" i="23"/>
  <c r="A151" i="23"/>
  <c r="C151" i="23"/>
  <c r="A56" i="23"/>
  <c r="C56" i="23"/>
  <c r="C46" i="23"/>
  <c r="C45" i="23"/>
  <c r="A44" i="23"/>
  <c r="C44" i="23"/>
  <c r="D35" i="21"/>
  <c r="A30" i="21"/>
  <c r="C35" i="21"/>
  <c r="C30" i="21"/>
  <c r="C40" i="18"/>
  <c r="C39" i="18"/>
  <c r="C38" i="18"/>
  <c r="C35" i="18"/>
  <c r="C34" i="18"/>
  <c r="A34" i="18"/>
  <c r="C102" i="23"/>
  <c r="C101" i="23"/>
  <c r="C100" i="23"/>
  <c r="C99" i="23"/>
  <c r="C98" i="23"/>
  <c r="C97" i="23"/>
  <c r="C96" i="23"/>
  <c r="A96" i="23"/>
  <c r="C19" i="27"/>
  <c r="A19" i="27"/>
  <c r="A77" i="21"/>
  <c r="C82" i="21"/>
  <c r="C81" i="21"/>
  <c r="C79" i="21"/>
  <c r="C78" i="21"/>
  <c r="C77" i="21"/>
  <c r="C37" i="15"/>
  <c r="C36" i="15"/>
  <c r="C35" i="15"/>
  <c r="C32" i="15"/>
  <c r="C31" i="15"/>
  <c r="A31" i="15"/>
  <c r="A108" i="10"/>
  <c r="A95" i="9"/>
  <c r="D55" i="27"/>
  <c r="D54" i="27"/>
  <c r="D53" i="27"/>
  <c r="D52" i="27"/>
  <c r="D51" i="27"/>
  <c r="D50" i="27"/>
  <c r="D49" i="27"/>
  <c r="C56" i="27"/>
  <c r="C55" i="27"/>
  <c r="C54" i="27"/>
  <c r="C53" i="27"/>
  <c r="C52" i="27"/>
  <c r="C51" i="27"/>
  <c r="C50" i="27"/>
  <c r="C49" i="27"/>
  <c r="C48" i="27"/>
  <c r="A28" i="23"/>
  <c r="C36" i="23"/>
  <c r="C35" i="23"/>
  <c r="C34" i="23"/>
  <c r="C33" i="23"/>
  <c r="C32" i="23"/>
  <c r="C31" i="23"/>
  <c r="C30" i="23"/>
  <c r="C29" i="23"/>
  <c r="C28" i="23"/>
  <c r="D121" i="23"/>
  <c r="D120" i="23"/>
  <c r="D119" i="23"/>
  <c r="D118" i="23"/>
  <c r="D116" i="23"/>
  <c r="A23" i="21"/>
  <c r="A83" i="21"/>
  <c r="D84" i="21"/>
  <c r="C85" i="21"/>
  <c r="C84" i="21"/>
  <c r="C83" i="21"/>
  <c r="C76" i="21"/>
  <c r="C75" i="21"/>
  <c r="C74" i="21"/>
  <c r="C73" i="21"/>
  <c r="C72" i="21"/>
  <c r="C71" i="21"/>
  <c r="C105" i="21"/>
  <c r="C104" i="21"/>
  <c r="C103" i="21"/>
  <c r="C102" i="21"/>
  <c r="C101" i="21"/>
  <c r="C100" i="21"/>
  <c r="C99" i="21"/>
  <c r="D45" i="20"/>
  <c r="F45" i="20" s="1"/>
  <c r="D44" i="20"/>
  <c r="F44" i="20" s="1"/>
  <c r="D43" i="20"/>
  <c r="F43" i="20" s="1"/>
  <c r="C46" i="20"/>
  <c r="C45" i="20"/>
  <c r="C44" i="20"/>
  <c r="C43" i="20"/>
  <c r="C42" i="20"/>
  <c r="A42" i="20"/>
  <c r="A113" i="17"/>
  <c r="C18" i="27"/>
  <c r="C17" i="27"/>
  <c r="C16" i="27"/>
  <c r="C15" i="27"/>
  <c r="C14" i="27"/>
  <c r="C13" i="27"/>
  <c r="A12" i="27"/>
  <c r="C11" i="27"/>
  <c r="C10" i="27"/>
  <c r="A11" i="27"/>
  <c r="A10" i="27"/>
  <c r="A48" i="27"/>
  <c r="C22" i="23"/>
  <c r="C21" i="23"/>
  <c r="A21" i="23"/>
  <c r="A77" i="23"/>
  <c r="C81" i="23"/>
  <c r="C80" i="23"/>
  <c r="C79" i="23"/>
  <c r="C78" i="23"/>
  <c r="C77" i="23"/>
  <c r="C76" i="23"/>
  <c r="C75" i="23"/>
  <c r="C74" i="23"/>
  <c r="C73" i="23"/>
  <c r="C72" i="23"/>
  <c r="C71" i="23"/>
  <c r="A71" i="23"/>
  <c r="C121" i="23"/>
  <c r="C120" i="23"/>
  <c r="C119" i="23"/>
  <c r="C118" i="23"/>
  <c r="C117" i="23"/>
  <c r="C116" i="23"/>
  <c r="C115" i="23"/>
  <c r="A115" i="23"/>
  <c r="C23" i="21"/>
  <c r="A99" i="21"/>
  <c r="A71" i="21"/>
  <c r="C143" i="21"/>
  <c r="A143" i="21"/>
  <c r="A130" i="18"/>
  <c r="C90" i="18"/>
  <c r="A90" i="18"/>
  <c r="C99" i="18"/>
  <c r="C98" i="18"/>
  <c r="C97" i="18"/>
  <c r="C96" i="18"/>
  <c r="A96" i="18"/>
  <c r="C52" i="15"/>
  <c r="C51" i="15"/>
  <c r="C50" i="15"/>
  <c r="C49" i="15"/>
  <c r="C48" i="15"/>
  <c r="C47" i="15"/>
  <c r="A47" i="15"/>
  <c r="A150" i="15"/>
  <c r="C33" i="17"/>
  <c r="A33" i="17"/>
  <c r="C32" i="14"/>
  <c r="C31" i="14"/>
  <c r="C30" i="14"/>
  <c r="C29" i="14"/>
  <c r="C28" i="14"/>
  <c r="C27" i="14"/>
  <c r="A27" i="14"/>
  <c r="C50" i="14"/>
  <c r="C49" i="14"/>
  <c r="C48" i="14"/>
  <c r="C47" i="14"/>
  <c r="C46" i="14"/>
  <c r="C45" i="14"/>
  <c r="A45" i="14"/>
  <c r="C76" i="10"/>
  <c r="A76" i="10"/>
  <c r="C8" i="12"/>
  <c r="A8" i="12"/>
  <c r="C21" i="8"/>
  <c r="C20" i="8"/>
  <c r="A20" i="8"/>
  <c r="C62" i="8"/>
  <c r="C61" i="8"/>
  <c r="C60" i="8"/>
  <c r="C59" i="8"/>
  <c r="C58" i="8"/>
  <c r="C57" i="8"/>
  <c r="C56" i="8"/>
  <c r="A56" i="8"/>
  <c r="C69" i="8"/>
  <c r="C68" i="8"/>
  <c r="C67" i="8"/>
  <c r="C66" i="8"/>
  <c r="C65" i="8"/>
  <c r="C64" i="8"/>
  <c r="C63" i="8"/>
  <c r="A63" i="8"/>
  <c r="D142" i="15"/>
  <c r="F142" i="15" s="1"/>
  <c r="D35" i="9"/>
  <c r="F35" i="9" s="1"/>
  <c r="F36" i="9"/>
  <c r="F37" i="9"/>
  <c r="F38" i="9"/>
  <c r="F39" i="9"/>
  <c r="F40" i="9"/>
  <c r="A31" i="10"/>
  <c r="A37" i="10"/>
  <c r="A82" i="8"/>
  <c r="A20" i="27"/>
  <c r="C20" i="27"/>
  <c r="C21" i="27"/>
  <c r="C22" i="27"/>
  <c r="C23" i="27"/>
  <c r="A29" i="27"/>
  <c r="C29" i="27"/>
  <c r="C30" i="27"/>
  <c r="C31" i="27"/>
  <c r="C32" i="27"/>
  <c r="C33" i="27"/>
  <c r="A34" i="27"/>
  <c r="C34" i="27"/>
  <c r="C35" i="27"/>
  <c r="C36" i="27"/>
  <c r="C37" i="27"/>
  <c r="C38" i="27"/>
  <c r="C39" i="27"/>
  <c r="C40" i="27"/>
  <c r="A41" i="27"/>
  <c r="C41" i="27"/>
  <c r="C42" i="27"/>
  <c r="C43" i="27"/>
  <c r="C44" i="27"/>
  <c r="C45" i="27"/>
  <c r="A46" i="27"/>
  <c r="C46" i="27"/>
  <c r="A47" i="27"/>
  <c r="C47" i="27"/>
  <c r="A103" i="23"/>
  <c r="C103" i="23"/>
  <c r="C104" i="23"/>
  <c r="C105" i="23"/>
  <c r="C107" i="23"/>
  <c r="C108" i="23"/>
  <c r="A109" i="23"/>
  <c r="C109" i="23"/>
  <c r="C110" i="23"/>
  <c r="C111" i="23"/>
  <c r="C112" i="23"/>
  <c r="C113" i="23"/>
  <c r="C114" i="23"/>
  <c r="A122" i="23"/>
  <c r="C122" i="23"/>
  <c r="C123" i="23"/>
  <c r="D123" i="23"/>
  <c r="F123" i="23" s="1"/>
  <c r="C124" i="23"/>
  <c r="D124" i="23"/>
  <c r="F124" i="23" s="1"/>
  <c r="C125" i="23"/>
  <c r="D125" i="23"/>
  <c r="F125" i="23" s="1"/>
  <c r="C126" i="23"/>
  <c r="D126" i="23"/>
  <c r="F126" i="23" s="1"/>
  <c r="C128" i="23"/>
  <c r="A129" i="23"/>
  <c r="C129" i="23"/>
  <c r="C130" i="23"/>
  <c r="C131" i="23"/>
  <c r="A133" i="23"/>
  <c r="C133" i="23"/>
  <c r="C134" i="23"/>
  <c r="C135" i="23"/>
  <c r="C136" i="23"/>
  <c r="A137" i="23"/>
  <c r="C137" i="23"/>
  <c r="A138" i="23"/>
  <c r="C138" i="23"/>
  <c r="C139" i="23"/>
  <c r="D141" i="23"/>
  <c r="F141" i="23" s="1"/>
  <c r="D140" i="23"/>
  <c r="F140" i="23" s="1"/>
  <c r="C140" i="23"/>
  <c r="C141" i="23"/>
  <c r="A47" i="23"/>
  <c r="C47" i="23"/>
  <c r="C48" i="23"/>
  <c r="C49" i="23"/>
  <c r="A50" i="23"/>
  <c r="C50" i="23"/>
  <c r="C51" i="23"/>
  <c r="C52" i="23"/>
  <c r="C53" i="23"/>
  <c r="C54" i="23"/>
  <c r="C55" i="23"/>
  <c r="A60" i="23"/>
  <c r="C60" i="23"/>
  <c r="C61" i="23"/>
  <c r="C62" i="23"/>
  <c r="C63" i="23"/>
  <c r="A64" i="23"/>
  <c r="C64" i="23"/>
  <c r="C65" i="23"/>
  <c r="C66" i="23"/>
  <c r="C67" i="23"/>
  <c r="C70" i="23"/>
  <c r="A82" i="23"/>
  <c r="C82" i="23"/>
  <c r="C83" i="23"/>
  <c r="C84" i="23"/>
  <c r="A85" i="23"/>
  <c r="C85" i="23"/>
  <c r="C86" i="23"/>
  <c r="C87" i="23"/>
  <c r="C88" i="23"/>
  <c r="C89" i="23"/>
  <c r="C90" i="23"/>
  <c r="A91" i="23"/>
  <c r="C91" i="23"/>
  <c r="C92" i="23"/>
  <c r="C93" i="23"/>
  <c r="C94" i="23"/>
  <c r="C95" i="23"/>
  <c r="A142" i="23"/>
  <c r="C142" i="23"/>
  <c r="C143" i="23"/>
  <c r="D143" i="23"/>
  <c r="F143" i="23" s="1"/>
  <c r="C144" i="23"/>
  <c r="D144" i="23"/>
  <c r="F144" i="23" s="1"/>
  <c r="C145" i="23"/>
  <c r="D145" i="23"/>
  <c r="F145" i="23" s="1"/>
  <c r="C146" i="23"/>
  <c r="D146" i="23"/>
  <c r="F146" i="23" s="1"/>
  <c r="C147" i="23"/>
  <c r="A148" i="23"/>
  <c r="C148" i="23"/>
  <c r="C149" i="23"/>
  <c r="C150" i="23"/>
  <c r="A152" i="23"/>
  <c r="C152" i="23"/>
  <c r="C153" i="23"/>
  <c r="C154" i="23"/>
  <c r="C155" i="23"/>
  <c r="C156" i="23"/>
  <c r="C157" i="23"/>
  <c r="C158" i="23"/>
  <c r="A159" i="23"/>
  <c r="C159" i="23"/>
  <c r="C160" i="23"/>
  <c r="C161" i="23"/>
  <c r="C162" i="23"/>
  <c r="C163" i="23"/>
  <c r="C164" i="23"/>
  <c r="C165" i="23"/>
  <c r="A166" i="23"/>
  <c r="C166" i="23"/>
  <c r="C167" i="23"/>
  <c r="C168" i="23"/>
  <c r="C169" i="23"/>
  <c r="C170" i="23"/>
  <c r="A171" i="23"/>
  <c r="C171" i="23"/>
  <c r="A174" i="23"/>
  <c r="C174" i="23"/>
  <c r="A176" i="23"/>
  <c r="C176" i="23"/>
  <c r="A86" i="21"/>
  <c r="C86" i="21"/>
  <c r="C87" i="21"/>
  <c r="C88" i="21"/>
  <c r="A92" i="21"/>
  <c r="C92" i="21"/>
  <c r="C93" i="21"/>
  <c r="C94" i="21"/>
  <c r="D94" i="21"/>
  <c r="F94" i="21" s="1"/>
  <c r="C95" i="21"/>
  <c r="D95" i="21"/>
  <c r="F95" i="21" s="1"/>
  <c r="C96" i="21"/>
  <c r="D96" i="21"/>
  <c r="F96" i="21" s="1"/>
  <c r="C97" i="21"/>
  <c r="D97" i="21"/>
  <c r="F97" i="21" s="1"/>
  <c r="C98" i="21"/>
  <c r="D98" i="21"/>
  <c r="F98" i="21" s="1"/>
  <c r="A106" i="21"/>
  <c r="C106" i="21"/>
  <c r="C107" i="21"/>
  <c r="D107" i="21"/>
  <c r="F107" i="21" s="1"/>
  <c r="C108" i="21"/>
  <c r="D108" i="21"/>
  <c r="F108" i="21" s="1"/>
  <c r="C109" i="21"/>
  <c r="D109" i="21"/>
  <c r="F109" i="21" s="1"/>
  <c r="C110" i="21"/>
  <c r="D110" i="21"/>
  <c r="F110" i="21" s="1"/>
  <c r="C112" i="21"/>
  <c r="A113" i="21"/>
  <c r="C113" i="21"/>
  <c r="C114" i="21"/>
  <c r="C115" i="21"/>
  <c r="A117" i="21"/>
  <c r="C117" i="21"/>
  <c r="C118" i="21"/>
  <c r="C119" i="21"/>
  <c r="C120" i="21"/>
  <c r="A43" i="21"/>
  <c r="C43" i="21"/>
  <c r="C44" i="21"/>
  <c r="C45" i="21"/>
  <c r="C46" i="21"/>
  <c r="C47" i="21"/>
  <c r="C48" i="21"/>
  <c r="C49" i="21"/>
  <c r="C50" i="21"/>
  <c r="C51" i="21"/>
  <c r="A63" i="21"/>
  <c r="C63" i="21"/>
  <c r="A57" i="21"/>
  <c r="C57" i="21"/>
  <c r="C58" i="21"/>
  <c r="C59" i="21"/>
  <c r="A60" i="21"/>
  <c r="C60" i="21"/>
  <c r="C61" i="21"/>
  <c r="C62" i="21"/>
  <c r="A52" i="21"/>
  <c r="C52" i="21"/>
  <c r="C53" i="21"/>
  <c r="C54" i="21"/>
  <c r="C55" i="21"/>
  <c r="C56" i="21"/>
  <c r="A67" i="21"/>
  <c r="C67" i="21"/>
  <c r="C68" i="21"/>
  <c r="C69" i="21"/>
  <c r="C70" i="21"/>
  <c r="A121" i="21"/>
  <c r="C121" i="21"/>
  <c r="C122" i="21"/>
  <c r="C123" i="21"/>
  <c r="C124" i="21"/>
  <c r="C125" i="21"/>
  <c r="C126" i="21"/>
  <c r="A127" i="21"/>
  <c r="C127" i="21"/>
  <c r="C128" i="21"/>
  <c r="D128" i="21"/>
  <c r="F128" i="21" s="1"/>
  <c r="C129" i="21"/>
  <c r="A130" i="21"/>
  <c r="C130" i="21"/>
  <c r="A131" i="21"/>
  <c r="C131" i="21"/>
  <c r="C132" i="21"/>
  <c r="C133" i="21"/>
  <c r="C134" i="21"/>
  <c r="C135" i="21"/>
  <c r="C136" i="21"/>
  <c r="C137" i="21"/>
  <c r="A138" i="21"/>
  <c r="C138" i="21"/>
  <c r="C139" i="21"/>
  <c r="C140" i="21"/>
  <c r="C141" i="21"/>
  <c r="C142" i="21"/>
  <c r="A15" i="20"/>
  <c r="C15" i="20"/>
  <c r="F17" i="20"/>
  <c r="A53" i="20"/>
  <c r="C53" i="20"/>
  <c r="C54" i="20"/>
  <c r="F54" i="20"/>
  <c r="F56" i="20"/>
  <c r="F57" i="20"/>
  <c r="F58" i="20"/>
  <c r="A59" i="20"/>
  <c r="C59" i="20"/>
  <c r="C60" i="20"/>
  <c r="D60" i="20"/>
  <c r="F60" i="20" s="1"/>
  <c r="C61" i="20"/>
  <c r="D61" i="20"/>
  <c r="F61" i="20" s="1"/>
  <c r="C63" i="20"/>
  <c r="D63" i="20"/>
  <c r="F63" i="20" s="1"/>
  <c r="C64" i="20"/>
  <c r="C65" i="20"/>
  <c r="D65" i="20"/>
  <c r="F65" i="20" s="1"/>
  <c r="A66" i="20"/>
  <c r="C66" i="20"/>
  <c r="D66" i="20"/>
  <c r="A67" i="20"/>
  <c r="C67" i="20"/>
  <c r="C68" i="20"/>
  <c r="D68" i="20"/>
  <c r="F68" i="20" s="1"/>
  <c r="C69" i="20"/>
  <c r="C70" i="20"/>
  <c r="D70" i="20"/>
  <c r="F70" i="20" s="1"/>
  <c r="C71" i="20"/>
  <c r="D71" i="20"/>
  <c r="F71" i="20" s="1"/>
  <c r="C72" i="20"/>
  <c r="D72" i="20"/>
  <c r="F72" i="20" s="1"/>
  <c r="A73" i="20"/>
  <c r="C73" i="20"/>
  <c r="C74" i="20"/>
  <c r="D74" i="20"/>
  <c r="F74" i="20" s="1"/>
  <c r="C75" i="20"/>
  <c r="D75" i="20"/>
  <c r="F75" i="20" s="1"/>
  <c r="C77" i="20"/>
  <c r="C78" i="20"/>
  <c r="D78" i="20"/>
  <c r="F78" i="20" s="1"/>
  <c r="A79" i="20"/>
  <c r="C79" i="20"/>
  <c r="C80" i="20"/>
  <c r="D80" i="20"/>
  <c r="F80" i="20" s="1"/>
  <c r="C81" i="20"/>
  <c r="D81" i="20"/>
  <c r="F81" i="20" s="1"/>
  <c r="C82" i="20"/>
  <c r="A104" i="20"/>
  <c r="C104" i="20"/>
  <c r="C105" i="20"/>
  <c r="D105" i="20"/>
  <c r="F105" i="20" s="1"/>
  <c r="C106" i="20"/>
  <c r="D106" i="20"/>
  <c r="F106" i="20" s="1"/>
  <c r="C107" i="20"/>
  <c r="D107" i="20"/>
  <c r="F107" i="20" s="1"/>
  <c r="C108" i="20"/>
  <c r="D108" i="20"/>
  <c r="F108" i="20" s="1"/>
  <c r="C109" i="20"/>
  <c r="A97" i="20"/>
  <c r="C97" i="20"/>
  <c r="C98" i="20"/>
  <c r="D98" i="20"/>
  <c r="F98" i="20" s="1"/>
  <c r="C99" i="20"/>
  <c r="D99" i="20"/>
  <c r="F99" i="20" s="1"/>
  <c r="C100" i="20"/>
  <c r="D100" i="20"/>
  <c r="F100" i="20" s="1"/>
  <c r="C101" i="20"/>
  <c r="D101" i="20"/>
  <c r="F101" i="20" s="1"/>
  <c r="C103" i="20"/>
  <c r="A83" i="20"/>
  <c r="C83" i="20"/>
  <c r="C84" i="20"/>
  <c r="D84" i="20"/>
  <c r="F84" i="20" s="1"/>
  <c r="C85" i="20"/>
  <c r="D85" i="20"/>
  <c r="F85" i="20" s="1"/>
  <c r="F86" i="20"/>
  <c r="F87" i="20"/>
  <c r="F88" i="20"/>
  <c r="F89" i="20"/>
  <c r="A90" i="20"/>
  <c r="C90" i="20"/>
  <c r="C91" i="20"/>
  <c r="C92" i="20"/>
  <c r="C93" i="20"/>
  <c r="C94" i="20"/>
  <c r="C95" i="20"/>
  <c r="C96" i="20"/>
  <c r="A110" i="20"/>
  <c r="C110" i="20"/>
  <c r="C111" i="20"/>
  <c r="C112" i="20"/>
  <c r="A115" i="20"/>
  <c r="C115" i="20"/>
  <c r="A121" i="20"/>
  <c r="C121" i="20"/>
  <c r="C122" i="20"/>
  <c r="C123" i="20"/>
  <c r="D123" i="20"/>
  <c r="F123" i="20" s="1"/>
  <c r="C124" i="20"/>
  <c r="D124" i="20"/>
  <c r="F124" i="20" s="1"/>
  <c r="A125" i="20"/>
  <c r="C125" i="20"/>
  <c r="C126" i="20"/>
  <c r="C127" i="20"/>
  <c r="D127" i="20"/>
  <c r="F127" i="20" s="1"/>
  <c r="C128" i="20"/>
  <c r="D128" i="20"/>
  <c r="F128" i="20" s="1"/>
  <c r="C129" i="20"/>
  <c r="D129" i="20"/>
  <c r="F129" i="20" s="1"/>
  <c r="A22" i="20"/>
  <c r="C22" i="20"/>
  <c r="C23" i="20"/>
  <c r="A29" i="20"/>
  <c r="C29" i="20"/>
  <c r="C30" i="20"/>
  <c r="D30" i="20"/>
  <c r="F30" i="20" s="1"/>
  <c r="C31" i="20"/>
  <c r="D31" i="20"/>
  <c r="F31" i="20" s="1"/>
  <c r="C32" i="20"/>
  <c r="D32" i="20"/>
  <c r="F32" i="20" s="1"/>
  <c r="D33" i="20"/>
  <c r="F33" i="20" s="1"/>
  <c r="D34" i="20"/>
  <c r="F34" i="20" s="1"/>
  <c r="D35" i="20"/>
  <c r="F35" i="20" s="1"/>
  <c r="D36" i="20"/>
  <c r="F36" i="20" s="1"/>
  <c r="C33" i="20"/>
  <c r="C34" i="20"/>
  <c r="C35" i="20"/>
  <c r="C36" i="20"/>
  <c r="C37" i="20"/>
  <c r="A38" i="20"/>
  <c r="C38" i="20"/>
  <c r="A47" i="20"/>
  <c r="C47" i="20"/>
  <c r="C48" i="20"/>
  <c r="D48" i="20"/>
  <c r="F48" i="20" s="1"/>
  <c r="C49" i="20"/>
  <c r="D49" i="20"/>
  <c r="F49" i="20" s="1"/>
  <c r="C50" i="20"/>
  <c r="D50" i="20"/>
  <c r="F50" i="20" s="1"/>
  <c r="C51" i="20"/>
  <c r="D51" i="20"/>
  <c r="F51" i="20" s="1"/>
  <c r="C52" i="20"/>
  <c r="A130" i="20"/>
  <c r="C130" i="20"/>
  <c r="C131" i="20"/>
  <c r="C132" i="20"/>
  <c r="C133" i="20"/>
  <c r="C134" i="20"/>
  <c r="C135" i="20"/>
  <c r="A136" i="20"/>
  <c r="C136" i="20"/>
  <c r="C137" i="20"/>
  <c r="C138" i="20"/>
  <c r="C139" i="20"/>
  <c r="C140" i="20"/>
  <c r="C141" i="20"/>
  <c r="C142" i="20"/>
  <c r="A143" i="20"/>
  <c r="C143" i="20"/>
  <c r="C144" i="20"/>
  <c r="C145" i="20"/>
  <c r="C146" i="20"/>
  <c r="C147" i="20"/>
  <c r="A148" i="20"/>
  <c r="C148" i="20"/>
  <c r="A48" i="18"/>
  <c r="C48" i="18"/>
  <c r="C49" i="18"/>
  <c r="C50" i="18"/>
  <c r="C51" i="18"/>
  <c r="C52" i="18"/>
  <c r="C53" i="18"/>
  <c r="A54" i="18"/>
  <c r="C54" i="18"/>
  <c r="C55" i="18"/>
  <c r="C56" i="18"/>
  <c r="C58" i="18"/>
  <c r="C59" i="18"/>
  <c r="A74" i="18"/>
  <c r="C74" i="18"/>
  <c r="C75" i="18"/>
  <c r="D75" i="18"/>
  <c r="F75" i="18" s="1"/>
  <c r="C76" i="18"/>
  <c r="D76" i="18"/>
  <c r="F76" i="18" s="1"/>
  <c r="C77" i="18"/>
  <c r="D77" i="18"/>
  <c r="F77" i="18" s="1"/>
  <c r="C78" i="18"/>
  <c r="D78" i="18"/>
  <c r="F78" i="18" s="1"/>
  <c r="C80" i="18"/>
  <c r="A85" i="18"/>
  <c r="C85" i="18"/>
  <c r="C86" i="18"/>
  <c r="D86" i="18"/>
  <c r="F86" i="18" s="1"/>
  <c r="C87" i="18"/>
  <c r="D87" i="18"/>
  <c r="F87" i="18" s="1"/>
  <c r="C88" i="18"/>
  <c r="A60" i="18"/>
  <c r="C60" i="18"/>
  <c r="C61" i="18"/>
  <c r="C62" i="18"/>
  <c r="C63" i="18"/>
  <c r="C64" i="18"/>
  <c r="C65" i="18"/>
  <c r="C66" i="18"/>
  <c r="A67" i="18"/>
  <c r="C67" i="18"/>
  <c r="C68" i="18"/>
  <c r="C69" i="18"/>
  <c r="C70" i="18"/>
  <c r="C71" i="18"/>
  <c r="C72" i="18"/>
  <c r="C73" i="18"/>
  <c r="A81" i="18"/>
  <c r="C81" i="18"/>
  <c r="C82" i="18"/>
  <c r="C83" i="18"/>
  <c r="A89" i="18"/>
  <c r="C89" i="18"/>
  <c r="A100" i="18"/>
  <c r="C100" i="18"/>
  <c r="C101" i="18"/>
  <c r="C102" i="18"/>
  <c r="C103" i="18"/>
  <c r="A104" i="18"/>
  <c r="C104" i="18"/>
  <c r="C105" i="18"/>
  <c r="C106" i="18"/>
  <c r="C107" i="18"/>
  <c r="C108" i="18"/>
  <c r="A25" i="18"/>
  <c r="C25" i="18"/>
  <c r="C26" i="18"/>
  <c r="C27" i="18"/>
  <c r="C28" i="18"/>
  <c r="C29" i="18"/>
  <c r="C30" i="18"/>
  <c r="C31" i="18"/>
  <c r="C32" i="18"/>
  <c r="C33" i="18"/>
  <c r="A41" i="18"/>
  <c r="C41" i="18"/>
  <c r="C42" i="18"/>
  <c r="C43" i="18"/>
  <c r="A44" i="18"/>
  <c r="C44" i="18"/>
  <c r="C45" i="18"/>
  <c r="C46" i="18"/>
  <c r="C47" i="18"/>
  <c r="A109" i="18"/>
  <c r="C109" i="18"/>
  <c r="C110" i="18"/>
  <c r="D110" i="18"/>
  <c r="F110" i="18" s="1"/>
  <c r="C111" i="18"/>
  <c r="D111" i="18"/>
  <c r="F111" i="18" s="1"/>
  <c r="C112" i="18"/>
  <c r="D112" i="18"/>
  <c r="F112" i="18" s="1"/>
  <c r="C113" i="18"/>
  <c r="F113" i="18"/>
  <c r="C114" i="18"/>
  <c r="A115" i="18"/>
  <c r="C115" i="18"/>
  <c r="C116" i="18"/>
  <c r="C117" i="18"/>
  <c r="C118" i="18"/>
  <c r="C119" i="18"/>
  <c r="C120" i="18"/>
  <c r="C121" i="18"/>
  <c r="A122" i="18"/>
  <c r="C122" i="18"/>
  <c r="C123" i="18"/>
  <c r="C124" i="18"/>
  <c r="D124" i="18"/>
  <c r="F124" i="18" s="1"/>
  <c r="C125" i="18"/>
  <c r="F125" i="18"/>
  <c r="C126" i="18"/>
  <c r="D126" i="18"/>
  <c r="F126" i="18" s="1"/>
  <c r="A127" i="18"/>
  <c r="C127" i="18"/>
  <c r="A11" i="15"/>
  <c r="C11" i="15"/>
  <c r="A60" i="15"/>
  <c r="C60" i="15"/>
  <c r="C61" i="15"/>
  <c r="C62" i="15"/>
  <c r="C63" i="15"/>
  <c r="C64" i="15"/>
  <c r="C65" i="15"/>
  <c r="A66" i="15"/>
  <c r="C66" i="15"/>
  <c r="C67" i="15"/>
  <c r="C68" i="15"/>
  <c r="C69" i="15"/>
  <c r="C70" i="15"/>
  <c r="C71" i="15"/>
  <c r="C72" i="15"/>
  <c r="A73" i="15"/>
  <c r="C73" i="15"/>
  <c r="C74" i="15"/>
  <c r="C75" i="15"/>
  <c r="C76" i="15"/>
  <c r="C77" i="15"/>
  <c r="C78" i="15"/>
  <c r="A79" i="15"/>
  <c r="C79" i="15"/>
  <c r="C80" i="15"/>
  <c r="C81" i="15"/>
  <c r="C83" i="15"/>
  <c r="C84" i="15"/>
  <c r="A85" i="15"/>
  <c r="C85" i="15"/>
  <c r="C86" i="15"/>
  <c r="C87" i="15"/>
  <c r="C88" i="15"/>
  <c r="C89" i="15"/>
  <c r="C90" i="15"/>
  <c r="A91" i="15"/>
  <c r="C91" i="15"/>
  <c r="C92" i="15"/>
  <c r="C93" i="15"/>
  <c r="C94" i="15"/>
  <c r="A106" i="15"/>
  <c r="C106" i="15"/>
  <c r="C107" i="15"/>
  <c r="D107" i="15"/>
  <c r="F107" i="15" s="1"/>
  <c r="C108" i="15"/>
  <c r="D108" i="15"/>
  <c r="F108" i="15" s="1"/>
  <c r="C109" i="15"/>
  <c r="A95" i="15"/>
  <c r="C95" i="15"/>
  <c r="C96" i="15"/>
  <c r="C97" i="15"/>
  <c r="C98" i="15"/>
  <c r="C99" i="15"/>
  <c r="C100" i="15"/>
  <c r="C101" i="15"/>
  <c r="A102" i="15"/>
  <c r="C102" i="15"/>
  <c r="C103" i="15"/>
  <c r="C104" i="15"/>
  <c r="C105" i="15"/>
  <c r="A125" i="15"/>
  <c r="C125" i="15"/>
  <c r="D126" i="15"/>
  <c r="F126" i="15" s="1"/>
  <c r="D127" i="15"/>
  <c r="F127" i="15" s="1"/>
  <c r="D129" i="15"/>
  <c r="F129" i="15" s="1"/>
  <c r="D130" i="15"/>
  <c r="F130" i="15" s="1"/>
  <c r="A131" i="15"/>
  <c r="C131" i="15"/>
  <c r="C132" i="15"/>
  <c r="C133" i="15"/>
  <c r="C134" i="15"/>
  <c r="A38" i="15"/>
  <c r="C38" i="15"/>
  <c r="C39" i="15"/>
  <c r="C40" i="15"/>
  <c r="A41" i="15"/>
  <c r="C41" i="15"/>
  <c r="C42" i="15"/>
  <c r="C43" i="15"/>
  <c r="C44" i="15"/>
  <c r="C45" i="15"/>
  <c r="C46" i="15"/>
  <c r="A53" i="15"/>
  <c r="C53" i="15"/>
  <c r="C54" i="15"/>
  <c r="C55" i="15"/>
  <c r="C56" i="15"/>
  <c r="A57" i="15"/>
  <c r="C57" i="15"/>
  <c r="C58" i="15"/>
  <c r="C59" i="15"/>
  <c r="A135" i="15"/>
  <c r="C135" i="15"/>
  <c r="C136" i="15"/>
  <c r="C137" i="15"/>
  <c r="C138" i="15"/>
  <c r="C139" i="15"/>
  <c r="C140" i="15"/>
  <c r="A141" i="15"/>
  <c r="C141" i="15"/>
  <c r="C142" i="15"/>
  <c r="C143" i="15"/>
  <c r="A149" i="15"/>
  <c r="C149" i="15"/>
  <c r="A151" i="15"/>
  <c r="C151" i="15"/>
  <c r="A152" i="15"/>
  <c r="C152" i="15"/>
  <c r="A14" i="17"/>
  <c r="C14" i="17"/>
  <c r="C15" i="17"/>
  <c r="A20" i="17"/>
  <c r="C20" i="17"/>
  <c r="C21" i="17"/>
  <c r="C22" i="17"/>
  <c r="C23" i="17"/>
  <c r="C24" i="17"/>
  <c r="C25" i="17"/>
  <c r="C26" i="17"/>
  <c r="A27" i="17"/>
  <c r="C27" i="17"/>
  <c r="C28" i="17"/>
  <c r="C29" i="17"/>
  <c r="C30" i="17"/>
  <c r="C31" i="17"/>
  <c r="C32" i="17"/>
  <c r="A34" i="17"/>
  <c r="C34" i="17"/>
  <c r="A35" i="17"/>
  <c r="C35" i="17"/>
  <c r="C36" i="17"/>
  <c r="C37" i="17"/>
  <c r="C38" i="17"/>
  <c r="C39" i="17"/>
  <c r="C40" i="17"/>
  <c r="A41" i="17"/>
  <c r="C41" i="17"/>
  <c r="C42" i="17"/>
  <c r="C43" i="17"/>
  <c r="C44" i="17"/>
  <c r="A63" i="17"/>
  <c r="C63" i="17"/>
  <c r="C64" i="17"/>
  <c r="D64" i="17"/>
  <c r="F64" i="17" s="1"/>
  <c r="C65" i="17"/>
  <c r="D65" i="17"/>
  <c r="F65" i="17" s="1"/>
  <c r="C66" i="17"/>
  <c r="A45" i="17"/>
  <c r="C45" i="17"/>
  <c r="C46" i="17"/>
  <c r="C47" i="17"/>
  <c r="A52" i="17"/>
  <c r="C52" i="17"/>
  <c r="C53" i="17"/>
  <c r="C54" i="17"/>
  <c r="C55" i="17"/>
  <c r="C56" i="17"/>
  <c r="C57" i="17"/>
  <c r="C58" i="17"/>
  <c r="D58" i="17"/>
  <c r="A59" i="17"/>
  <c r="C59" i="17"/>
  <c r="C60" i="17"/>
  <c r="A67" i="17"/>
  <c r="C67" i="17"/>
  <c r="A79" i="17"/>
  <c r="C79" i="17"/>
  <c r="C80" i="17"/>
  <c r="C81" i="17"/>
  <c r="C82" i="17"/>
  <c r="A83" i="17"/>
  <c r="C83" i="17"/>
  <c r="D84" i="17"/>
  <c r="F84" i="17" s="1"/>
  <c r="D85" i="17"/>
  <c r="F85" i="17" s="1"/>
  <c r="D87" i="17"/>
  <c r="F87" i="17" s="1"/>
  <c r="D88" i="17"/>
  <c r="F88" i="17" s="1"/>
  <c r="A89" i="17"/>
  <c r="C89" i="17"/>
  <c r="C90" i="17"/>
  <c r="C91" i="17"/>
  <c r="C92" i="17"/>
  <c r="C93" i="17"/>
  <c r="C94" i="17"/>
  <c r="A95" i="17"/>
  <c r="C95" i="17"/>
  <c r="C96" i="17"/>
  <c r="C97" i="17"/>
  <c r="C98" i="17"/>
  <c r="A99" i="17"/>
  <c r="C99" i="17"/>
  <c r="C100" i="17"/>
  <c r="C101" i="17"/>
  <c r="C102" i="17"/>
  <c r="C103" i="17"/>
  <c r="C104" i="17"/>
  <c r="A112" i="17"/>
  <c r="C112" i="17"/>
  <c r="A7" i="14"/>
  <c r="C7" i="14"/>
  <c r="A8" i="14"/>
  <c r="A9" i="14"/>
  <c r="A51" i="14"/>
  <c r="C51" i="14"/>
  <c r="C52" i="14"/>
  <c r="C53" i="14"/>
  <c r="C54" i="14"/>
  <c r="C55" i="14"/>
  <c r="C56" i="14"/>
  <c r="A57" i="14"/>
  <c r="C57" i="14"/>
  <c r="C58" i="14"/>
  <c r="C59" i="14"/>
  <c r="C61" i="14"/>
  <c r="C62" i="14"/>
  <c r="A77" i="14"/>
  <c r="C77" i="14"/>
  <c r="C78" i="14"/>
  <c r="C79" i="14"/>
  <c r="D79" i="14"/>
  <c r="F79" i="14" s="1"/>
  <c r="C80" i="14"/>
  <c r="D80" i="14"/>
  <c r="F80" i="14" s="1"/>
  <c r="C81" i="14"/>
  <c r="D81" i="14"/>
  <c r="F81" i="14" s="1"/>
  <c r="C83" i="14"/>
  <c r="D83" i="14"/>
  <c r="F83" i="14" s="1"/>
  <c r="A63" i="14"/>
  <c r="C63" i="14"/>
  <c r="A70" i="14"/>
  <c r="C70" i="14"/>
  <c r="C71" i="14"/>
  <c r="C72" i="14"/>
  <c r="C73" i="14"/>
  <c r="C74" i="14"/>
  <c r="C75" i="14"/>
  <c r="C76" i="14"/>
  <c r="A84" i="14"/>
  <c r="C84" i="14"/>
  <c r="C85" i="14"/>
  <c r="A88" i="14"/>
  <c r="C88" i="14"/>
  <c r="D89" i="14"/>
  <c r="F89" i="14" s="1"/>
  <c r="D90" i="14"/>
  <c r="F90" i="14" s="1"/>
  <c r="D92" i="14"/>
  <c r="F92" i="14" s="1"/>
  <c r="D93" i="14"/>
  <c r="F93" i="14" s="1"/>
  <c r="A94" i="14"/>
  <c r="C94" i="14"/>
  <c r="C95" i="14"/>
  <c r="C96" i="14"/>
  <c r="C97" i="14"/>
  <c r="C98" i="14"/>
  <c r="C99" i="14"/>
  <c r="A100" i="14"/>
  <c r="C100" i="14"/>
  <c r="C101" i="14"/>
  <c r="C102" i="14"/>
  <c r="C103" i="14"/>
  <c r="A104" i="14"/>
  <c r="C104" i="14"/>
  <c r="C105" i="14"/>
  <c r="C106" i="14"/>
  <c r="C107" i="14"/>
  <c r="C108" i="14"/>
  <c r="A21" i="14"/>
  <c r="C21" i="14"/>
  <c r="C22" i="14"/>
  <c r="C23" i="14"/>
  <c r="C24" i="14"/>
  <c r="C25" i="14"/>
  <c r="C26" i="14"/>
  <c r="A33" i="14"/>
  <c r="C33" i="14"/>
  <c r="C34" i="14"/>
  <c r="C35" i="14"/>
  <c r="C36" i="14"/>
  <c r="C37" i="14"/>
  <c r="A38" i="14"/>
  <c r="C38" i="14"/>
  <c r="C39" i="14"/>
  <c r="C40" i="14"/>
  <c r="C41" i="14"/>
  <c r="C44" i="14"/>
  <c r="A109" i="14"/>
  <c r="C109" i="14"/>
  <c r="C110" i="14"/>
  <c r="C111" i="14"/>
  <c r="C112" i="14"/>
  <c r="C113" i="14"/>
  <c r="C114" i="14"/>
  <c r="C115" i="14"/>
  <c r="A11" i="11"/>
  <c r="C11" i="11"/>
  <c r="A52" i="11"/>
  <c r="C52" i="11"/>
  <c r="A58" i="11"/>
  <c r="C58" i="11"/>
  <c r="C59" i="11"/>
  <c r="C60" i="11"/>
  <c r="C61" i="11"/>
  <c r="C62" i="11"/>
  <c r="C63" i="11"/>
  <c r="C64" i="11"/>
  <c r="A65" i="11"/>
  <c r="C65" i="11"/>
  <c r="C66" i="11"/>
  <c r="C67" i="11"/>
  <c r="C68" i="11"/>
  <c r="C69" i="11"/>
  <c r="C70" i="11"/>
  <c r="A71" i="11"/>
  <c r="C71" i="11"/>
  <c r="C72" i="11"/>
  <c r="C73" i="11"/>
  <c r="C74" i="11"/>
  <c r="C75" i="11"/>
  <c r="A90" i="11"/>
  <c r="C90" i="11"/>
  <c r="C91" i="11"/>
  <c r="D91" i="11"/>
  <c r="F91" i="11" s="1"/>
  <c r="C92" i="11"/>
  <c r="D92" i="11"/>
  <c r="F92" i="11" s="1"/>
  <c r="C93" i="11"/>
  <c r="D93" i="11"/>
  <c r="F93" i="11" s="1"/>
  <c r="C94" i="11"/>
  <c r="D94" i="11"/>
  <c r="F94" i="11" s="1"/>
  <c r="C96" i="11"/>
  <c r="A76" i="11"/>
  <c r="C76" i="11"/>
  <c r="A83" i="11"/>
  <c r="C83" i="11"/>
  <c r="C84" i="11"/>
  <c r="C85" i="11"/>
  <c r="C86" i="11"/>
  <c r="C87" i="11"/>
  <c r="C88" i="11"/>
  <c r="C89" i="11"/>
  <c r="A97" i="11"/>
  <c r="C97" i="11"/>
  <c r="C98" i="11"/>
  <c r="A101" i="11"/>
  <c r="C101" i="11"/>
  <c r="D102" i="11"/>
  <c r="F102" i="11" s="1"/>
  <c r="D103" i="11"/>
  <c r="F103" i="11" s="1"/>
  <c r="D104" i="11"/>
  <c r="F104" i="11" s="1"/>
  <c r="D105" i="11"/>
  <c r="F105" i="11" s="1"/>
  <c r="A107" i="11"/>
  <c r="C107" i="11"/>
  <c r="C108" i="11"/>
  <c r="C109" i="11"/>
  <c r="C110" i="11"/>
  <c r="C111" i="11"/>
  <c r="C112" i="11"/>
  <c r="C113" i="11"/>
  <c r="C114" i="11"/>
  <c r="C115" i="11"/>
  <c r="C116" i="11"/>
  <c r="A117" i="11"/>
  <c r="C117" i="11"/>
  <c r="C118" i="11"/>
  <c r="C119" i="11"/>
  <c r="C120" i="11"/>
  <c r="A121" i="11"/>
  <c r="C121" i="11"/>
  <c r="C122" i="11"/>
  <c r="C123" i="11"/>
  <c r="C124" i="11"/>
  <c r="C125" i="11"/>
  <c r="A18" i="11"/>
  <c r="C18" i="11"/>
  <c r="C19" i="11"/>
  <c r="A32" i="11"/>
  <c r="C32" i="11"/>
  <c r="C33" i="11"/>
  <c r="C34" i="11"/>
  <c r="C35" i="11"/>
  <c r="C36" i="11"/>
  <c r="A37" i="11"/>
  <c r="C37" i="11"/>
  <c r="C38" i="11"/>
  <c r="C39" i="11"/>
  <c r="C40" i="11"/>
  <c r="A41" i="11"/>
  <c r="C41" i="11"/>
  <c r="C42" i="11"/>
  <c r="C43" i="11"/>
  <c r="C44" i="11"/>
  <c r="A45" i="11"/>
  <c r="C45" i="11"/>
  <c r="C46" i="11"/>
  <c r="C47" i="11"/>
  <c r="C48" i="11"/>
  <c r="C51" i="11"/>
  <c r="A126" i="11"/>
  <c r="C126" i="11"/>
  <c r="C127" i="11"/>
  <c r="C128" i="11"/>
  <c r="C129" i="11"/>
  <c r="C130" i="11"/>
  <c r="C131" i="11"/>
  <c r="C132" i="11"/>
  <c r="A133" i="11"/>
  <c r="C133" i="11"/>
  <c r="C31" i="10"/>
  <c r="C37" i="10"/>
  <c r="C38" i="10"/>
  <c r="C39" i="10"/>
  <c r="C40" i="10"/>
  <c r="C41" i="10"/>
  <c r="C42" i="10"/>
  <c r="C43" i="10"/>
  <c r="A44" i="10"/>
  <c r="C44" i="10"/>
  <c r="A45" i="10"/>
  <c r="C45" i="10"/>
  <c r="C46" i="10"/>
  <c r="C47" i="10"/>
  <c r="C49" i="10"/>
  <c r="C50" i="10"/>
  <c r="A51" i="10"/>
  <c r="C51" i="10"/>
  <c r="C52" i="10"/>
  <c r="C53" i="10"/>
  <c r="C54" i="10"/>
  <c r="C55" i="10"/>
  <c r="C56" i="10"/>
  <c r="A64" i="10"/>
  <c r="C64" i="10"/>
  <c r="C65" i="10"/>
  <c r="D65" i="10"/>
  <c r="F65" i="10" s="1"/>
  <c r="C66" i="10"/>
  <c r="D66" i="10"/>
  <c r="F66" i="10" s="1"/>
  <c r="C67" i="10"/>
  <c r="D67" i="10"/>
  <c r="F67" i="10" s="1"/>
  <c r="C68" i="10"/>
  <c r="D68" i="10"/>
  <c r="F68" i="10" s="1"/>
  <c r="C70" i="10"/>
  <c r="A57" i="10"/>
  <c r="C57" i="10"/>
  <c r="C58" i="10"/>
  <c r="C59" i="10"/>
  <c r="C60" i="10"/>
  <c r="C61" i="10"/>
  <c r="C62" i="10"/>
  <c r="C63" i="10"/>
  <c r="A71" i="10"/>
  <c r="C71" i="10"/>
  <c r="C72" i="10"/>
  <c r="A75" i="10"/>
  <c r="C75" i="10"/>
  <c r="A82" i="10"/>
  <c r="C82" i="10"/>
  <c r="D83" i="10"/>
  <c r="F83" i="10" s="1"/>
  <c r="D84" i="10"/>
  <c r="F84" i="10" s="1"/>
  <c r="D85" i="10"/>
  <c r="F85" i="10" s="1"/>
  <c r="D86" i="10"/>
  <c r="F86" i="10" s="1"/>
  <c r="A88" i="10"/>
  <c r="C88" i="10"/>
  <c r="C89" i="10"/>
  <c r="C90" i="10"/>
  <c r="C91" i="10"/>
  <c r="C92" i="10"/>
  <c r="C93" i="10"/>
  <c r="A94" i="10"/>
  <c r="C94" i="10"/>
  <c r="C95" i="10"/>
  <c r="C96" i="10"/>
  <c r="C97" i="10"/>
  <c r="A98" i="10"/>
  <c r="C98" i="10"/>
  <c r="C99" i="10"/>
  <c r="C100" i="10"/>
  <c r="C101" i="10"/>
  <c r="C102" i="10"/>
  <c r="A15" i="10"/>
  <c r="C15" i="10"/>
  <c r="C16" i="10"/>
  <c r="C17" i="10"/>
  <c r="C18" i="10"/>
  <c r="C19" i="10"/>
  <c r="A20" i="10"/>
  <c r="C20" i="10"/>
  <c r="C21" i="10"/>
  <c r="C22" i="10"/>
  <c r="C23" i="10"/>
  <c r="A24" i="10"/>
  <c r="C24" i="10"/>
  <c r="C25" i="10"/>
  <c r="C26" i="10"/>
  <c r="C27" i="10"/>
  <c r="C30" i="10"/>
  <c r="A16" i="9"/>
  <c r="C16" i="9"/>
  <c r="C17" i="9"/>
  <c r="C18" i="9"/>
  <c r="C19" i="9"/>
  <c r="C20" i="9"/>
  <c r="C21" i="9"/>
  <c r="A22" i="9"/>
  <c r="C22" i="9"/>
  <c r="C23" i="9"/>
  <c r="C24" i="9"/>
  <c r="C26" i="9"/>
  <c r="C27" i="9"/>
  <c r="A28" i="9"/>
  <c r="C28" i="9"/>
  <c r="C29" i="9"/>
  <c r="C30" i="9"/>
  <c r="C31" i="9"/>
  <c r="C32" i="9"/>
  <c r="C33" i="9"/>
  <c r="A54" i="9"/>
  <c r="C54" i="9"/>
  <c r="C55" i="9"/>
  <c r="D55" i="9"/>
  <c r="F55" i="9" s="1"/>
  <c r="C56" i="9"/>
  <c r="D56" i="9"/>
  <c r="F56" i="9" s="1"/>
  <c r="C57" i="9"/>
  <c r="D57" i="9"/>
  <c r="F57" i="9" s="1"/>
  <c r="C58" i="9"/>
  <c r="D58" i="9"/>
  <c r="F58" i="9" s="1"/>
  <c r="C59" i="9"/>
  <c r="A48" i="9"/>
  <c r="C48" i="9"/>
  <c r="C49" i="9"/>
  <c r="D49" i="9"/>
  <c r="F49" i="9" s="1"/>
  <c r="C50" i="9"/>
  <c r="D50" i="9"/>
  <c r="F50" i="9" s="1"/>
  <c r="C51" i="9"/>
  <c r="D51" i="9"/>
  <c r="F51" i="9" s="1"/>
  <c r="C52" i="9"/>
  <c r="D52" i="9"/>
  <c r="F52" i="9" s="1"/>
  <c r="C53" i="9"/>
  <c r="A34" i="9"/>
  <c r="C34" i="9"/>
  <c r="C35" i="9"/>
  <c r="A41" i="9"/>
  <c r="C41" i="9"/>
  <c r="C42" i="9"/>
  <c r="C43" i="9"/>
  <c r="C44" i="9"/>
  <c r="C45" i="9"/>
  <c r="C46" i="9"/>
  <c r="C47" i="9"/>
  <c r="A60" i="9"/>
  <c r="C60" i="9"/>
  <c r="C61" i="9"/>
  <c r="A64" i="9"/>
  <c r="C64" i="9"/>
  <c r="D65" i="9"/>
  <c r="F65" i="9" s="1"/>
  <c r="D66" i="9"/>
  <c r="F66" i="9" s="1"/>
  <c r="D67" i="9"/>
  <c r="F67" i="9" s="1"/>
  <c r="D68" i="9"/>
  <c r="F68" i="9" s="1"/>
  <c r="A70" i="9"/>
  <c r="C71" i="9"/>
  <c r="C72" i="9"/>
  <c r="C73" i="9"/>
  <c r="C74" i="9"/>
  <c r="C75" i="9"/>
  <c r="A76" i="9"/>
  <c r="C76" i="9"/>
  <c r="C77" i="9"/>
  <c r="C78" i="9"/>
  <c r="C79" i="9"/>
  <c r="A80" i="9"/>
  <c r="C80" i="9"/>
  <c r="C81" i="9"/>
  <c r="C82" i="9"/>
  <c r="C83" i="9"/>
  <c r="C84" i="9"/>
  <c r="A7" i="9"/>
  <c r="C7" i="9"/>
  <c r="C8" i="9"/>
  <c r="C9" i="9"/>
  <c r="C10" i="9"/>
  <c r="C11" i="9"/>
  <c r="A12" i="9"/>
  <c r="C12" i="9"/>
  <c r="C13" i="9"/>
  <c r="C14" i="9"/>
  <c r="C15" i="9"/>
  <c r="A15" i="12"/>
  <c r="C15" i="12"/>
  <c r="C16" i="12"/>
  <c r="C17" i="12"/>
  <c r="C18" i="12"/>
  <c r="C19" i="12"/>
  <c r="C20" i="12"/>
  <c r="A21" i="12"/>
  <c r="C21" i="12"/>
  <c r="C22" i="12"/>
  <c r="C23" i="12"/>
  <c r="C24" i="12"/>
  <c r="C25" i="12"/>
  <c r="C26" i="12"/>
  <c r="A27" i="12"/>
  <c r="C27" i="12"/>
  <c r="C28" i="12"/>
  <c r="C29" i="12"/>
  <c r="C30" i="12"/>
  <c r="C31" i="12"/>
  <c r="C32" i="12"/>
  <c r="A33" i="12"/>
  <c r="C33" i="12"/>
  <c r="A40" i="12"/>
  <c r="C40" i="12"/>
  <c r="C41" i="12"/>
  <c r="C42" i="12"/>
  <c r="C43" i="12"/>
  <c r="C44" i="12"/>
  <c r="C45" i="12"/>
  <c r="C46" i="12"/>
  <c r="A53" i="12"/>
  <c r="C53" i="12"/>
  <c r="C54" i="12"/>
  <c r="C55" i="12"/>
  <c r="C56" i="12"/>
  <c r="A47" i="12"/>
  <c r="C47" i="12"/>
  <c r="C48" i="12"/>
  <c r="C49" i="12"/>
  <c r="C50" i="12"/>
  <c r="C51" i="12"/>
  <c r="C52" i="12"/>
  <c r="A13" i="31"/>
  <c r="C13" i="31"/>
  <c r="A27" i="31"/>
  <c r="C27" i="31"/>
  <c r="C28" i="31"/>
  <c r="C29" i="31"/>
  <c r="C30" i="31"/>
  <c r="C31" i="31"/>
  <c r="C32" i="31"/>
  <c r="A40" i="31"/>
  <c r="C40" i="31"/>
  <c r="C41" i="31"/>
  <c r="C42" i="31"/>
  <c r="C43" i="31"/>
  <c r="C44" i="31"/>
  <c r="C45" i="31"/>
  <c r="A46" i="31"/>
  <c r="C46" i="31"/>
  <c r="C47" i="31"/>
  <c r="C48" i="31"/>
  <c r="C49" i="31"/>
  <c r="A20" i="31"/>
  <c r="C20" i="31"/>
  <c r="C21" i="31"/>
  <c r="C22" i="31"/>
  <c r="C23" i="31"/>
  <c r="C26" i="31"/>
  <c r="A37" i="8"/>
  <c r="C37" i="8"/>
  <c r="C38" i="8"/>
  <c r="C39" i="8"/>
  <c r="C40" i="8"/>
  <c r="C41" i="8"/>
  <c r="C42" i="8"/>
  <c r="A43" i="8"/>
  <c r="C43" i="8"/>
  <c r="C44" i="8"/>
  <c r="A49" i="8"/>
  <c r="C49" i="8"/>
  <c r="C50" i="8"/>
  <c r="C51" i="8"/>
  <c r="A70" i="8"/>
  <c r="C70" i="8"/>
  <c r="D71" i="8"/>
  <c r="F71" i="8" s="1"/>
  <c r="D72" i="8"/>
  <c r="F72" i="8" s="1"/>
  <c r="D73" i="8"/>
  <c r="F73" i="8" s="1"/>
  <c r="D74" i="8"/>
  <c r="F74" i="8" s="1"/>
  <c r="A76" i="8"/>
  <c r="C76" i="8"/>
  <c r="C77" i="8"/>
  <c r="C78" i="8"/>
  <c r="C79" i="8"/>
  <c r="C80" i="8"/>
  <c r="C81" i="8"/>
  <c r="C82" i="8"/>
  <c r="C83" i="8"/>
  <c r="C84" i="8"/>
  <c r="C85" i="8"/>
  <c r="A86" i="8"/>
  <c r="C86" i="8"/>
  <c r="C87" i="8"/>
  <c r="C88" i="8"/>
  <c r="C89" i="8"/>
  <c r="A90" i="8"/>
  <c r="C90" i="8"/>
  <c r="C91" i="8"/>
  <c r="C92" i="8"/>
  <c r="C93" i="8"/>
  <c r="C94" i="8"/>
  <c r="A27" i="8"/>
  <c r="C27" i="8"/>
  <c r="C28" i="8"/>
  <c r="C29" i="8"/>
  <c r="C30" i="8"/>
  <c r="A31" i="8"/>
  <c r="C31" i="8"/>
  <c r="C32" i="8"/>
  <c r="G151" i="15"/>
  <c r="G82" i="23" l="1"/>
  <c r="G97" i="20"/>
  <c r="G29" i="20"/>
  <c r="G106" i="21"/>
  <c r="G24" i="10"/>
  <c r="G64" i="23"/>
  <c r="G31" i="15"/>
  <c r="G57" i="14"/>
  <c r="G45" i="10"/>
  <c r="G20" i="31"/>
  <c r="G30" i="21"/>
  <c r="G15" i="23"/>
  <c r="G18" i="11"/>
  <c r="G127" i="21"/>
  <c r="G82" i="10"/>
  <c r="G74" i="18"/>
  <c r="G47" i="23"/>
  <c r="G125" i="15"/>
  <c r="G101" i="11"/>
  <c r="G88" i="14"/>
  <c r="G70" i="8"/>
  <c r="G64" i="9"/>
  <c r="G90" i="11"/>
  <c r="G85" i="18"/>
  <c r="G122" i="23"/>
  <c r="G77" i="14"/>
  <c r="G54" i="9"/>
  <c r="G106" i="15"/>
  <c r="G104" i="20"/>
  <c r="G48" i="9"/>
  <c r="G64" i="10"/>
  <c r="G60" i="21"/>
  <c r="G15" i="20"/>
  <c r="F26" i="18"/>
  <c r="G25" i="18" s="1"/>
  <c r="F44" i="21"/>
  <c r="G43" i="21" s="1"/>
  <c r="G63" i="21"/>
  <c r="G57" i="21"/>
  <c r="G41" i="18"/>
  <c r="F29" i="23"/>
  <c r="G28" i="23" s="1"/>
  <c r="G56" i="23"/>
  <c r="G44" i="23"/>
  <c r="G31" i="8"/>
  <c r="G102" i="15"/>
  <c r="G103" i="23"/>
  <c r="G83" i="20"/>
  <c r="G22" i="9"/>
  <c r="G73" i="20"/>
  <c r="G79" i="20"/>
  <c r="G63" i="14"/>
  <c r="G92" i="21"/>
  <c r="G117" i="21"/>
  <c r="G91" i="15"/>
  <c r="G99" i="21"/>
  <c r="G113" i="21"/>
  <c r="G84" i="14"/>
  <c r="G109" i="23"/>
  <c r="G133" i="23"/>
  <c r="G96" i="23"/>
  <c r="G12" i="27"/>
  <c r="G70" i="14"/>
  <c r="G129" i="23"/>
  <c r="G90" i="20"/>
  <c r="G59" i="20"/>
  <c r="G21" i="46" s="1"/>
  <c r="B23" i="5" s="1"/>
  <c r="G110" i="20"/>
  <c r="G67" i="20"/>
  <c r="G121" i="20"/>
  <c r="G96" i="18"/>
  <c r="G60" i="18"/>
  <c r="G81" i="18"/>
  <c r="G54" i="18"/>
  <c r="G67" i="18"/>
  <c r="G66" i="15"/>
  <c r="G95" i="15"/>
  <c r="G79" i="15"/>
  <c r="G85" i="15"/>
  <c r="G73" i="15"/>
  <c r="G27" i="17"/>
  <c r="G45" i="17"/>
  <c r="G35" i="17"/>
  <c r="G41" i="17"/>
  <c r="G71" i="11"/>
  <c r="G52" i="11"/>
  <c r="G94" i="14"/>
  <c r="G34" i="9"/>
  <c r="G27" i="31"/>
  <c r="G52" i="17"/>
  <c r="G20" i="17"/>
  <c r="G51" i="14"/>
  <c r="G59" i="17"/>
  <c r="G28" i="9"/>
  <c r="G70" i="9"/>
  <c r="G101" i="9" s="1"/>
  <c r="G16" i="9"/>
  <c r="G41" i="9"/>
  <c r="G107" i="11"/>
  <c r="G58" i="11"/>
  <c r="G65" i="11"/>
  <c r="G76" i="11"/>
  <c r="G97" i="11"/>
  <c r="G83" i="11"/>
  <c r="G51" i="10"/>
  <c r="G57" i="10"/>
  <c r="G37" i="10"/>
  <c r="G88" i="10"/>
  <c r="G117" i="10" s="1"/>
  <c r="G71" i="10"/>
  <c r="G60" i="9"/>
  <c r="G21" i="12"/>
  <c r="G27" i="12"/>
  <c r="G40" i="12"/>
  <c r="G33" i="12"/>
  <c r="G37" i="8"/>
  <c r="G63" i="8"/>
  <c r="G56" i="8"/>
  <c r="G43" i="8"/>
  <c r="G49" i="8"/>
  <c r="G11" i="11"/>
  <c r="F81" i="8"/>
  <c r="G76" i="8" s="1"/>
  <c r="G83" i="17"/>
  <c r="G63" i="17"/>
  <c r="G37" i="11"/>
  <c r="G143" i="21"/>
  <c r="D130" i="18"/>
  <c r="G130" i="18" s="1"/>
  <c r="D150" i="15"/>
  <c r="D175" i="23"/>
  <c r="G175" i="23" s="1"/>
  <c r="D174" i="23"/>
  <c r="G174" i="23" s="1"/>
  <c r="D112" i="17"/>
  <c r="G112" i="17" s="1"/>
  <c r="D133" i="11"/>
  <c r="G133" i="11" s="1"/>
  <c r="D95" i="9"/>
  <c r="G95" i="9" s="1"/>
  <c r="D108" i="10"/>
  <c r="G108" i="10" s="1"/>
  <c r="D176" i="23"/>
  <c r="G176" i="23" s="1"/>
  <c r="G152" i="15"/>
  <c r="F130" i="21"/>
  <c r="G57" i="15"/>
  <c r="G141" i="15"/>
  <c r="G41" i="11"/>
  <c r="G148" i="23"/>
  <c r="G71" i="21"/>
  <c r="G77" i="21"/>
  <c r="G71" i="23"/>
  <c r="G77" i="23"/>
  <c r="G11" i="27"/>
  <c r="G61" i="27"/>
  <c r="G127" i="18"/>
  <c r="G44" i="18"/>
  <c r="G15" i="12"/>
  <c r="G10" i="27"/>
  <c r="G109" i="14"/>
  <c r="G33" i="14"/>
  <c r="G48" i="18"/>
  <c r="G76" i="9"/>
  <c r="G122" i="18"/>
  <c r="G94" i="10"/>
  <c r="G126" i="11"/>
  <c r="G7" i="9"/>
  <c r="G113" i="11"/>
  <c r="G34" i="18"/>
  <c r="G148" i="20"/>
  <c r="G29" i="27"/>
  <c r="G90" i="8"/>
  <c r="G46" i="31"/>
  <c r="G47" i="12"/>
  <c r="G65" i="12" s="1"/>
  <c r="G53" i="12"/>
  <c r="G80" i="9"/>
  <c r="G20" i="10"/>
  <c r="G117" i="11"/>
  <c r="G45" i="14"/>
  <c r="G104" i="18"/>
  <c r="G41" i="27"/>
  <c r="G86" i="8"/>
  <c r="G82" i="8"/>
  <c r="G12" i="9"/>
  <c r="G100" i="14"/>
  <c r="G125" i="20"/>
  <c r="G159" i="23"/>
  <c r="G138" i="23"/>
  <c r="G20" i="27"/>
  <c r="G24" i="27"/>
  <c r="G46" i="27"/>
  <c r="G42" i="20"/>
  <c r="G143" i="20"/>
  <c r="G27" i="8"/>
  <c r="G15" i="10"/>
  <c r="G98" i="10"/>
  <c r="G121" i="11"/>
  <c r="G32" i="11"/>
  <c r="G136" i="11" s="1"/>
  <c r="G34" i="27"/>
  <c r="G109" i="18"/>
  <c r="G139" i="18" s="1"/>
  <c r="G53" i="20"/>
  <c r="G130" i="20"/>
  <c r="G13" i="31"/>
  <c r="G115" i="18"/>
  <c r="G47" i="20"/>
  <c r="G136" i="20"/>
  <c r="G40" i="31"/>
  <c r="G8" i="12"/>
  <c r="G31" i="10"/>
  <c r="G45" i="11"/>
  <c r="G14" i="17"/>
  <c r="G95" i="17"/>
  <c r="G171" i="23"/>
  <c r="G100" i="18"/>
  <c r="G152" i="23"/>
  <c r="G53" i="15"/>
  <c r="G41" i="15"/>
  <c r="G38" i="15"/>
  <c r="G131" i="15"/>
  <c r="G47" i="27"/>
  <c r="G38" i="14"/>
  <c r="G85" i="23"/>
  <c r="G91" i="23"/>
  <c r="G142" i="23"/>
  <c r="G50" i="23"/>
  <c r="G60" i="23"/>
  <c r="F167" i="23"/>
  <c r="G166" i="23" s="1"/>
  <c r="G67" i="21"/>
  <c r="G52" i="21"/>
  <c r="G86" i="21"/>
  <c r="G131" i="21"/>
  <c r="G138" i="21"/>
  <c r="G121" i="21"/>
  <c r="G155" i="21" s="1"/>
  <c r="G104" i="14"/>
  <c r="G7" i="14"/>
  <c r="G21" i="14"/>
  <c r="G27" i="14"/>
  <c r="G89" i="17"/>
  <c r="G99" i="17"/>
  <c r="G79" i="17"/>
  <c r="G47" i="15"/>
  <c r="G60" i="15"/>
  <c r="G135" i="15"/>
  <c r="G139" i="11" l="1"/>
  <c r="G53" i="31"/>
  <c r="G136" i="18"/>
  <c r="G125" i="17"/>
  <c r="G71" i="27"/>
  <c r="G74" i="27"/>
  <c r="G149" i="21"/>
  <c r="G182" i="23"/>
  <c r="G158" i="15"/>
  <c r="G161" i="20"/>
  <c r="G158" i="21"/>
  <c r="G164" i="15"/>
  <c r="G185" i="23"/>
  <c r="G111" i="10"/>
  <c r="G122" i="17"/>
  <c r="G158" i="20"/>
  <c r="G161" i="15"/>
  <c r="G133" i="18"/>
  <c r="G123" i="14"/>
  <c r="G152" i="21"/>
  <c r="G129" i="14"/>
  <c r="G188" i="23"/>
  <c r="G62" i="12"/>
  <c r="G69" i="12" s="1"/>
  <c r="G155" i="15"/>
  <c r="G59" i="12"/>
  <c r="G108" i="8"/>
  <c r="G119" i="17"/>
  <c r="G142" i="18"/>
  <c r="G114" i="8"/>
  <c r="G98" i="9"/>
  <c r="G114" i="10"/>
  <c r="G179" i="23"/>
  <c r="G128" i="17"/>
  <c r="G145" i="11"/>
  <c r="G167" i="20"/>
  <c r="G191" i="23"/>
  <c r="G116" i="17"/>
  <c r="G142" i="11"/>
  <c r="G126" i="14"/>
  <c r="G111" i="8"/>
  <c r="G148" i="11"/>
  <c r="G168" i="15" l="1"/>
  <c r="B18" i="5" s="1"/>
  <c r="G171" i="20"/>
  <c r="B20" i="5" s="1"/>
  <c r="G162" i="21"/>
  <c r="B21" i="5" s="1"/>
  <c r="G146" i="18"/>
  <c r="B19" i="5" s="1"/>
  <c r="G195" i="23"/>
  <c r="B22" i="5" s="1"/>
  <c r="G132" i="17"/>
  <c r="B17" i="5" s="1"/>
  <c r="B12" i="5"/>
  <c r="G79" i="27"/>
  <c r="B24" i="5" s="1"/>
  <c r="G118" i="8"/>
  <c r="B10" i="5" s="1"/>
  <c r="G105" i="9"/>
  <c r="B13" i="5" s="1"/>
  <c r="G133" i="14"/>
  <c r="B16" i="5" s="1"/>
  <c r="B11" i="5"/>
  <c r="G121" i="10"/>
  <c r="B14" i="5" s="1"/>
  <c r="G152" i="11"/>
  <c r="B15" i="5" s="1"/>
</calcChain>
</file>

<file path=xl/sharedStrings.xml><?xml version="1.0" encoding="utf-8"?>
<sst xmlns="http://schemas.openxmlformats.org/spreadsheetml/2006/main" count="3525" uniqueCount="2566">
  <si>
    <t>S5</t>
  </si>
  <si>
    <t>Shorebird Feeding Habitats</t>
  </si>
  <si>
    <t>25-50%</t>
  </si>
  <si>
    <t>50-75%</t>
  </si>
  <si>
    <t>&gt;75%</t>
  </si>
  <si>
    <t>Internal Gradient</t>
  </si>
  <si>
    <t>extensive evidence, high intensity*</t>
  </si>
  <si>
    <t>potentially (based on high-intensity* land use) or scattered evidence</t>
  </si>
  <si>
    <t>potentially (based on low-intensity* land use) with little or no direct evidence</t>
  </si>
  <si>
    <t>Severe (3 pts)</t>
  </si>
  <si>
    <t>Severe (3 points)</t>
  </si>
  <si>
    <t>Medium (2 points)</t>
  </si>
  <si>
    <t>Mild (1 point)</t>
  </si>
  <si>
    <t>Aquatic Invertebrate Habitat (INV)</t>
  </si>
  <si>
    <t>Domestic Wells</t>
  </si>
  <si>
    <t>Non-consumptive Uses - Actual or Potential</t>
  </si>
  <si>
    <t>Dense vegetation offers frictional resistance to water flow, promoting sedimentation of suspended particles, as well as reducing the resuspension of bottom sediments by waves and currents.</t>
  </si>
  <si>
    <t>These features cumulatively decelerate runoff, thus allowing for more sedimentation to occur, although usually only to a minor degree.</t>
  </si>
  <si>
    <t>F66</t>
  </si>
  <si>
    <t>N Fixers</t>
  </si>
  <si>
    <t>Unless impounded, steeply sloping wetlands retain less surface runoff and precipitation.</t>
  </si>
  <si>
    <r>
      <t xml:space="preserve">those species together do </t>
    </r>
    <r>
      <rPr>
        <b/>
        <sz val="10"/>
        <rFont val="Arial Narrow"/>
        <family val="2"/>
      </rPr>
      <t xml:space="preserve">not </t>
    </r>
    <r>
      <rPr>
        <sz val="10"/>
        <rFont val="Arial Narrow"/>
        <family val="2"/>
      </rPr>
      <t>comprise &gt; 50% of the areal cover of native herbaceous plants at any time during the year.</t>
    </r>
  </si>
  <si>
    <t>5-50%</t>
  </si>
  <si>
    <t>F42</t>
  </si>
  <si>
    <t>F43</t>
  </si>
  <si>
    <t>F45</t>
  </si>
  <si>
    <t>F49</t>
  </si>
  <si>
    <t>F50</t>
  </si>
  <si>
    <t>F51</t>
  </si>
  <si>
    <t>F54</t>
  </si>
  <si>
    <t xml:space="preserve">Most amphibians in this region appear to prefer ponded or slowly-flowing waters, as are typically associated with gentle gradient.  </t>
  </si>
  <si>
    <t>Increased visitation by humans and pets can potentially increase the spread of aquatic fungi that are lethal to many amphibians.</t>
  </si>
  <si>
    <t>Wetlands with upland inclusions allow animals to move more conveniently between uplands and wetlands, using resources in each.</t>
  </si>
  <si>
    <t>Data</t>
  </si>
  <si>
    <t>F56</t>
  </si>
  <si>
    <t>Consumptive Uses (Provisioning Services)</t>
  </si>
  <si>
    <t>1-25%</t>
  </si>
  <si>
    <t>F65</t>
  </si>
  <si>
    <t>F46</t>
  </si>
  <si>
    <t>Usual toxicity of most toxic contaminants</t>
  </si>
  <si>
    <t>Frequency &amp; duration of input</t>
  </si>
  <si>
    <t>AA proximity to main sources (actual or potential)</t>
  </si>
  <si>
    <t>Erosion in CA</t>
  </si>
  <si>
    <t>Recentness of significant soil disturbance in the CA</t>
  </si>
  <si>
    <t>current &amp; ongoing</t>
  </si>
  <si>
    <t>1-12 months ago</t>
  </si>
  <si>
    <t>&gt;1 yr ago</t>
  </si>
  <si>
    <t>AA proximity to actual or potential sources</t>
  </si>
  <si>
    <t>Greater microtopography implies greater heterogeneity of water, vegetation, and disturbance regimes, which together should indicate higher capacity to support a wide variety of invertebrates.</t>
  </si>
  <si>
    <t>Steeper gradients imply a greater likelihood that whatever organic matter is produced will be transported offsite.</t>
  </si>
  <si>
    <t>Upland Inclusions</t>
  </si>
  <si>
    <t>Nitrate Removal &amp; Retention (NR)</t>
  </si>
  <si>
    <t>These features cumulatively decelerate runoff, thus allowing for more deposition of phosphorus-containing suspended sediments to occur, although usually only to a minor degree.</t>
  </si>
  <si>
    <r>
      <t xml:space="preserve">those species together comprise </t>
    </r>
    <r>
      <rPr>
        <b/>
        <sz val="10"/>
        <rFont val="Arial Narrow"/>
        <family val="2"/>
      </rPr>
      <t>&gt; 50%</t>
    </r>
    <r>
      <rPr>
        <sz val="10"/>
        <rFont val="Arial Narrow"/>
        <family val="2"/>
      </rPr>
      <t xml:space="preserve"> of the areal cover of </t>
    </r>
    <r>
      <rPr>
        <b/>
        <sz val="10"/>
        <rFont val="Arial Narrow"/>
        <family val="2"/>
      </rPr>
      <t xml:space="preserve">native </t>
    </r>
    <r>
      <rPr>
        <sz val="10"/>
        <rFont val="Arial Narrow"/>
        <family val="2"/>
      </rPr>
      <t>herbaceous plants at any time during the year.</t>
    </r>
  </si>
  <si>
    <t>&gt;10%</t>
  </si>
  <si>
    <t>6-10%</t>
  </si>
  <si>
    <t xml:space="preserve">&lt;5% </t>
  </si>
  <si>
    <t>Many wetland invertebrates inhabit the soil, and potentially are harmed by soil disturbance such as from tillage or compaction.</t>
  </si>
  <si>
    <r>
      <t xml:space="preserve">those species together comprise </t>
    </r>
    <r>
      <rPr>
        <b/>
        <sz val="10"/>
        <rFont val="Arial Narrow"/>
        <family val="2"/>
      </rPr>
      <t>&gt; 50%</t>
    </r>
    <r>
      <rPr>
        <sz val="10"/>
        <rFont val="Arial Narrow"/>
        <family val="2"/>
      </rPr>
      <t xml:space="preserve"> of the areal cover of</t>
    </r>
    <r>
      <rPr>
        <b/>
        <sz val="10"/>
        <rFont val="Arial Narrow"/>
        <family val="2"/>
      </rPr>
      <t xml:space="preserve"> </t>
    </r>
    <r>
      <rPr>
        <sz val="10"/>
        <rFont val="Arial Narrow"/>
        <family val="2"/>
      </rPr>
      <t>native shrub species.</t>
    </r>
  </si>
  <si>
    <r>
      <t xml:space="preserve">those species together do </t>
    </r>
    <r>
      <rPr>
        <b/>
        <sz val="10"/>
        <rFont val="Arial Narrow"/>
        <family val="2"/>
      </rPr>
      <t xml:space="preserve">not </t>
    </r>
    <r>
      <rPr>
        <sz val="10"/>
        <rFont val="Arial Narrow"/>
        <family val="2"/>
      </rPr>
      <t>comprise &gt; 50% of the areal cover of native shrub species.</t>
    </r>
  </si>
  <si>
    <t xml:space="preserve">3-9 yrs ago </t>
  </si>
  <si>
    <t>10-100 yrs ago</t>
  </si>
  <si>
    <t>Wetlands that lack surface water throughout the year may still provide dispersal sites for adult frogs, toads, and salamanders, but do not provide reproductive habitat for most amphibian species.</t>
  </si>
  <si>
    <t>Most waterbirds favor ponded areas (that typically are flat) rather than flowing water that typifies slope wetlands.</t>
  </si>
  <si>
    <t>F59</t>
  </si>
  <si>
    <t>Amphibian Habitat (AM)</t>
  </si>
  <si>
    <t>F44</t>
  </si>
  <si>
    <t>No</t>
  </si>
  <si>
    <t>frequent but mostly seasonal</t>
  </si>
  <si>
    <t>frequent and year-round</t>
  </si>
  <si>
    <t>infrequent &amp; during high runoff events mainly</t>
  </si>
  <si>
    <t>Outflow Confinement</t>
  </si>
  <si>
    <t>intermediate</t>
  </si>
  <si>
    <t>Duration</t>
  </si>
  <si>
    <t>Timing of soil alteration</t>
  </si>
  <si>
    <t>See above.</t>
  </si>
  <si>
    <t>50-95%</t>
  </si>
  <si>
    <t>Indicator</t>
  </si>
  <si>
    <t>#</t>
  </si>
  <si>
    <t>VwidthAbs6</t>
  </si>
  <si>
    <t>OutDura6</t>
  </si>
  <si>
    <t>Constric6</t>
  </si>
  <si>
    <t>ThruFlo6</t>
  </si>
  <si>
    <t>Nfixer6</t>
  </si>
  <si>
    <t>Gcover6</t>
  </si>
  <si>
    <t>SoilTex6</t>
  </si>
  <si>
    <t>Gradient6</t>
  </si>
  <si>
    <t>NewWet6</t>
  </si>
  <si>
    <t>Wettype8</t>
  </si>
  <si>
    <t>SeasPct8</t>
  </si>
  <si>
    <t>AqCov8</t>
  </si>
  <si>
    <t>PermWpct8</t>
  </si>
  <si>
    <t>Depth8</t>
  </si>
  <si>
    <t>Interspers8</t>
  </si>
  <si>
    <t>ThruFlo8</t>
  </si>
  <si>
    <t>Nfixers8</t>
  </si>
  <si>
    <t>WoodDown8</t>
  </si>
  <si>
    <t>Girreg8</t>
  </si>
  <si>
    <t>AltTime8</t>
  </si>
  <si>
    <t>SedCA8</t>
  </si>
  <si>
    <t>SoilDisturb8</t>
  </si>
  <si>
    <t>Groundw8</t>
  </si>
  <si>
    <t>PermWpct10</t>
  </si>
  <si>
    <t>WoodAbove10</t>
  </si>
  <si>
    <t>IsoDry10</t>
  </si>
  <si>
    <t>Depth10</t>
  </si>
  <si>
    <t>DepthEven10</t>
  </si>
  <si>
    <t>Interspers10</t>
  </si>
  <si>
    <t>OutDura10</t>
  </si>
  <si>
    <t>ThruFlo10</t>
  </si>
  <si>
    <t>NatVegCUpct10</t>
  </si>
  <si>
    <t>AltTime10</t>
  </si>
  <si>
    <t>Groundw10</t>
  </si>
  <si>
    <t>Lake10</t>
  </si>
  <si>
    <t>Fluctu11</t>
  </si>
  <si>
    <t>WoodAbove11</t>
  </si>
  <si>
    <t>IsoWet11</t>
  </si>
  <si>
    <t>Interspers11</t>
  </si>
  <si>
    <t>Vwidth11</t>
  </si>
  <si>
    <t>TreeVar11</t>
  </si>
  <si>
    <t>WoodDown11</t>
  </si>
  <si>
    <t>Girreg11</t>
  </si>
  <si>
    <t>Gradient11</t>
  </si>
  <si>
    <t>GroundW11</t>
  </si>
  <si>
    <t>Core1_11</t>
  </si>
  <si>
    <t>Core2_11</t>
  </si>
  <si>
    <t>AcidicPool10</t>
  </si>
  <si>
    <t>Wettype13</t>
  </si>
  <si>
    <t>Fluctu13</t>
  </si>
  <si>
    <t>PermWpct13</t>
  </si>
  <si>
    <t>ISOdry13</t>
  </si>
  <si>
    <t>DepthEven13</t>
  </si>
  <si>
    <t>Interspers13</t>
  </si>
  <si>
    <t>VwidthAbs13</t>
  </si>
  <si>
    <t>EmPct13</t>
  </si>
  <si>
    <t>SnagB13</t>
  </si>
  <si>
    <t>TreeForm13</t>
  </si>
  <si>
    <t>Gradient13</t>
  </si>
  <si>
    <t>Core1_13</t>
  </si>
  <si>
    <t>Core2_13</t>
  </si>
  <si>
    <t>BuffNatPct13</t>
  </si>
  <si>
    <t>ShoreSlope13</t>
  </si>
  <si>
    <t>Acidic13</t>
  </si>
  <si>
    <t>Beaver13</t>
  </si>
  <si>
    <t>PermWpct14</t>
  </si>
  <si>
    <t>WoodyPct14</t>
  </si>
  <si>
    <t>WoodDown14</t>
  </si>
  <si>
    <t>Inclus14</t>
  </si>
  <si>
    <t>Cliffs14</t>
  </si>
  <si>
    <t>Core14a</t>
  </si>
  <si>
    <t>Core14b</t>
  </si>
  <si>
    <t>CUbuffNatPct14</t>
  </si>
  <si>
    <t>CUtypeLU14</t>
  </si>
  <si>
    <t>Interspers14</t>
  </si>
  <si>
    <t>Vwidth14</t>
  </si>
  <si>
    <t>ShrubDiv14</t>
  </si>
  <si>
    <t>Unless (or even when) new wetlands are sown with plants, the number of species often remains low for years as colonization gradually occurs and diverse plant communities become established.</t>
  </si>
  <si>
    <t>Songbird, Raptor, &amp; Mammal Habitat (SBM)</t>
  </si>
  <si>
    <t>5 to 30%</t>
  </si>
  <si>
    <t>30 to 60%</t>
  </si>
  <si>
    <t>60 to 90%</t>
  </si>
  <si>
    <t>Intermediate</t>
  </si>
  <si>
    <t>Downed Wood</t>
  </si>
  <si>
    <t>Ground Irregularity</t>
  </si>
  <si>
    <t>Input timing now vs. previously</t>
  </si>
  <si>
    <t>F55</t>
  </si>
  <si>
    <t>Predominant Depth Class</t>
  </si>
  <si>
    <t>Spatial extent of altered soil</t>
  </si>
  <si>
    <t>Depth15</t>
  </si>
  <si>
    <t>WidthPD</t>
  </si>
  <si>
    <t>wood2pd</t>
  </si>
  <si>
    <t>GirregPD</t>
  </si>
  <si>
    <t>SoilTexPD</t>
  </si>
  <si>
    <t>herbdom15</t>
  </si>
  <si>
    <t>WeedSourcePD</t>
  </si>
  <si>
    <t>NatVegCApd</t>
  </si>
  <si>
    <t>BuffLUpd</t>
  </si>
  <si>
    <t>Core1pd</t>
  </si>
  <si>
    <t>Core2pd</t>
  </si>
  <si>
    <t>NewWetPD</t>
  </si>
  <si>
    <t>AltTime20</t>
  </si>
  <si>
    <t>SedDisturb20</t>
  </si>
  <si>
    <t>NfixPD</t>
  </si>
  <si>
    <t>GWpd</t>
  </si>
  <si>
    <t>InterspersPD</t>
  </si>
  <si>
    <t>BeaverPD</t>
  </si>
  <si>
    <t>InfloPD</t>
  </si>
  <si>
    <t>FlucPD</t>
  </si>
  <si>
    <t>Depth2_</t>
  </si>
  <si>
    <t>Soil2_</t>
  </si>
  <si>
    <t>Groundw2_</t>
  </si>
  <si>
    <t>OutDur2_</t>
  </si>
  <si>
    <t>OutDur7</t>
  </si>
  <si>
    <t>Gwater7</t>
  </si>
  <si>
    <t>Shade7</t>
  </si>
  <si>
    <t>ISOdry7</t>
  </si>
  <si>
    <t>Depth7</t>
  </si>
  <si>
    <t>Fluc2</t>
  </si>
  <si>
    <t>SeasPct2</t>
  </si>
  <si>
    <t>DepthC2</t>
  </si>
  <si>
    <t>WatEdgeSlope2</t>
  </si>
  <si>
    <t>WidthAbs2</t>
  </si>
  <si>
    <t>OutDur2</t>
  </si>
  <si>
    <t>Constric2</t>
  </si>
  <si>
    <t>ThruFlo2</t>
  </si>
  <si>
    <t>Gcover2</t>
  </si>
  <si>
    <t>Girreg2</t>
  </si>
  <si>
    <t>Gradient2</t>
  </si>
  <si>
    <t>Lake3</t>
  </si>
  <si>
    <t>Persis3</t>
  </si>
  <si>
    <t>Fluctu3</t>
  </si>
  <si>
    <t>DomDepth3</t>
  </si>
  <si>
    <t>VegWabs3</t>
  </si>
  <si>
    <t>OutDura3</t>
  </si>
  <si>
    <t>Constric3</t>
  </si>
  <si>
    <t>ThruFlo3</t>
  </si>
  <si>
    <t>Gcover3</t>
  </si>
  <si>
    <t>Girreg3</t>
  </si>
  <si>
    <t>SoilTex3</t>
  </si>
  <si>
    <t>Gradient3</t>
  </si>
  <si>
    <t>Wettype4</t>
  </si>
  <si>
    <t>SeasWpct4</t>
  </si>
  <si>
    <t>PermWpct4</t>
  </si>
  <si>
    <t>Fluctu4</t>
  </si>
  <si>
    <t>Interspers4</t>
  </si>
  <si>
    <t>Groundw4</t>
  </si>
  <si>
    <t>OutDura4</t>
  </si>
  <si>
    <t>Constric4</t>
  </si>
  <si>
    <t>Gcover4</t>
  </si>
  <si>
    <t>Girreg4</t>
  </si>
  <si>
    <t>Inclus4</t>
  </si>
  <si>
    <t>SoilTex4</t>
  </si>
  <si>
    <t>Gradient4</t>
  </si>
  <si>
    <t>NewWet</t>
  </si>
  <si>
    <t>Wettype2</t>
  </si>
  <si>
    <t>Organic Nutrient Export (OE)</t>
  </si>
  <si>
    <t>&lt;1%</t>
  </si>
  <si>
    <t>F47</t>
  </si>
  <si>
    <t>F52</t>
  </si>
  <si>
    <t>F53</t>
  </si>
  <si>
    <t>F57</t>
  </si>
  <si>
    <t>F58</t>
  </si>
  <si>
    <t>F60</t>
  </si>
  <si>
    <t>F61</t>
  </si>
  <si>
    <t>F63</t>
  </si>
  <si>
    <t>F64</t>
  </si>
  <si>
    <t>Ownership</t>
  </si>
  <si>
    <t>2-5%</t>
  </si>
  <si>
    <t>F48</t>
  </si>
  <si>
    <t>Woody Diameter Classes</t>
  </si>
  <si>
    <t>Visibility</t>
  </si>
  <si>
    <t>long-lasting, minimal veg recovery</t>
  </si>
  <si>
    <t>long-lasting but mostly revegetated</t>
  </si>
  <si>
    <t xml:space="preserve">short-term, revegetated, not intense </t>
  </si>
  <si>
    <t>Some of these features are important to bank-living beavers, swallows, and swifts.</t>
  </si>
  <si>
    <t>Rationale</t>
  </si>
  <si>
    <t>Public enjoyment of wetlands is assumed to be greater when most of the wetland can be seen without obstruction by dense shrubs or other features.</t>
  </si>
  <si>
    <t>If accessible, wetlands closer to roads are likely to be visited by more people on foot.</t>
  </si>
  <si>
    <t>F62</t>
  </si>
  <si>
    <t>Wetlands that have no outflow are likely to have only minimal effect on temperature of other water bodies.</t>
  </si>
  <si>
    <t>SeasWpct6</t>
  </si>
  <si>
    <t xml:space="preserve">Dense vegetation offers frictional resistance to runoff, promoting sedimentation of suspended particles and reducing erosion. This promotes phosphorus retention because phosphorus is typically adsorbed to soil particles. </t>
  </si>
  <si>
    <t>Phosphorus Retention (PR)</t>
  </si>
  <si>
    <t>Core1PU</t>
  </si>
  <si>
    <t>Core2PU</t>
  </si>
  <si>
    <t>Wetlands fed by groundwater tend to remain saturated for longer in the summer, thus increasing their chances of supporting streamflow downslope.</t>
  </si>
  <si>
    <t>Stream Flow Support (SFS)</t>
  </si>
  <si>
    <t>Surface Water Storage (WS)</t>
  </si>
  <si>
    <t>Soil compaction seals up pores in the soil that serve as habitat space for denitrifying bacteria, as well as causing a larger proportion of the precipitation to leave as runoff rather than infiltrate into subsurface areas where denitrification is greatest. Soil erosion often results in loss of carbon-rich upper soil layers that are important to denitrification.</t>
  </si>
  <si>
    <t>Nitrogen added to a wetland by N-fixing plants can increase the wetland's overall plant productivity, potentially making more organic matter available for export. Presence of alder in conifer woodlands also can speed the decomposition of organic material from the conifers (Fyles &amp; Fyles 1993) perhaps making it more useful for supporting aquatic life.</t>
  </si>
  <si>
    <t>These features cumulatively decelerate runoff, thus allowing for more biological processing and deposition of nitrate-containing suspended sediments, although usually only to a minor degree. The presence of soil cracks implies a potential downward extension of the aerobic zone, interspersing it with anaerobic areas, which should lead to greater denitrification. Studies of wastewater treatment wetlands have shown greater nitrate removal where pockets of deeper water are interspersed with shallower areas (i.e., diverse microtopography).</t>
  </si>
  <si>
    <t>Upland soils are normally aerobic, whereas wetland soils are often anaerobic. Maximum denitrification occurs at the interface of aerobic and anaerobic conditions. Thus, if inclusions of aerobic non-wetland soils are numerous and interspersed throughout a wetland, the extent of denitrification overall should be greater.</t>
  </si>
  <si>
    <t xml:space="preserve">Flatter wetlands are more likely than steep ones to slow runoff, facilitating more deposition of suspended matter and the nitrate that is associated with it, and also supporting anaerobic conditions that lead to more nitrate removal via denitrification. Steeper gradients in a wetland imply greater potential for outflow and transport downslope, and more aerobic conditions. </t>
  </si>
  <si>
    <t>Type of Cover in Buffer</t>
  </si>
  <si>
    <t>Flatter wetlands are more likely than steep ones to slow runoff, facilitating more deposition of suspended matter and the phosphorus that is associated with it. Ground cover becomes more important to sediment stabilization in wetlands on slopes.</t>
  </si>
  <si>
    <t>Coarse soils tend to be less productive and in some cases this results in reduced species richness of wetland plants. Wetland soils with higher organic content often support greater plant species richness (e.g., Alsfeld et al. 2009) but only if not too acidic (e.g., fens are not). However, when organic soils are acidic (e.g., bogs) they often support species uncommon in wetlands elsewhere.</t>
  </si>
  <si>
    <t>Although not all invasive upland plants are capable of establishing sustained populations in wetlands, many can. When they do they reduce plant diversity.</t>
  </si>
  <si>
    <t xml:space="preserve">Streams adjoined by natural vegetation provide shade that helps maintain water temperature, as well as supporting richer and healthier communities of fish as well as invertebrates. Often, only very tolerant fish species are present in streams in heavily urbanized areas (Yoder et al. 1999) and invasive species may enjoy a competitive advantage over native species under urban conditions (Boet et al. 1999). </t>
  </si>
  <si>
    <t>Wetlands with a large perimeter-to-area ratio (i.e., convoluted edges) or upland inclusions allow animals to move more conveniently between uplands and wetlands, using resources in each. In particular, small mammals avoid wetter (usually more central) parts of wetlands in favor of drier edges (Mazerolle et al. 2001).  In British Columbia, activity levels of bats were more than 40 times greater in riparian than in upland areas, due to greater abundance of emerging aquatic insects, and were significantly greater where stand complexity and extent of forest edges was greater; bat activity levels were not correlated with forest stand age (Grindal et al. Brigham 1999, Grindal et al. 1999).</t>
  </si>
  <si>
    <t xml:space="preserve">Most waterbirds favor emergent herbaceous vegetation rather than woody vegetation, partly because it provides food as well as cover. </t>
  </si>
  <si>
    <t>Most waterbirds situate their nests on or near persistent water. However, wetlands that flood only seasonally often provide more food and cover for young.</t>
  </si>
  <si>
    <t>Fringe Wetland</t>
  </si>
  <si>
    <t>Lacustrine Wetland</t>
  </si>
  <si>
    <t xml:space="preserve">Sites that remain continually moist (saturated) but not flooded may be more likely to retain phosphorus (Aldous et al. 2007). </t>
  </si>
  <si>
    <t>SatPct8</t>
  </si>
  <si>
    <t>SatPct11</t>
  </si>
  <si>
    <t>SatPct14</t>
  </si>
  <si>
    <t>SatPct13</t>
  </si>
  <si>
    <t>SatPct7</t>
  </si>
  <si>
    <t>When water remains entirely belowground, water temperatures in summer remain cooler than if exposed aboveground.</t>
  </si>
  <si>
    <t>Denitrification processes occur when anaerobic conditions occur, which are more likely when surface water is present and blocks gas exchange. Shallow inundation tends to decrease emissions of nitrous oxide (Zaman et al. 2007, Song et al. 2008) .</t>
  </si>
  <si>
    <t>Used as a classifier. Wetlands that are never inundated cannot support resident fish.</t>
  </si>
  <si>
    <t>SatPct10</t>
  </si>
  <si>
    <t>Literature Cited</t>
  </si>
  <si>
    <t>Booth, D. B. and C. R. Jackson. 1997. Urbanization of aquatic systems: Degradation thresholds, stormwater detection, and the limits of mitigation. JAWRA Journal of the American Water Resources Association 33:1077-1090.</t>
  </si>
  <si>
    <t>Carter, V., M. S. Bedinger, R. P. Novitski, and W. Wilen. 1979. Water resources and wetlands. Pages 344–376 in P. E. Greeson, J. R. Clark, and J. E. Clark, editors. Wetland Functions and Values: The State of Our Understanding. American Water Resources Association, Minneapolis, MN.</t>
  </si>
  <si>
    <t>Quinton, W. L. and N. T. Roulet. 1998. Spring and summer runoff hydrology of a subarctic patterned wetland. Arctic and Alpine Research 30:285-294.</t>
  </si>
  <si>
    <t>Roulet, N. T. and M. K. Woo. 1988. Run-off generation in a low arctic drainage-basin. Journal of Hydrology 101:213-226.</t>
  </si>
  <si>
    <t>Spence, C., X. J. Guan, and R. Phillips. 2011. The hydrological functions of a boreal wetland. Wetlands 31:75-85.</t>
  </si>
  <si>
    <t>Waite, T. A. and L. G. Campbell. 2006. Controlling the false discovery rate and increasing statistical power in ecological studies. Ecoscience 13:439-442.</t>
  </si>
  <si>
    <t>Mellina, E., R. D. Moore, S. G. Hinch, J. S. Macdonald, and G. Pearson. 2002. Stream temperature responses to clearcut logging in British Columbia: the moderating influences of groundwater and headwater lakes. Canadian Journal of Fisheries and Aquatic Sciences 59:1886-1900.</t>
  </si>
  <si>
    <t>Reinelt, L. E. and R. R. Horner. 1990. Characterization of the Hydrology and Water Quality of Palustrine Wetlands Affected by Urban Stormwater. King County Resource Planning Section, Seattle, WA.</t>
  </si>
  <si>
    <t>Rounds, S. A. 2007. Temperature Effects of Point Sources, Riparian Shading, and Dam Operations on the Willamette River, Oregon. Scientific Investigations Report 2007–5185. U.S. Department of the Interior, U.S. Geological Survey, Portland, OR.</t>
  </si>
  <si>
    <t>Amatya, D. M., R. W. Skaggs, J. W. Gilliam, and J. H. Hughes. 2003. Effects of orifice-weir outlet on hydrology and water quality of a drained forested watershed. Southern Journal of Applied Forestry 27:130-142.</t>
  </si>
  <si>
    <t>Evans, R. D. and F. H. Rigler. 1983. A test of lead-210 dating for the measurement of whole lake soft sediment accumulation. Canadian Journal of Fisheries and Aquatic Sciences 40:506-515.</t>
  </si>
  <si>
    <t>Knutson, P., J. Ford, M. Inskeep, and J. Oyler. 1981. National survey of planted salt marshes (Vegetative stabilization and wave stress). Wetlands 1:129-157.</t>
  </si>
  <si>
    <t>Morris, A. W., A. J. Bale, and R. J. M. Howland. 1981. Nutrient distributions in an estuary - evidence of chemical precipitation of dissolved silicate and phosphate. Estuarine Coastal and Shelf Science 12:205-216.</t>
  </si>
  <si>
    <t>Nolan, K. M. and D. C. Marron. 1985. Contrast in stream-channel response to major storms in two mountainous areas of California. Geology 13:135-138.</t>
  </si>
  <si>
    <t>Polyakov, V., A. Fares, and M. H. Ryder. 2005. Precision riparian buffers for the control of nonpoint source pollutant loading into surface water: A review. Environmental Reviews 13:129-144.</t>
  </si>
  <si>
    <t>White, W. J., L. A. Morris, D. B. Warnell, A. P. Pinho, C. R. Jackson, and L. T. West. 2007. Sediment retention by forested filter strips in the Piedmont of Georgia. Journal of Soil and Water Conservation 62:453-463.</t>
  </si>
  <si>
    <t>Aldous, A., P. McCormick, C. Ferguson, S. Graham, and C. Craft. 2005. Hydrologic regime controls soil phosphorus fluxes in restoration and undisturbed wetlands. Restoration Ecology 13:341-347.</t>
  </si>
  <si>
    <t>Aldous, A. R., C. B. Craft, C. J. Stevens, M. J. Barry, and L. B. Bach. 2007. Soil phosphorus release from a restoration wetland, Upper Klamath Lake, Oregon. Wetlands 27:1025-1035.</t>
  </si>
  <si>
    <t>Burley, K. L., E. E. Prepas, and P. A. Chambers. 2001. Phosphorus release from sediments in hardwater eutrophic lakes: the effects of redox-sensitive and -insensitive chemical treatments. Freshwater Biology 46:1061-1074.</t>
  </si>
  <si>
    <t>Hoffmann, C. C., C. Kjaergaard, J. Uusi-Kamppa, H. C. B. Hansen, and B. Kronvang. 2009. Phosphorus retention in riparian buffers: Review of their efficiency. Journal of Environmental Quality 38:1942-1955.</t>
  </si>
  <si>
    <t>Knox, A. K., R. A. Dahgren, K. W. Tate, and E. R. Atwill. 2008. Efficacy of natural wetlands to retain nutrient, sediment and microbial pollutants. Journal of Environmental Quality 37:1837-1846.</t>
  </si>
  <si>
    <t>Prescott, C. E., L. Vesterdal, J. Pratt, K. H. Venner, L. M. de Montigny, and J. A. Trofymow. 2000. Nutrient concentrations and nitrogen mineralization in forest floors of single species conifer plantations in coastal British Columbia. Canadian Journal of Forest Research 30:1341-1352.</t>
  </si>
  <si>
    <t>Snyder, D. T. and J. L. Morace. 1997. Nitrogen and Phosphorus Loading from Drained Wetlands Adjacent to Upper Klamath and Agency Lakes, Oregon. US Geological Survey Water Resources Investigations Report 97-4059. US Geological Survey, Fort Collins, CO.</t>
  </si>
  <si>
    <t>Walbridge, M. R. and J. A. Navaratnam. 2006. Phosphorous in boreal peatlands. Pages 231-258 in R. K. Wieder and D. H. Vitt, editors. Boreal Peatland Ecosystems, Ecological Studies, Volume 188. Springer, Berlin Heidelberg, Germany.</t>
  </si>
  <si>
    <t>Bayley, S. E. and R. L. Mewhort. 2004. Plant community structure and junctional differences between marshes and fens in the southern boreal region of Alberta, Canada. Wetlands 24:277-294.</t>
  </si>
  <si>
    <t>Van Hoewyk, D., P. M. Groffman, E. Kiviat, G. Mihocko, and G. Stevens. 2000. Soil nitrogen dynamics in organic and mineral soil calcareous wetlands in eastern New York. Soil Science Society of America Journal 64: 2168–2173.</t>
  </si>
  <si>
    <t>D'Amore, D. V., J. B. Fellman, R. T. Edwards, and E. Hood. 2010. Controls on dissolved organic matter concentrations in soils and streams from a forested wetland and sloping bog in southeast Alaska. Ecohydrology 3:249-261.</t>
  </si>
  <si>
    <t>Glenn, A. J., L. B. Flanagan, K. H. Syed, and P. J. Carlson. 2006. Comparison of net ecosystem CO2 exchange in two peatlands in western Canada with contrasting dominant vegetation, Sphagnum and Carex. Agricultural and Forest Meteorology 140:115-135.</t>
  </si>
  <si>
    <t>Gunnarsson, U. 2005. Global patterns of Sphagnum productivity. Journal of Bryology 27:269-279.</t>
  </si>
  <si>
    <t>Wardrop, D. H. and R. P. Brooks. 1998. The occurrence and impact of sedimentation in central Pennsylvania wetlands. Environmental Monitoring and Assessment 51:119-130.</t>
  </si>
  <si>
    <t>Alsfeld, A. J., J. L. Bowman, and A. Deller-Jacobs. 2009. Effects of woody debris, microtopography, and organic matter amendments on the biotic community of constructed depressional wetlands. Biological Conservation 142:247-255.</t>
  </si>
  <si>
    <t>Fellman, J. B., E. Hood, D. V. D'Amore, R. T. Edwards, and D. White. 2009. Seasonal changes in the chemical quality and biodegradability of dissolved organic matter exported from soils to streams in coastal temperate rainforest watersheds. Biogeochemistry 95:277-293.</t>
  </si>
  <si>
    <t>Booth, D. B., D. Hartley, and R. Jackson. 2002. Forest cover, impervious-surface area, and the mitigation of storm water impacts. Journal of American Water Resources Association 38:835-845.</t>
  </si>
  <si>
    <t>Hernandez, O., R. W. Merritt, and M. S. Wipfli. 2005. Benthic invertebrate community structure is influenced by forest succession after clearcut logging in southeastern Alaska. Hydrobiologia 533:45-59.</t>
  </si>
  <si>
    <t>Roy, A. H., C. L. Faust, M. C. Freeman, and J. L. Meyer. 2005. Reach-scale effects of riparian forest cover on urban stream ecosystems. Canadian Journal of Fisheries and Aquatic Sciences 62:2312-2329.</t>
  </si>
  <si>
    <t>Deniseger, J., L. J. Erickson, A. Austin, M. Roch, and M. J. R. Clark. 1990. The effects of decreasing heavy metal concentrations on the biota of Buttle Lake, Vancouver Island, British Columbia. Water Resources Bulletin 24:403-416.</t>
  </si>
  <si>
    <t>Eilers, J. M., D. H. Landers, A. D. Newell, M. E. Mitch, M. Morrison, and J. Ford. 1993. Major Ion Chemistry of Lakes on the Kenai Peninsula, Alaska. Canadian Journal of Fisheries and Aquatic Sciences 50:816-826.</t>
  </si>
  <si>
    <t>Baxter, C. V., K. D. Fausch, and W. Carl Saunders. 2005. Tangled webs: reciprocal flows of invertebrate prey link streams and riparian zones. Freshwater Biology 50:201-220.</t>
  </si>
  <si>
    <t>Campbell, E. Y., M. E. Benbow, S. D. Tiegs, J. P. Hudson, G. A. Lamberti, and R. W. Merritt. 2011. Timber harvest intensifies spawning-salmon disturbance of macroinvertebrates in southeastern Alaskan streams. Journal of the North American Benthological Society 30:49-59.</t>
  </si>
  <si>
    <t>Cannings, S. G. and R. A. Cannings. 1994. The Odonata of the northern Cordilleran peatlands of North America. Memoirs of the Entomological Society of Canada 169:89-110.</t>
  </si>
  <si>
    <t>Corcoran, R. M., J. R. Lovvorn, and P. J. Heglund. 2009. Long-term change in limnology and invertebrates in Alaskan boreal wetlands. Hydrobiologia 620:77–89.</t>
  </si>
  <si>
    <t>Fischer, J. R., M. C. Quist, S. L. Wigen, A. J. Schaefer, T. W. Stewart, and T. M. Isenhart. 2010. Assemblage and population-level responses of stream fish to riparian buffers at multiple spatial scales. Transactions of the American Fisheries Society 139:185-200.</t>
  </si>
  <si>
    <t>Frimpong, E. A., T. M. Sutton, K. J. Lim, P. J. Hrodey, B. A. Engel, T. P. Simon, J. G. Lee, and D. C. LeMaster. 2005. Determination of optimal riparian forest buffer dimensions for stream biota-landscape association models using multi metric and multi variate responses. Canadian Journal of Fisheries and Aquatic Sciences 62:1-6.</t>
  </si>
  <si>
    <t>Gregory, S. V., F. J. Swanson, W. A. McKee, and K. W. Cummins. 1991. An ecosystem perspective of riparian zones: Focus on links between land and water. Bioscience 41:540-550.</t>
  </si>
  <si>
    <t>Holmquist, J., J. Jones, J. Schmidt-Gengenbach, L. Pierotti, and J. Love. 2011. Terrestrial and Aquatic Macroinvertebrate Assemblages as a Function of Wetland Type across a Mountain Landscape. Institute of Arctic and Alpine Research, University of Colorado, Boulder, CO.</t>
  </si>
  <si>
    <t>Hoover, S. E. R., L. G. W. Shannon, and J. D. Ackerman. 2007. The effect of riparian condition on invertebrate drift in mountain streams. Aquatic Sciences 69:544-553.</t>
  </si>
  <si>
    <t>Kiffney, P. M. and J. P. Bull. 2000. Factors controlling periphyton accrual during summer in headwater streams of southwestern British Columbia, Canada. Journal of Freshwater Ecology 15:339-351.</t>
  </si>
  <si>
    <t>Kiffney, P. M., J. S. Richardson, and J. P. Bull. 2003. Responses of periphyton and insects to experimental manipulation of riparian buffer width along forest streams. Journal of Applied Ecology 40:1060-1076.</t>
  </si>
  <si>
    <t>May, C. 2003. Stream-Riparian Ecosystems In the Puget Sound Lowland Eco-Region. A Review of Best Available Science. Watershed Ecology, LLC.</t>
  </si>
  <si>
    <t>McDade, M. H., F. J. Swanson, W. A. McKee, J. F. Franklin, and J. Van Sickle. 1990. Source  distances for coarse woody debris entering small streams in western Oregon and Washington USA. Canadian Journal of Forest Research 20:326-330.</t>
  </si>
  <si>
    <t>Meleason, M. A., S. V. Gregory, and J. P. Bolte. 2003. Implications of riparian management strategies on wood in streams of the Pacific Northwest. Ecological Applications 13:1212-1221.</t>
  </si>
  <si>
    <t>Moldenke, A. R. and C. V. Linden. 2007. Effects of clearcutting and riparian buffers on the yield of adult aquatic macroinvertebrates from headwater streams. Forest Science 53:308-319.</t>
  </si>
  <si>
    <t>Moore, J. W. and D. E. Schindler. 2008. Biotic disturbance and benthic community dynamics in salmon-bearing streams. Journal of Animal Ecology 77:275-284.</t>
  </si>
  <si>
    <t>Murphy, M. 1995. Forestry Impacts on Freshwater Habitat of Anadromous Salmonids in the Pacific Northwest and Alaska – Requirements for Protection and Restoration. NOAA Coastal Ocean Program Decision Analysis Series No. 7. U.S. Department of Commerce, National Oceanic and Atmospheric Administration Coastal Ocean Office, NOAA Coastal Ocean Office, Silver Springs, MD.</t>
  </si>
  <si>
    <t>Naiman, R. J., R. E. Bilby, and P. A. Bisson. 2000. Riparian ecology and management in the Pacific Coastal Rain Forest. Bioscience 50:996-1011.</t>
  </si>
  <si>
    <t>Ober, H. K. and J. P. Hayes. 2008. Influence of forest riparian vegetation on abundance and biomass of nocturnal flying insects. Forest Ecology and Management 256:1124-1132.</t>
  </si>
  <si>
    <t>Richards, C., L. B. Johnson, and G. E. Host. 1996. Landscape-scale influences on stream habitats and biota. Canadian Journal of Fisheries and Aquatic Sciences 53:295-311.</t>
  </si>
  <si>
    <t>Richardson, J. S., R. E. Bilby, and C. A. Bondar. 2005. Organic matter dynamics in small streams of the Pacific Northwest. Journal of the American Water Resources Association 41:921-934.</t>
  </si>
  <si>
    <t>Robison, E. G. and R. L. Beschta. 1990. Identifying trees in riparian areas that can provide coarse woody debris to streams. Forest Science 36:790-801.</t>
  </si>
  <si>
    <t>Roth, B. M., I. C. Kaplan, G. G. Sass, P. T. Johnson, A. E. Marburg, A. C. Yannarell, T. D. Havlicek, T. V. Willis, M. G. Turner, and S. R. Carpenter. 2007. Linking terrestrial and aquatic ecosystems: The role of woody habitat in lake food webs. Ecological Modelling 203:439-452.</t>
  </si>
  <si>
    <t>Utz, R. M., R. H. Hilderbrand, and D. M. Boward. 2009. Identifying regional differences in threshold responses of aquatic invertebrates to land cover gradients. Ecological Indicators 9:556-567.</t>
  </si>
  <si>
    <t>Wenger, S. and L. Fowler. 2000. Protecting stream and river corridors : creating effective local riparian buffer ordinances. Carl Vinson Institute of Government, the University of Georgia, Athens, GA.</t>
  </si>
  <si>
    <t>Wipfli, M. S., J. S. Richardson, and R. J. Naiman. 2007. Ecological linkages between headwaters and downstream ecosystems: transport of organic matter, invertebrates, and wood down headwater channels. Journal of the American Water Resources Association 43:72-85.</t>
  </si>
  <si>
    <t>Burger, J. 1981. The effect of human activity on birds at a coastal bay. Biological Conservation 21:231-241.</t>
  </si>
  <si>
    <t>Epners, C. A., S. E. Bayley, J. E. Thompson, and W. M. Tonn. 2010. Influence of fish assemblage and shallow lake productivity on waterfowl communities in the Boreal Transition Zone of western Canada. Freshwater Biology 55:2265-2280.</t>
  </si>
  <si>
    <t>Klein, M. L., S. R. Humphrey, and H. F. Percival. 1995. Effects of ecotourism on distribution of waterbirds in a wildlife refuge. Conservation Biology 9:1454-1465.</t>
  </si>
  <si>
    <t>Thormann, M. N. and S. E. Bayley. 1997. Aboveground plant production and nutrient content of the vegetation in six peatlands in Alberta, Canada. Plant Ecology 131:1-16.</t>
  </si>
  <si>
    <t>Andren, H. 1994. Effects of habitat fragmentation on birds and mammals in landscapes with different proportions of suitable habitat – a review. Oikos 71:355-366.</t>
  </si>
  <si>
    <t>Aznar, J. C. and A. Desrochers. 2008. Building for the future: Abandoned beaver ponds promote bird diversity. Ecoscience 15:250-257.</t>
  </si>
  <si>
    <t>Barber, J. R., K. R. Crooks, and K. M. Fristrup. 2010. The costs of chronic noise exposure for terrestrial organisms. Trends in Ecology &amp; Evolution 25:180-189.</t>
  </si>
  <si>
    <t>Belisle, M. and A. Desrochers. 2002. Gap-crossing decisions by forest birds: an empirical basis for parameterizing spatially-explicit, individual-based models. Landscape Ecology 17:219-231.</t>
  </si>
  <si>
    <t>Benitez-Lopez, A., R. Alkemade, and P. A. Verweij. 2010. The impacts of roads and other infrastructure on mammal and bird populations: A meta-analysis. Biological Conservation 143:1307-1316.</t>
  </si>
  <si>
    <t>Chace, J. F. and J. J. Walsh. 2006. Urban effects on native avifauna: a review. Landscape and Urban Planning 74:46-69.</t>
  </si>
  <si>
    <t>Clevenger, A. P., B. Chruszczc, and K. E. Gunson. 2003. Spatial patterns and factors influencing small vertebrate fauna road-kill aggregations. Biological Conservation 109:15-26.</t>
  </si>
  <si>
    <t>Creegan, H. P. and P. E. Osborne. 2005. Gap-crossing decisions of woodland songbirds in Scotland: an experimental approach. Journal of Applied Ecology 42:678-687.</t>
  </si>
  <si>
    <t>De Santo, T. L. and M. F. Willson. 2001. Predator abundance and predation of artificial nests in natural and anthropogenic coniferous forest edges in southeast Alaska. Journal of Field Ornithology 72:136-149.</t>
  </si>
  <si>
    <t>Desrochers, A. and S. J. Hannon. 1997. Gap crossing decisions by forest songbirds during the post-fledging period. Conservation Biology 11:1204-1210.</t>
  </si>
  <si>
    <t>Desrochers, A. and G.-J. van Duinen. 2006. Peatland fauna. Pages 67-100 in R. K. Wieder and D. H. Vitt, editors. Boreal Peatland Ecosystems, Ecological Studies, Volume 188. Springer, Berlin Heidelberg, GE.</t>
  </si>
  <si>
    <t>Donnelly, R. and J. M. Marzluff. 2004. Importance of reserve size and landscape context to urban bird conservation. Conservation Biology 18:733-745.</t>
  </si>
  <si>
    <t>Drever, M. C. and K. Martin. 2010. Response of woodpeckers to changes in forest health and harvest: Implications for conservation of avian biodiversity. Forest Ecology and Management 259:958-966.</t>
  </si>
  <si>
    <t xml:space="preserve">Fahrig, L. and T. Rytwinski. 2009. Effects of roads on animal abundance: an empirical review and synthesis. Ecology and Society 14:21. http://www.ecologyandsociety.org/vol14/iss21/art21/ </t>
  </si>
  <si>
    <t>Forman, R. T. T., B. Reineking, and A. M. Hersperger. 2002. Road traffic and nearby grassland bird patterns in a suburbanizing landscape. Environmental Management 29:782-800.</t>
  </si>
  <si>
    <t>Grindal, S. D., J. L. Morissette, and R. M. Brigham. 1999. Concentration of bat activity in riparian habitats over an elevational gradient. Canadian Journal of Zoology 77:972-977.</t>
  </si>
  <si>
    <t>Grindal, S. D. and R. M. Brigham. 1999. Impacts of forest harvesting on habitat use by foraging insectivorous bats at different spatial scales. Ecoscience 6:25-34.</t>
  </si>
  <si>
    <t>Grover, A. M. and G. A. Baldassarre. 1995. Bird species richness within beaver ponds in south-central New York. Wetlands 15:108-118.</t>
  </si>
  <si>
    <t>Laurance, S., P. Stouffer, and W. Laurance. 2004. Effects of road clearings on movement patterns of understory rainforest birds in Central Amazonia. Conservation Biology 18:1099-1109.</t>
  </si>
  <si>
    <t>Lees, A. C. and C. A. Peres. 2009. Gap-crossing movements predict species occupancy in Amazonian Forest Fragments. Oikos 118:280-290.</t>
  </si>
  <si>
    <t>Martin, J. L., S. A. Stockton, S. Allombert, and A. J. Gaston. 2010. Top-down and bottom-up consequences of unchecked ungulate browsing on plant and animal diversity in temperate forests: lessons from a deer introduction. Biological Invasions 12:353-371.</t>
  </si>
  <si>
    <t>Massey, B., R. Bowen, C. Griffin, and K. McGarigal. 2008. A classification-tree analysis of nesting habitat in an island population of Northern Harriers. Condor 110:177-183.</t>
  </si>
  <si>
    <t>Mazerolle, M. J., B. Drolet, and A. Desrochers. 2001. Small-mammal responses to peat mining of southeastern Canadian bogs. Canadian Journal of Zoology 79:296-302.</t>
  </si>
  <si>
    <t>Minor, E. and D. Urban. 2010. Forest bird communities across a gradient of urban development. Urban Ecosystems 13:51-71.</t>
  </si>
  <si>
    <t>Oneal, A. S. and J. T. Rotenberry. 2009. Scale-dependent habitat relations of birds in riparian corridors in an urbanizing landscape. Landscape and Urban Planning 92:264-275.</t>
  </si>
  <si>
    <t>Ortega, Y. K. and D. E. Capen. 2002. Roads as edges: effects on birds in forested landscapes. Forest Science 48:381-390.</t>
  </si>
  <si>
    <t>Pennington, D. N. 2008. Riparian Bird Communities Along an Urban Gradient: Effects of Local Vegetation, Landscape Biophysical Heterogeneity, and Spatial Scale. Ph. D. Dissertation. University of Minnesota, Twin Cities, MN.</t>
  </si>
  <si>
    <t>Rail, J. F., M. Darveau, A. Desrochers, and J. Huot. 1997. Territorial responses of boreal forest birds to habitat gaps. Condor 99:976-980.</t>
  </si>
  <si>
    <t>Rich, A. C., D. S. Dobkin, and L. J. Niles. 1994. Defining forest fragmentation by corridor width: the influence of narrow forest-dividing corridors on forest-nesting birds in southern New Jersey. Conserv. Biology 8:1109-1121.</t>
  </si>
  <si>
    <t>Robertson, O. J. and J. Q. Radford. 2009. Gap-crossing decisions of forest birds in a fragmented landscape. Austral Ecology 34:435-446.</t>
  </si>
  <si>
    <t>Rodewald, P. G. and S. N. Matthews. 2005. Landbird use of riparian and upland forest stopover habitats in an urban landscape. The Condor 107:259-268.</t>
  </si>
  <si>
    <t>Schaub, A., J. Ostwald, and B. M. Siemers. 2008. Foraging bats avoid noise. Journal of Experimental Biology 211:3174-3180.</t>
  </si>
  <si>
    <t>Slabbekoorn, H. and E. A. P. Ripmeester. 2008. Birdsong and anthropogenic noise: implications and applications for conservation. Molecular Ecology 17:72-83.</t>
  </si>
  <si>
    <t>Smith, C. M. and D. G. Wachob. 2006. Trends associated with residential development in riparian breeding bird habitat along the Snake River in Jackson Hole, WY, USA: Implications for conservation planning. Biological Conservation 128:431-446.</t>
  </si>
  <si>
    <t>Thiemann, J. A., C. R. Webster, M. A. Jenkins, P. M. Hurley, J. H. Rock, and P. S. White. 2009. Herbaceous-layer impoverishment in a post-agricultural southern Appalachian landscape. American Midland Naturalist 162:148-168.</t>
  </si>
  <si>
    <t>Tremblay, M. A. and C. C. St. Clair. 2009. Factors affecting the permeability of transportation and riparian corridors to the movements of songbirds in an urban landscape. Journal of Applied Ecology 46:1314-1322.</t>
  </si>
  <si>
    <t>Tremblay, M. A. and C. C. St Clair. 2011. Permeability of a heterogeneous urban landscape to the movements of forest songbirds. Journal of Applied Ecology 48:679-688.</t>
  </si>
  <si>
    <t>Trombulak, S. C. and C. A. Frissell. 2000. Review of ecological effects of roads on terrestrial and aquatic communities. Conservation Biology 14:18-30.</t>
  </si>
  <si>
    <t>Vermaat, J. E., N. Vigneau, and N. Omtzigt. 2008. Viability of meta-populations of wetland birds in a fragmented landscape: testing the key-patch approach. Biodiversity and Conservation 17:2263-2273.</t>
  </si>
  <si>
    <t>Whitaker, D. M., A. L. Carroll, and W. A. Montevecchi. 2000. Elevated numbers of flying insects and insectivorous birds in riparian buffer strips. Canadian Journal of Zoology 78:740-747.</t>
  </si>
  <si>
    <t>Willson, M. F. and T. A. Comet. 1996a. Bird communities of northern forests: Patterns of diversity and abundance. Condor 98:337-349.</t>
  </si>
  <si>
    <t>Willson, M. F. and T. A. Comet. 1996b. Bird communities of northern forests: ecological correlates of diversity and abundance in the understory. Condor:350-362.</t>
  </si>
  <si>
    <t>Zmihorski, M. 2010. The effect of windthrow and its management on breeding bird communities in a managed forest. Biodiversity and Conservation 19:1871-1882.</t>
  </si>
  <si>
    <t>Most waterbirds require some unflooded shoreline for nesting, while also needing large areas of water and emergent vegetation for feeding.</t>
  </si>
  <si>
    <t>Comparing data from multiple regions, Utz et al. (2009) reported that once urbanization in a watershed reached 60%, all taxa remaining responded either neutrally or positively with respect to continued urbanization. Most were harmed at much lower levels. The importance of streamside vegetation, especially trees, for sustaining the health of aquatic systems has been documented in the Pacific Northwest (e.g., Gregory et al. 1991, Naiman et al. 2000, Richardson et al. 2005, Wipfli et al. 2007). The positive effect is partly because wood falling into streams increases channel complexity which benefits aquatic invertebrates and fish; that may not apply to wood falling into wetlands.  Trees also help maintain stream temperature and streams adjoined by natural vegetation support richer and healthier aquatic invertebrate communities (Richards et al. 1996). However, the effects of buffers and/or tree canopy closure on aquatic life in perennial streams vary, with some studies showing little effect on native fish (Roy et al. 2005, Fischer et al. 2010) and others a positive effect especially when buffer width was at least 100 ft (Frimpong et al. 2005, Horwitz et al. 2008). A 30-ft wide buffer along perennial streams in British Columbia was found to be insufficient to protect stream invertebrate communities from adverse effects of clear-cut logging, although the terrestrial insects the buffer provided were noted as a potentially important food source for fish using the streams (Hoover et al. 2007). Another study of BC perennial streams found uncut riparian buffers of at least 30 ft were needed to limit changes from clear-cut logging to aquatic life in headwater forested watersheds; those changes included increase abundance of aquatic invertebrates and algae (Kiffney et al. 2003). Increased sunlight from vegetation removal can increase stream and wetland productivity and thus the density of some invertebrate groups, where nutrients and elevation (stream temperature) are not severely limiting (Moldenke &amp; Linden 2007).</t>
  </si>
  <si>
    <t xml:space="preserve"> </t>
  </si>
  <si>
    <t>Allombert, S., S. Stockton, and J.-L. Martin. 2005. A natural experiment on the impact of overabundant deer on forest invertebrates. Conservation Biology 19:1917-1929.</t>
  </si>
  <si>
    <t>Baldwin, L. K. and G. E. Bradfield. 2007. Bryophyte responses to fragmentation in temperate coastal rainforests: a functional group approach. Biological Conservation 136:408-422.</t>
  </si>
  <si>
    <t>Bayley, S. E. and J. K. Guimond. 2008. Effects of river connectivity on marsh vegetation community structure and species richness in montane floodplain wetlands in Jasper National Park, Alberta, Canada. Ecoscience 15:377-388.</t>
  </si>
  <si>
    <t>Bayley, S. E. and J. K. Guimond. 2009. Above ground biomass and nutrient limitations in relation to river connectivity in montane floodplain marshes. Wetlands 29:1243-1254.</t>
  </si>
  <si>
    <t>Bliss, S. A. and P. H. Zedler. 1997. The germination process in vernal pools: sensitivity to environmental conditions and effects on community structure. Oecologia 113:67-73.</t>
  </si>
  <si>
    <t>Boudreault, C., Y. Bergeron, P. Drapeau, and L. M. Loopez. 2008. Edge effects on epiphytic lichens in remnant stands of managed landscapes in the eastern boreal forest of Canada. Forest Ecology and Management 255:1461-1471.</t>
  </si>
  <si>
    <t>Deal, R. L. 1997. Understory plant diversity in riparian alder-conifer stands after logging in southeast Alaska. US Dept. of Agriculture, Forest Service, Pacific Northwest Research Station, Portland, OR.</t>
  </si>
  <si>
    <t>DeGasperi, C. L., H. B. Berge, K. R. Whiting, J. J. Burkey, J. L. Cassin, and R. R. Fuerstenberg. 2009. LIinking hydrologic alteration to biological impairment in urbanizing streams of the Puget Lowland, Washington, USA. Journal of the American Water Resources Association 45:512-533.</t>
  </si>
  <si>
    <t>Ehrenfeld, J. G., B. Ravit, and K. Elgersma. 2005. Feedback in the plant-soil system. Annual Review of Environment and Resources 30:75-115.</t>
  </si>
  <si>
    <t>Gignac, L. D. and M. R. T. Dale. 2007. Effects of size, shape, and edge on vegetation in remnants of the upland boreal mixed-wood forest in agro-environments of Alberta, Canada. Canadian Journal of Botany 85:273-284.</t>
  </si>
  <si>
    <t>Hanley, T. A. and W. W. Brady. 1997. Understory species composition and production in old-growth western hemlock-Sitka spruce forests of southeastern Alaska. Canadian Journal of Botany 75:574-580.</t>
  </si>
  <si>
    <t>Heithecker, T. D. and C. B. Halpern. 2007. Edge-related gradients in microclimate in forest aggregates following structural retention harvests in western Washington. Forest Ecology and Management 248:163-173.</t>
  </si>
  <si>
    <t>Houlahan, J. E., P. A. Keddy, K. Makkay, and C. S. Findlay. 2006. The effects of adjacent land use on wetland species richness and community composition. Wetlands 26:79-96.</t>
  </si>
  <si>
    <t>Hylander, K., B. G. Jonsson, and C. Nilsson. 2002. Evaluating buffer strips along boreal streams using bryophytes as indicators. Ecological Applications 12:797-806.</t>
  </si>
  <si>
    <t>Magee, T. K. and M. E. Kentula. 2005. Response of wetland plant species to hydrologic conditions. Wetlands Ecology and Management 13:163-181.</t>
  </si>
  <si>
    <t>Malmer, N., C. Albinsson, B. M. Svensson, and B. Wallén. 2003. Interferences between Sphagnum and vascular plants: effects on plant community structure and peat formation. Oikos 100:469-482.</t>
  </si>
  <si>
    <t>Moore, T. R. 1989. Growth and net production of Sphagnum at five fen sites, subarctic eastern Canada. Canadian Journal of Botany 67:1203–1207.</t>
  </si>
  <si>
    <t>Nekola, J. C. and P. S. White. 1999. Distance decay of similarity in biogeography and ecology. Journal of Biogeography 26:867–878.</t>
  </si>
  <si>
    <t>Pollock, M. M., R. J. Naiman, and T. A. Hanley. 1998. Plant species richness in riparian wetlands - a test of biodiversity theory. Ecology 79:94-105.</t>
  </si>
  <si>
    <t>Radies, D., D. Coxson, C. Johnson, and K. Konwicki. 2009. Predicting canopy macrolichen diversity and abundance within old-growth inland temperate rainforests. Forest Ecology and Management 259:86-97.</t>
  </si>
  <si>
    <t>Rogers, D. A., T. P. Rooney, T. J. Hawbaker, V. C. Radeloff, and D. M. Waller. 2009. Paying the extinction debt in southern Wisconsin forest understories. Conservation Biology 23:1497-1506.</t>
  </si>
  <si>
    <t>Šamonil, P., K. Král, and L. Hort. 2010. The role of tree uprooting in soil formation: A critical literature review. Geoderma 157:65-79.</t>
  </si>
  <si>
    <t>Wright, J. P., C. G. Jones, and A. S. Flecker. 2002. An ecosystem engineer, the beaver, increases species richness at the landscape scale. Oecologia 132:96-101.</t>
  </si>
  <si>
    <t>Forb Cover</t>
  </si>
  <si>
    <t>Soil Texture</t>
  </si>
  <si>
    <t xml:space="preserve">Soils with a thick organic layer have the most carbon available for export. However, moderately coarse soils (silts, loams) are better-aerated, less acidic, and thus can have greater plant productivity. Very coarse soils, unless flooded regularly by rivers, tend to be nutrient-poor thus limiting plant productivity. However, their presence may indicate periodic exposure to water currents capable of exporting carbon, and coarse soils sometimes support greater plant productivity because greater inflitration can reduce the frequency of anoxic conditions that stifle productivity of some rooted plants. </t>
  </si>
  <si>
    <t>Non-vegetated Aquatic Cover</t>
  </si>
  <si>
    <t>&gt;95% of wetland or &gt;95% of  its upland edge (if any)</t>
  </si>
  <si>
    <t>5-95% of wetland or 5-95% of its upland edge (if any)</t>
  </si>
  <si>
    <t>&lt;5% of wetland and &lt;5% of its upland edge (if any)</t>
  </si>
  <si>
    <t xml:space="preserve">&gt;95% of wetland </t>
  </si>
  <si>
    <t xml:space="preserve">5-95% of wetland </t>
  </si>
  <si>
    <t xml:space="preserve">&lt;5% of wetland </t>
  </si>
  <si>
    <t xml:space="preserve">  Score the following 2 rows only if the altered inputs began within past 10 years, and only for the part of the wetland that experiences those.</t>
  </si>
  <si>
    <t>Duration of sediment inputs to the wetland</t>
  </si>
  <si>
    <t>Recentness of significant soil alteration in wetland</t>
  </si>
  <si>
    <t>Sedge Cover</t>
  </si>
  <si>
    <t>Floating Algae &amp; Duckweed</t>
  </si>
  <si>
    <t>Isolated Island</t>
  </si>
  <si>
    <t>Fish</t>
  </si>
  <si>
    <t xml:space="preserve">1-25% </t>
  </si>
  <si>
    <t xml:space="preserve">25-50% </t>
  </si>
  <si>
    <t xml:space="preserve">50-95% </t>
  </si>
  <si>
    <t xml:space="preserve">&gt;95% </t>
  </si>
  <si>
    <t>Flat Shoreline Extent</t>
  </si>
  <si>
    <t>1-25% of the AA never contains surface water.</t>
  </si>
  <si>
    <t>25-50% of the AA never contains surface water.</t>
  </si>
  <si>
    <t>Annual Water Fluctuation Range</t>
  </si>
  <si>
    <t>impervious surface, e.g., paved road, parking lot, building, exposed rock.</t>
  </si>
  <si>
    <t>Condition Choices</t>
  </si>
  <si>
    <r>
      <rPr>
        <b/>
        <sz val="10"/>
        <rFont val="Arial Narrow"/>
        <family val="2"/>
      </rPr>
      <t>likely</t>
    </r>
    <r>
      <rPr>
        <sz val="10"/>
        <rFont val="Arial Narrow"/>
        <family val="2"/>
      </rPr>
      <t xml:space="preserve">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t>
    </r>
  </si>
  <si>
    <t>Use of the AA by beaver during the past 5 years is (select most applicable ONE):</t>
  </si>
  <si>
    <r>
      <rPr>
        <b/>
        <sz val="10"/>
        <rFont val="Arial Narrow"/>
        <family val="2"/>
      </rPr>
      <t xml:space="preserve">evident </t>
    </r>
    <r>
      <rPr>
        <sz val="10"/>
        <rFont val="Arial Narrow"/>
        <family val="2"/>
      </rPr>
      <t>from direct observation or presence of gnawed limbs, dams, tracks, dens, lodges, or extensive stands of water-killed trees (snags).</t>
    </r>
  </si>
  <si>
    <t>Accelerated Inputs of Contaminants and/or Salts</t>
  </si>
  <si>
    <t>Accelerated Inputs of Nutrients</t>
  </si>
  <si>
    <t>Type of loading</t>
  </si>
  <si>
    <t>moderate density septic, cropland, secondary wastewater treatment plant</t>
  </si>
  <si>
    <t>livestock, pets, low density residential</t>
  </si>
  <si>
    <t>Plants are more productive at warmer soil or sediment temperatures, and this supports higher productivity of aquatic insects.</t>
  </si>
  <si>
    <t>Places with a warmer mean annual temperature may provide opportunity for a greater variety of plant species to colonize substrates that are ice-free for longer during the year.</t>
  </si>
  <si>
    <t>SatPct3</t>
  </si>
  <si>
    <t>SatPct4</t>
  </si>
  <si>
    <t>Stressor Subscore=</t>
  </si>
  <si>
    <t>The larvae of many wetland invertebrates require surface water, so the absence or scarcity of that limits aquatic invertebrate richness.</t>
  </si>
  <si>
    <t>The frequency of most recreational visits declines with increasing distance from roads.</t>
  </si>
  <si>
    <t>OpenPonded7</t>
  </si>
  <si>
    <t>Interspers2</t>
  </si>
  <si>
    <t>PondedPct6</t>
  </si>
  <si>
    <t>Lack of physical barriers, provision of trails, and interpretive signs encourage greater public use of areas. However, some apparent barriers (e.g., deep water, dense brush) may be barriers only to summer recreation; frozen wetlands may enjoy considerable wintertime use.</t>
  </si>
  <si>
    <t>Interspers3</t>
  </si>
  <si>
    <t>Algae3</t>
  </si>
  <si>
    <t>Wettype6</t>
  </si>
  <si>
    <t>Interspers6</t>
  </si>
  <si>
    <t>DepthDiv8</t>
  </si>
  <si>
    <t>HerbDiv8</t>
  </si>
  <si>
    <r>
      <t>Burger, J. and M. Gochfeld. 1991. Human activity influence and diurnal and nocturnal foraging of sanderlings (</t>
    </r>
    <r>
      <rPr>
        <i/>
        <sz val="10"/>
        <rFont val="Arial Narrow"/>
        <family val="2"/>
      </rPr>
      <t>Calidris alba</t>
    </r>
    <r>
      <rPr>
        <sz val="10"/>
        <rFont val="Arial Narrow"/>
        <family val="2"/>
      </rPr>
      <t>). Condor 93:259-265.</t>
    </r>
  </si>
  <si>
    <r>
      <t>Hood, G. A. and S. E. Bayley. 2008. Beaver (</t>
    </r>
    <r>
      <rPr>
        <i/>
        <sz val="10"/>
        <rFont val="Arial Narrow"/>
        <family val="2"/>
      </rPr>
      <t>Castor canadensis</t>
    </r>
    <r>
      <rPr>
        <sz val="10"/>
        <rFont val="Arial Narrow"/>
        <family val="2"/>
      </rPr>
      <t>) mitigate the effects of climate on the area of open water in boreal wetlands in western Canada. Biological Conservation 141:556-567.</t>
    </r>
  </si>
  <si>
    <t xml:space="preserve">Within or near the AA, there is an interpretive center, trails with interpretive signs or brochures, and/or regular guided interpretive tours. </t>
  </si>
  <si>
    <t>Most of the AA is (select one):</t>
  </si>
  <si>
    <t>The gradient along most of the flow path within the AA is:</t>
  </si>
  <si>
    <t>BMP - Soils</t>
  </si>
  <si>
    <t>BMP - Wildlife Protection</t>
  </si>
  <si>
    <t>BMPsoilsPU</t>
  </si>
  <si>
    <t>BMPwildPU</t>
  </si>
  <si>
    <t xml:space="preserve">Fences, observation blinds, platforms, paved trails, exclusion periods, and/or well-enforced prohibitions on motorized boats, off-leash pets, and off road vehicles appear to effectively exclude or divert visitors and their pets from the AA at critical times in order to minimize disturbance of wildlife (except during hunting seasons).  Enter "1" if true. </t>
  </si>
  <si>
    <t>BMPsoils20</t>
  </si>
  <si>
    <t>Calmé, S. and A. Desrochers. 2000. Biogeographic aspects of the distribution of bird species breeding in Québec’s peatlands. Journal of Biogeography 27: 725–732.</t>
  </si>
  <si>
    <t>Bakker, V. J. and D. H. Van Vuren. 2004. Gap‐crossing decisions by the red squirrel, a forest‐dependent small mammal. Conservation Biology 18:689-697.</t>
  </si>
  <si>
    <t>Woody13</t>
  </si>
  <si>
    <r>
      <t xml:space="preserve">% with </t>
    </r>
    <r>
      <rPr>
        <b/>
        <sz val="10"/>
        <rFont val="Arial Narrow"/>
        <family val="2"/>
      </rPr>
      <t>Persistent</t>
    </r>
    <r>
      <rPr>
        <sz val="10"/>
        <rFont val="Arial Narrow"/>
        <family val="2"/>
      </rPr>
      <t xml:space="preserve"> Surface Water</t>
    </r>
  </si>
  <si>
    <r>
      <t xml:space="preserve">% Flooded </t>
    </r>
    <r>
      <rPr>
        <b/>
        <sz val="10"/>
        <rFont val="Arial Narrow"/>
        <family val="2"/>
      </rPr>
      <t xml:space="preserve">Only </t>
    </r>
    <r>
      <rPr>
        <sz val="10"/>
        <rFont val="Arial Narrow"/>
        <family val="2"/>
      </rPr>
      <t>Seasonally</t>
    </r>
  </si>
  <si>
    <t>50-99% of the AA never contains surface water.</t>
  </si>
  <si>
    <t>Island13</t>
  </si>
  <si>
    <t>Fish11</t>
  </si>
  <si>
    <t>Fish10</t>
  </si>
  <si>
    <t>Fish13</t>
  </si>
  <si>
    <t>PondPct4</t>
  </si>
  <si>
    <t>Water Storage &amp; Delay</t>
  </si>
  <si>
    <t>WS</t>
  </si>
  <si>
    <t>WC</t>
  </si>
  <si>
    <t>The effectiveness for intercepting and filtering suspended inorganic sediments, thus allowing their deposition, as well as reducing energy of waves and currents, resisting excessive erosion, and stabilizing underlying sediments or soil.</t>
  </si>
  <si>
    <t>SR</t>
  </si>
  <si>
    <t>Phosphorus Retention</t>
  </si>
  <si>
    <t>PR</t>
  </si>
  <si>
    <t>NR</t>
  </si>
  <si>
    <t>OE</t>
  </si>
  <si>
    <t>INV</t>
  </si>
  <si>
    <t>Amphibian Habitat</t>
  </si>
  <si>
    <t>AM</t>
  </si>
  <si>
    <t>WB</t>
  </si>
  <si>
    <t>SBM</t>
  </si>
  <si>
    <t>Prior designation of the wetland, by a natural resource or environmental protection agency, as some type of special protected area.  Also, the potential and actual use of a wetland for low-intensity outdoor recreation, education, or research.</t>
  </si>
  <si>
    <t>PH</t>
  </si>
  <si>
    <t>The effectiveness for contributing water to streams during the driest part of a growing season.</t>
  </si>
  <si>
    <t>SFS</t>
  </si>
  <si>
    <t xml:space="preserve">The effectiveness for producing and subsequently exporting organic matter, either particulate or dissolved, along with associated compounds and elements such as iron.
</t>
  </si>
  <si>
    <t>The capacity to support or contribute to an abundance or diversity of native frogs, toads, and salamanders.</t>
  </si>
  <si>
    <t xml:space="preserve">The capacity to support or contribute to an abundance or diversity of invertebrate animals which spend all or part of their life cycle underwater or in moist soil.  Includes dragonflies, midges, clams, snails, water beetles, shrimp, aquatic worms, and others.
</t>
  </si>
  <si>
    <t>The capacity to support or contribute to an abundance or diversity of native songbird, raptor, and mammal species and functional groups, especially those that are most dependent on wetlands or water.</t>
  </si>
  <si>
    <t>Stream Flow Support</t>
  </si>
  <si>
    <t>Fissore, C., Giardina, C. P., Kolka, R. K., and Trettin, C. C. 2009. Soil organic carbon quality in forested mineral wetlands at different mean annual temperature. Soil Biology and Biochemistry 41(3):458-466.</t>
  </si>
  <si>
    <t>Fyles, J. W. and I. H. Fyles. 1993. Interaction of Douglas-fir with red alder and salal foliage litter during decomposition. Canadian Journal of Forest Research 23:358-361.</t>
  </si>
  <si>
    <t>Pacific, V. J., K. G. Jensco, and B. L. McGlynn. 2010. Variable flushing mechanisms and landscape structure control stream DOC export during snowmelt in a set of nested catchments. Biogeochemistry 99:193-211.</t>
  </si>
  <si>
    <t>Coarse: includes sand, loamy sand, gravel, cobble, stones, boulders, fluvents, fluvaquents, riverwash.</t>
  </si>
  <si>
    <t>Fines: includes silt, glacial flour, clay, clay loam, silty clay, silty clay loam, sandy clay, sandy clay loam.</t>
  </si>
  <si>
    <t>Large variation in elevations within a wetland suggest greater potential for trapping and retaining snow and other precipitation, sufficiently long to allow infiltration or evaporation.  Rough surfaces also allow for more runoff interception and infiltration.</t>
  </si>
  <si>
    <t>Bunn, S. and A. Arthington. 2002. Basic principles and ecological consequences of altered flow regimes for aquatic biodiversity. Environmental Management 30:492–507.</t>
  </si>
  <si>
    <t>Shepherd, P. C. F. and D. B. Lank. 2004. Marine and agricultural habitat preferences of dunlin wintering in British Columbia. Journal of Wildlife Management 68:61-73.</t>
  </si>
  <si>
    <r>
      <t>Sprague, A. J., D. J. Hamilton, and A. W. Diamond. 2008. Site safety and food affect movements of Semipalmated Sandpipers (</t>
    </r>
    <r>
      <rPr>
        <i/>
        <sz val="10"/>
        <rFont val="Arial Narrow"/>
        <family val="2"/>
      </rPr>
      <t>Calidris pusilla</t>
    </r>
    <r>
      <rPr>
        <sz val="10"/>
        <rFont val="Arial Narrow"/>
        <family val="2"/>
      </rPr>
      <t>) migrating through the upper Bay of Fundy. Avian Conservation and Ecology 3:1-22.</t>
    </r>
  </si>
  <si>
    <t>Lokemoen, J. T. and R. O. Woodward. 1992. Nesting waterfowl and water birds on natural islands in the Dakotas and Montana. Wildlife Society Bulletin 20:163-171.</t>
  </si>
  <si>
    <t>Bella, E. M. 2011. Invasion prediction on Alaska trails: Distribution, habitat, and trail use. Invasive Plant Science and Management 4(3): 296-305.</t>
  </si>
  <si>
    <t>Intermediate (1 - 10% of vegetated part of the AA).</t>
  </si>
  <si>
    <t>Many (e.g., wetland-upland "mosaic", &gt;10% of the vegetated AA).</t>
  </si>
  <si>
    <t>Most songbirds prefer to nest in drier parts of wetlands because ground cover and vegetation height, which provide essential structure, tend to be greater there.</t>
  </si>
  <si>
    <t>1-25% of the shrub plus ground cover, in the AA or along its water edge (whichever has more).</t>
  </si>
  <si>
    <t>25-50% of the shrub plus ground cover, in the AA or along its water edge (whichever has more).</t>
  </si>
  <si>
    <t>50-75% of the shrub plus ground cover, in the AA or along its water edge (whichever has more).</t>
  </si>
  <si>
    <t>&gt;75% of the shrub plus ground cover, in the AA or along its water edge (whichever has more).</t>
  </si>
  <si>
    <t>5-30% of the ponded water.</t>
  </si>
  <si>
    <t>30-70% of the ponded water.</t>
  </si>
  <si>
    <t>70-99% of the ponded water.</t>
  </si>
  <si>
    <t>Wright, J. P., A. S. Flecker, and C. G. Jones. 2003. Local versus landscape controls on plant species richness in beaver meadows. Ecology 84:3162–3173.</t>
  </si>
  <si>
    <t>Groundwater: Strength of Evidence</t>
  </si>
  <si>
    <r>
      <t xml:space="preserve">The AA contains or adjoins a </t>
    </r>
    <r>
      <rPr>
        <b/>
        <sz val="10"/>
        <rFont val="Arial Narrow"/>
        <family val="2"/>
      </rPr>
      <t xml:space="preserve">public </t>
    </r>
    <r>
      <rPr>
        <sz val="10"/>
        <rFont val="Arial Narrow"/>
        <family val="2"/>
      </rPr>
      <t>boat dock or ramp, or is within 1 km of a campground, picnic area, or winter sports park.</t>
    </r>
  </si>
  <si>
    <t>Boardwalks, paved trails, fences or other infrastructure and/or well-enforced regulations appear to effectively prevent visitors from walking on soils within nearly all of the AA when they are unfrozen.  Enter "1" if true.</t>
  </si>
  <si>
    <t>Wetland Type - Predominant</t>
  </si>
  <si>
    <t>50 - 100 m</t>
  </si>
  <si>
    <t xml:space="preserve">Plants are more productive at warmer soil or sediment temperatures, and this supports higher productivity of aquatic insects and ultimately resident fish. </t>
  </si>
  <si>
    <t>Risk of winterkill by long-duration ice cover also may be less in warmer parts of the region.</t>
  </si>
  <si>
    <t>Shade10</t>
  </si>
  <si>
    <t>Amphibians do not physiologically regulate their body temperature.  Thus in boreal regions their populations are likely to be more productive (and have greater survival) in warmer parts of the region.</t>
  </si>
  <si>
    <t>BuffNatPct11</t>
  </si>
  <si>
    <t>BuffNatPct8</t>
  </si>
  <si>
    <t>TreeTypes14</t>
  </si>
  <si>
    <t xml:space="preserve">Roads and/or traffic are a significant barrier to dispersing amphibians (Mader 1984, Fahrig et al. 1995, and see review by Fahrig &amp; Rytwinski 2009).  In Ontario (Eigenbrod 2008a) and Virginia (Marsh 2007), “accessible habitat” -- defined as the habitat available to pond-dwelling amphibians without individuals needing to cross a major road -- was a better predictor of amphibian species richness than simply the amount of habitat within some distance of breeding ponds (Eigenbrod 2008b).  Narrow roads gated to exclude traffic were crossed more often than roads with traffic by terrestrial salamanders in Virginia (Marsh 2007).  Remarkably, even some narrow logging roads that had long been abandoned continued to impair movements and densities of salamanders in North Carolina; the road effect appeared to extend about 115 ft into the adjoining woods on both sides of the road (Semlitsch et al. 2007). </t>
  </si>
  <si>
    <t>Frequently Visited Area</t>
  </si>
  <si>
    <t xml:space="preserve">Unvisited Core Area </t>
  </si>
  <si>
    <t xml:space="preserve">Soil or sediment texture, and especially clay content of soil, is one of the most important predictors of phosphorus retention. Excessive organic matter buildup in soils can inhibit plant germination and growth by acidifying the soil, which restricts nutrient availability and thus plant capacity to take up and retain phosphorus (Prescott et al. 2000). However, phosphorus can also form complexes with soil organic matter and thus be retained.  </t>
  </si>
  <si>
    <t>Plants are most productive at warmer soil or sediment temperatures, and their foliage that contributes organic matter to downslope food chains decomposes most rapidly under warmer conditions (Fissore et al. 2009). Those conditions are described by increasing mean annual temperature. As soil temperatures increase, so does the concentration of DOC in forested wetland soils and streams, and in that form carbon is readily exported (D’Amore et al. 2010). The production of Sphagnum moss, a dominant species in many bogs and slope wetlands, is greater in warmer areas (Gunnarsson 2005).</t>
  </si>
  <si>
    <t xml:space="preserve">100% of the ponded water. </t>
  </si>
  <si>
    <t>10 cm - 50 cm change</t>
  </si>
  <si>
    <t>0.5 - 1 m change</t>
  </si>
  <si>
    <t>1-2 m change</t>
  </si>
  <si>
    <t>&gt;2 m change</t>
  </si>
  <si>
    <t>&gt;2 m deep.  True for many fringe wetlands.</t>
  </si>
  <si>
    <t>&lt;1 m</t>
  </si>
  <si>
    <t>1 - 9 m</t>
  </si>
  <si>
    <t>10 - 29 m</t>
  </si>
  <si>
    <t>30 - 49 m</t>
  </si>
  <si>
    <t>&gt; 100 m</t>
  </si>
  <si>
    <t>none, or &lt;100 sq. m within the AA.</t>
  </si>
  <si>
    <t>1000 – 10,000 sq. m within the AA.</t>
  </si>
  <si>
    <t>100-1000 sq. m within the AA.</t>
  </si>
  <si>
    <t>&gt;10,000 sq. m within the AA.</t>
  </si>
  <si>
    <t>Maintained roads, parking areas, or foot-trails are within 10 m of the AA, or the AA can be accessed part of the year by boats arriving via contiguous waters.</t>
  </si>
  <si>
    <t>The AA borders a body of ponded open water whose size -- not counting the vegetated AA -- exceeds 8 hectares (about 300 x 300 m) during most of the growing season.  Enter "1" if true, "0" if false.</t>
  </si>
  <si>
    <t>0 - 15 m</t>
  </si>
  <si>
    <t>15-100 m or in groundwater</t>
  </si>
  <si>
    <t>industrial effluent, metals mine, or AA is cropped (&amp; sprayed) annually</t>
  </si>
  <si>
    <t>crops in catchment but not in AA, fossil fuel extraction or pipeline, power station</t>
  </si>
  <si>
    <t>mildly impacting (e.g., residential/ commercial)</t>
  </si>
  <si>
    <t>in more distant part of contributing area</t>
  </si>
  <si>
    <t xml:space="preserve">  pesticides, as applied to lawns, croplands, roadsides, or other areas in the CA</t>
  </si>
  <si>
    <t xml:space="preserve">  artificial drainage or erosion of contaminated or saline soils</t>
  </si>
  <si>
    <t>0 - 15 m, or farther but on steep erodible slopes</t>
  </si>
  <si>
    <t>SeasPct1</t>
  </si>
  <si>
    <t>Fluctua1</t>
  </si>
  <si>
    <t>IsoDry1</t>
  </si>
  <si>
    <t>ThruFlo1</t>
  </si>
  <si>
    <t>OutDura1</t>
  </si>
  <si>
    <t>Constric1</t>
  </si>
  <si>
    <t>Groundw1</t>
  </si>
  <si>
    <t>Gradient1</t>
  </si>
  <si>
    <t>Girreg1</t>
  </si>
  <si>
    <t>SoilTex1</t>
  </si>
  <si>
    <r>
      <t>Murphy, M. L., J. Heifetz, J. F. Thedinga, S. W. Johnson, and K. V. Koski. 1989. Habitat utilization by juvenile pacific salmon (</t>
    </r>
    <r>
      <rPr>
        <i/>
        <sz val="10"/>
        <rFont val="Arial Narrow"/>
        <family val="2"/>
      </rPr>
      <t>Onchorynchus</t>
    </r>
    <r>
      <rPr>
        <sz val="10"/>
        <rFont val="Arial Narrow"/>
        <family val="2"/>
      </rPr>
      <t>) in the glacial Taku River, Southeast Alaska. Canadian Journal of Fisheries and Aquatic Sciences 46:1677-1685.</t>
    </r>
  </si>
  <si>
    <r>
      <t>Collen, P. and R. J. Gibson. 2001. The general ecology of beavers (</t>
    </r>
    <r>
      <rPr>
        <i/>
        <sz val="10"/>
        <rFont val="Arial Narrow"/>
        <family val="2"/>
      </rPr>
      <t xml:space="preserve">Castor </t>
    </r>
    <r>
      <rPr>
        <sz val="10"/>
        <rFont val="Arial Narrow"/>
        <family val="2"/>
      </rPr>
      <t>spp.), as related to their influence on stream ecosystems and riparian habitats, and the subsequent effects on fish – a review. Reviews in Fish Biology and Fisheries 10:439–461.</t>
    </r>
  </si>
  <si>
    <t>Neither of above is true, although some groundwater may discharge to or flow through the AA.  Or groundwater influx is unknown.</t>
  </si>
  <si>
    <r>
      <t xml:space="preserve">&lt;2%, </t>
    </r>
    <r>
      <rPr>
        <b/>
        <sz val="10"/>
        <rFont val="Arial Narrow"/>
        <family val="2"/>
      </rPr>
      <t>or,</t>
    </r>
    <r>
      <rPr>
        <sz val="10"/>
        <rFont val="Arial Narrow"/>
        <family val="2"/>
      </rPr>
      <t xml:space="preserve"> no slope is ever apparent (i.e., flat). Or, the wetland is in a depression or pond with no inlet and no outlet.</t>
    </r>
  </si>
  <si>
    <t>Determine which two native herbaceous (forb and graminoid) species comprise the greatest portion of the herbaceous cover that is unshaded by a woody canopy.  Then choose one of the following:</t>
  </si>
  <si>
    <t>Weed Source Along Edge</t>
  </si>
  <si>
    <t>infrequent &amp; mainly during scattered or one-time events</t>
  </si>
  <si>
    <t>Invasive species are present in more than trace amounts, but comprise &lt;5% of herbaceous cover (or woody cover, if the invasives are woody).</t>
  </si>
  <si>
    <t xml:space="preserve">   flow regulation in tributaries or water level regulation in adjoining water body, or other control structure at water entry points that regulates inflow to the wetland</t>
  </si>
  <si>
    <t>high density of unmaintained septic, confined feedlot operation</t>
  </si>
  <si>
    <t>15-100 m</t>
  </si>
  <si>
    <t>The closest wells or water bodies that currently provide drinking water are:</t>
  </si>
  <si>
    <r>
      <t>unlikely</t>
    </r>
    <r>
      <rPr>
        <sz val="10"/>
        <rFont val="Arial Narrow"/>
        <family val="2"/>
      </rPr>
      <t xml:space="preserve"> because site characteristics above are deficient, and/or this is a settled area or other area where beaver are routinely removed.  But beaver occur in this part of the region (i.e., within 25 km).</t>
    </r>
  </si>
  <si>
    <t>100-500 m away</t>
  </si>
  <si>
    <t>&gt;500 m away, or no information</t>
  </si>
  <si>
    <t xml:space="preserve">Select first applicable choice. </t>
  </si>
  <si>
    <t>Extraction of surface water without noticeably affecting surface water area, depth, or persistence.</t>
  </si>
  <si>
    <t>Slightly bare ground (5-20% bare between plants) is visible in places, but those areas comprise less than 5% of the unflooded parts of the AA.</t>
  </si>
  <si>
    <t>Not applicable.  Surface water (either open or obscured by emergent plants) covers all of the AA all the time.</t>
  </si>
  <si>
    <t>Waterbird Habitat</t>
  </si>
  <si>
    <t>The capacity to support or contribute to an abundance or diversity of waterbirds that nest or migrate through the region.</t>
  </si>
  <si>
    <t>Waterbird Habitat (WB)</t>
  </si>
  <si>
    <t>Fish Habitat</t>
  </si>
  <si>
    <t>Interspersion of woody cover with food-rich openings of herbaceous vegetation provides greater feeding opportunities for many songbirds and mammals, and is a natural phenomenon caused by windthrow and other factors in forested wetlands. Excessive gap frequencies and areas (i.e., forest fragmentation) and lack of corridors that connect forested wetlands with upland forests can be detrimental to some species if the remaining forested patches are very small.</t>
  </si>
  <si>
    <t xml:space="preserve">Large habitat patches usually support more plant species. Depending on their shape, forest patches sized about 10 acres or larger may provide habitat capable of sustaining a diverse array of bryophyte functional groups (Baldwin &amp; Bradfield 2007). A leveling off of the plant species-area accumulation curve in Alberta forests appeared at a forest patch size of about 27 acres (Gignac &amp; Dale 2007). Blocks of forest smaller than about 9 acres may be less capable of supporting the expected array of mosses in British Columbia (Baldwin &amp; Bradfield 2007), although a study in Washington found that forest patches as small as 2.5 acres, if not narrow, may be large enough to have a microclimate supportive of most plants and animals (Heithecker &amp; Halperin 2007). </t>
  </si>
  <si>
    <t>Wetland Types - Subordinate</t>
  </si>
  <si>
    <t>&lt;5% of the water is shaded, or no surface water is present then.</t>
  </si>
  <si>
    <t>Depth Classes - Evenness of Proportions</t>
  </si>
  <si>
    <t>Extensive</t>
  </si>
  <si>
    <t>Channel Connection &amp; Outflow Duration</t>
  </si>
  <si>
    <t>mostly passes through a pipe, culvert, narrowly breached dike, berm, beaver dam, or other partial obstruction (other than natural topography) that does not appear to drain the wetland artificially during most of the growing season.</t>
  </si>
  <si>
    <t>Herbaceous - Percent of Vegetated Wetland</t>
  </si>
  <si>
    <t>5-25% of the vegetated AA.</t>
  </si>
  <si>
    <t>25-50% of the vegetated AA.</t>
  </si>
  <si>
    <t>50-95% of the vegetated AA.</t>
  </si>
  <si>
    <t>&gt;95% of the vegetated AA.</t>
  </si>
  <si>
    <t>Invasive Plant Cover</t>
  </si>
  <si>
    <t xml:space="preserve">Cliffs, Steep Banks, or Salt Lick </t>
  </si>
  <si>
    <t>In the AA or within 100 m, there is a known salt lick, or elevated terrestrial features such as cliffs, talus slopes, stream banks, or excavated pits (but not riprap) that extend at least 2 m nearly vertically, are unvegetated, and potentially contain crevices or other substrate suitable for nesting or den areas.  Enter 1 (yes) or 0 (no).</t>
  </si>
  <si>
    <t>OpenPct1</t>
  </si>
  <si>
    <t>AllWoody1</t>
  </si>
  <si>
    <t>WclassDom7</t>
  </si>
  <si>
    <t>Salin3</t>
  </si>
  <si>
    <t>Shade6</t>
  </si>
  <si>
    <t>Moss6</t>
  </si>
  <si>
    <t>Fringe10</t>
  </si>
  <si>
    <t>Toxic8</t>
  </si>
  <si>
    <t>Stain8</t>
  </si>
  <si>
    <t>Beaver Probability</t>
  </si>
  <si>
    <t>Beaver11</t>
  </si>
  <si>
    <t xml:space="preserve">Dominance of Most Abundant Herbaceous Species </t>
  </si>
  <si>
    <t xml:space="preserve">Dominance of Most Abundant Shrub Species </t>
  </si>
  <si>
    <t>Human Use &amp; Recognition (HU)</t>
  </si>
  <si>
    <t>WetArea</t>
  </si>
  <si>
    <t>WetVegArea</t>
  </si>
  <si>
    <t>WetPerim2Area</t>
  </si>
  <si>
    <t>Wetland Density Within 1km</t>
  </si>
  <si>
    <t>Wetland Density Within 1km (excluding those with no open water)</t>
  </si>
  <si>
    <t>Wetland Density Within 1km (excluding bogs)</t>
  </si>
  <si>
    <t>WetDens1k</t>
  </si>
  <si>
    <t>WetDens1k_NoBog</t>
  </si>
  <si>
    <t>Growing Degree Days</t>
  </si>
  <si>
    <t>PPET</t>
  </si>
  <si>
    <t>Subzero Days</t>
  </si>
  <si>
    <t>WindSumm</t>
  </si>
  <si>
    <t>Groundwater Discharge Area or Spring</t>
  </si>
  <si>
    <t>GWDspring</t>
  </si>
  <si>
    <t>Riparian or Floodway Location</t>
  </si>
  <si>
    <t>ElevPctileHUC8</t>
  </si>
  <si>
    <t>Fringe</t>
  </si>
  <si>
    <t>Distance to Nearest Well-settled Area</t>
  </si>
  <si>
    <t>DistPop</t>
  </si>
  <si>
    <t>Distance to Nearest Road (from Wetland Edge)</t>
  </si>
  <si>
    <t>FishPres</t>
  </si>
  <si>
    <t>Key Wildlife Biodiversity Zone</t>
  </si>
  <si>
    <t>Important Bird Area</t>
  </si>
  <si>
    <t xml:space="preserve">Ecological Reserve or Natural Area </t>
  </si>
  <si>
    <t>The effectiveness for storing runoff or delaying the downgradient movement of surface water for long or short periods.</t>
  </si>
  <si>
    <t>Sensitive Raptor Nesting Area</t>
  </si>
  <si>
    <t>Trumpeter Swan Area</t>
  </si>
  <si>
    <t>Within Range of a Sensitive Amphibian</t>
  </si>
  <si>
    <t>FH</t>
  </si>
  <si>
    <t>Wetland Class Richness Within 1km</t>
  </si>
  <si>
    <t>ClassRichIn</t>
  </si>
  <si>
    <t>UndevOpenL1k</t>
  </si>
  <si>
    <t>NatCov1k</t>
  </si>
  <si>
    <t>RdDens1k</t>
  </si>
  <si>
    <t>Sub0Days</t>
  </si>
  <si>
    <t>BioDivZone</t>
  </si>
  <si>
    <t>Reserve</t>
  </si>
  <si>
    <t>RaptorNest</t>
  </si>
  <si>
    <t>RareBirdUse</t>
  </si>
  <si>
    <t>TrumSwan</t>
  </si>
  <si>
    <t>SensAm</t>
  </si>
  <si>
    <t>Lake</t>
  </si>
  <si>
    <t>RipFloodpl</t>
  </si>
  <si>
    <t>GrowDD</t>
  </si>
  <si>
    <t>IBirdArea</t>
  </si>
  <si>
    <t>Climate Moisture Surplus (P-PET)</t>
  </si>
  <si>
    <t>Function Indicators from Estimator</t>
  </si>
  <si>
    <t>In boreal Alberta, both breeding and molting waterfowl densities increase with lake productivity, even in eutrophic and hypereutrophic lakes (Epners et al. 2010).</t>
  </si>
  <si>
    <t>WetDens1k_OW</t>
  </si>
  <si>
    <r>
      <t>Bosschieter, L. and P. W. Goedhart. 2005. Gap crossing decisions by reed warblers (</t>
    </r>
    <r>
      <rPr>
        <i/>
        <sz val="10"/>
        <rFont val="Arial Narrow"/>
        <family val="2"/>
        <scheme val="minor"/>
      </rPr>
      <t>Acrocephalus scirpaceus</t>
    </r>
    <r>
      <rPr>
        <sz val="10"/>
        <rFont val="Arial Narrow"/>
        <family val="2"/>
        <scheme val="minor"/>
      </rPr>
      <t>) in agricultural landscapes. Landscape Ecology 20:455–468.</t>
    </r>
  </si>
  <si>
    <t>Fish Habitat (FH)</t>
  </si>
  <si>
    <t>Water Cooling</t>
  </si>
  <si>
    <t>The effectiveness for maintaining or reducing temperature of downgradient waters.</t>
  </si>
  <si>
    <t>Categorical Choices</t>
  </si>
  <si>
    <t>Function Indicators from Onsite Visit</t>
  </si>
  <si>
    <t>Normalised Score</t>
  </si>
  <si>
    <t>Surface Storage Capacity [STORE]</t>
  </si>
  <si>
    <t>Flow Resistance &amp; Delay [RESIST]</t>
  </si>
  <si>
    <t>Shading [SHADE]</t>
  </si>
  <si>
    <t>Groundwater Input [GWin]</t>
  </si>
  <si>
    <t>Export [OUT]</t>
  </si>
  <si>
    <t>SoilAlt2</t>
  </si>
  <si>
    <t>Entrainment and Storage [TRAP]</t>
  </si>
  <si>
    <t>SoilAlt3</t>
  </si>
  <si>
    <t>Adsorption [ADSORB]</t>
  </si>
  <si>
    <t>Sedimentation [SEDTRAP]</t>
  </si>
  <si>
    <t>OpenWpct3</t>
  </si>
  <si>
    <t>Denitrification: Temperature Control [Temp]</t>
  </si>
  <si>
    <t>Nitrification- Denitrification:  Redox [Redox]</t>
  </si>
  <si>
    <t>Processing Time [Delay]</t>
  </si>
  <si>
    <t>Organic Matter Stock [Cstock]</t>
  </si>
  <si>
    <t>Decomposition and Mobility [LabileC]</t>
  </si>
  <si>
    <t>Nitrogen Removal</t>
  </si>
  <si>
    <t>Sediment Retention</t>
  </si>
  <si>
    <t>Organic Nutrient Export</t>
  </si>
  <si>
    <t>Fluctu6</t>
  </si>
  <si>
    <t>Export [OutC]</t>
  </si>
  <si>
    <t>Toxic10</t>
  </si>
  <si>
    <t>Productivity [CfixF]</t>
  </si>
  <si>
    <t>Water Permanence [Water]</t>
  </si>
  <si>
    <t>Habitat Structure [HabStrucF]</t>
  </si>
  <si>
    <t>Moss8</t>
  </si>
  <si>
    <t>VegIntersp8</t>
  </si>
  <si>
    <t>Aquatic Invertebrate Habitat</t>
  </si>
  <si>
    <t>Fluctu8</t>
  </si>
  <si>
    <t>Hydrologic Environment [WaterI]</t>
  </si>
  <si>
    <t>Aquatic Habitat Structure [HabStrucI]</t>
  </si>
  <si>
    <t>Primary Productivity [CfixI]</t>
  </si>
  <si>
    <t>Salin11</t>
  </si>
  <si>
    <t>Aquatic Habitat Structure [HabStrucA]</t>
  </si>
  <si>
    <t>Aquatic Productivity [CfixA]</t>
  </si>
  <si>
    <t>Stressors (or lack of)  [Stress I]</t>
  </si>
  <si>
    <t>SBhab13</t>
  </si>
  <si>
    <t xml:space="preserve">A wetland-dependent Alberta bird -- common yellowthroat -- occurs most frequently when &gt;20% of the land cover within 1 km contains suitable wetlands, and a bird species that uses wooded wetlands regularly -- American redstart -- occurs most frequently when &gt;30% of the land cover within 2 km contains suitable habitat (Betts et al. 2007).  </t>
  </si>
  <si>
    <t>Wettype14</t>
  </si>
  <si>
    <t>PondedOWpct14</t>
  </si>
  <si>
    <t>ForbCov14</t>
  </si>
  <si>
    <t>HerbDom14</t>
  </si>
  <si>
    <t>Habitat Structure [HabStrucW]</t>
  </si>
  <si>
    <t>Habitat Productivity [CfixW]</t>
  </si>
  <si>
    <t>Offsite Habitat Influence [LscapeW]</t>
  </si>
  <si>
    <t>Habitat Structure [HabStrucS]</t>
  </si>
  <si>
    <t>Habitat Productivity [CfixS]</t>
  </si>
  <si>
    <t>Offsite Habitat Influence [LscapeS]</t>
  </si>
  <si>
    <t>Sedge14</t>
  </si>
  <si>
    <t>SnagD14</t>
  </si>
  <si>
    <t>WoodyCovPD</t>
  </si>
  <si>
    <t>dbhPD</t>
  </si>
  <si>
    <t>forbsPD</t>
  </si>
  <si>
    <t>sedgePD</t>
  </si>
  <si>
    <t>Songbird, Raptor, and Mammal Habitat</t>
  </si>
  <si>
    <t>Vegetation Form &amp; Distribution [Vstruc]</t>
  </si>
  <si>
    <t>Wetland Productivity [CfixV]</t>
  </si>
  <si>
    <t>Offsite Habitat Influence [Vscape]</t>
  </si>
  <si>
    <t>Habitable Substrate [Vspace]</t>
  </si>
  <si>
    <t>Provis21</t>
  </si>
  <si>
    <t>Fringe21</t>
  </si>
  <si>
    <t>Lake21</t>
  </si>
  <si>
    <t>Algae21</t>
  </si>
  <si>
    <t>Invest21</t>
  </si>
  <si>
    <t>Human Use</t>
  </si>
  <si>
    <t>Wetland Morphology [Wet]</t>
  </si>
  <si>
    <t>RecreaPoten</t>
  </si>
  <si>
    <t>PersisPD</t>
  </si>
  <si>
    <t>Ball, B.A., J.S. Kominoski, H.E. Adams, S.E. Jones, E.S. Kane, T.D. Loecke, W.M. Mahaney, J.P. Martina, C.M. Prather, T.M.P. Robinson, and C.T. Solomon. 2010. Direct and terrestrial vegetation-mediated effects of environmental change on aquatic ecosystem processes. Bioscience 60:590-601.</t>
  </si>
  <si>
    <t>Chan-McLeod, A. C. A. and A. Moy. 2007. Evaluating residual tree patches as stepping stones and short-term refugia for red-legged frogs. Journal of Wildlife Management 71:1836-1844.</t>
  </si>
  <si>
    <t>Eigenbrod, F., S. J. Hecnar, and L. Fahrig. 2008a. Accessible habitat: an improved measure of the effects of habitat loss and roads on wildlife populations. Landscape Ecology:159-168.</t>
  </si>
  <si>
    <t>Eigenbrod, F., S. J. Hecnar, and L. Fahrig. 2008b. The relative effects of road traffic and forest cover on anuran populations. Biological Conservation 141:35-46.</t>
  </si>
  <si>
    <t>Knutson, M. G., W. B. Richardson, D. M. Reineke, B. R. Gray, J. R. Parmelee, and S. E. Weick. 2004. Agricultural ponds support amphibian populations. Ecological Applications 14:669-684.</t>
  </si>
  <si>
    <t>Marsh, D. M. 2007. Edge effects of gated and ungated roads on terrestrial salamanders. Journal of Wildlife Management 71:389-394.</t>
  </si>
  <si>
    <t>Schmutzer, A. C., M. J. Gray, E. C. Burton, and D. L. Miller. 2008. . Impacts of cattle on amphibian larvae and the aquatic environment. Freshwater Biology 53:2613-2625.</t>
  </si>
  <si>
    <t>Semlitsch, R. D., T. J. Ryan, K. Ramed, M. Chatfield, B. Drehman, N. Pekarek, M. Spath, and A. Watland. 2007. Salamander abundance along road edges and within abandoned logging roads in Appalachian forests. Conservation Biology 21:159-167.</t>
  </si>
  <si>
    <t>OWpct</t>
  </si>
  <si>
    <t>NoOutlet1</t>
  </si>
  <si>
    <t>NoOutlet1a</t>
  </si>
  <si>
    <t>_Iso2</t>
  </si>
  <si>
    <t>OpenPonded2</t>
  </si>
  <si>
    <t>WetPctHUC8</t>
  </si>
  <si>
    <t>SlopeBuffer</t>
  </si>
  <si>
    <t>WoodyPct4</t>
  </si>
  <si>
    <t>OWpct4</t>
  </si>
  <si>
    <t>FenBogMarsh</t>
  </si>
  <si>
    <t>OWpct6</t>
  </si>
  <si>
    <t>OWpct10</t>
  </si>
  <si>
    <t>UniqClass</t>
  </si>
  <si>
    <t>UniqFenMarshSwamp</t>
  </si>
  <si>
    <t>OWpct8</t>
  </si>
  <si>
    <t>Dist2DevCrop</t>
  </si>
  <si>
    <t>OWpct11</t>
  </si>
  <si>
    <t>HerbWoodMix14</t>
  </si>
  <si>
    <t>HerbWoodMix11</t>
  </si>
  <si>
    <t>ClassRich1k</t>
  </si>
  <si>
    <t>OWpct13</t>
  </si>
  <si>
    <t>Lake13</t>
  </si>
  <si>
    <t>SeasWpct13</t>
  </si>
  <si>
    <t>MarshUniq</t>
  </si>
  <si>
    <t>BMP_14</t>
  </si>
  <si>
    <t>Dist2Road</t>
  </si>
  <si>
    <t>ClassRichIn14</t>
  </si>
  <si>
    <t>Invasives</t>
  </si>
  <si>
    <t>DownWood15</t>
  </si>
  <si>
    <t>Snags15</t>
  </si>
  <si>
    <t>Rock15</t>
  </si>
  <si>
    <t>ClassRichIn15</t>
  </si>
  <si>
    <t>ClassRichIn8</t>
  </si>
  <si>
    <t>Toxic20</t>
  </si>
  <si>
    <t>The capacity to support or contribute to a diversity of native, hydrophytic, vascular plant species, communities, and/or functional groups.  As well, the capacity to support pollinating insects, such as bees, wasps, flies, butterflies, moths, and beetles.</t>
  </si>
  <si>
    <t>Nesting Bird Colony, Piping Plover Water Body, or Trumpeter Swan Use Area</t>
  </si>
  <si>
    <t>Potential Access [Access]</t>
  </si>
  <si>
    <t>SwampMarshPct</t>
  </si>
  <si>
    <t>Distance to Nearest Annual Cropland or Developed Land</t>
  </si>
  <si>
    <t>Wetland Class Richness Within Wetland</t>
  </si>
  <si>
    <t>Aspect</t>
  </si>
  <si>
    <t>FenMarshSwamp</t>
  </si>
  <si>
    <t>ThruFlo4</t>
  </si>
  <si>
    <t>Beaver10</t>
  </si>
  <si>
    <t>Vwidth1</t>
  </si>
  <si>
    <t>If a wetland's substrate remains relatively impermeable to the downward infiltration of runoff much of the time, as happens in groundwater discharge wetlands where water is regularly moving upward from subsurface strata, it has less capacity to store additional runoff.</t>
  </si>
  <si>
    <t>Wetlands with a greater proportion of open water are more exposed to wind and sun, which increase evaporative water loss.</t>
  </si>
  <si>
    <t>Avoidance of Anoxia [AnoxF]</t>
  </si>
  <si>
    <t>Avoidance of Other Stressors [StressF]</t>
  </si>
  <si>
    <t>Stressors (Lack of)  [StressW]</t>
  </si>
  <si>
    <t>Stressors (Lack of)  [StressS]</t>
  </si>
  <si>
    <t>Stressors (Lack of) [StressV]</t>
  </si>
  <si>
    <t>BMP_11</t>
  </si>
  <si>
    <t>Toxic11</t>
  </si>
  <si>
    <t>BMP_13</t>
  </si>
  <si>
    <t>Beaver14a</t>
  </si>
  <si>
    <t>ChanConn</t>
  </si>
  <si>
    <t>Channel Connection</t>
  </si>
  <si>
    <t>ChannConn</t>
  </si>
  <si>
    <t>ABWRET-A FUNCTION MODEL</t>
  </si>
  <si>
    <t>ABWRET-A MODEL</t>
  </si>
  <si>
    <t>Public</t>
  </si>
  <si>
    <t>Ownership category = Public</t>
  </si>
  <si>
    <t>Wetlands that lack an outlet (never have any outflow) retain or remove via denitrification all N that enters them.</t>
  </si>
  <si>
    <t>Wetlands that lack an outlet (never have any outflow) store all phosphorus that enters them.</t>
  </si>
  <si>
    <t>OWarea</t>
  </si>
  <si>
    <t xml:space="preserve">OWpct </t>
  </si>
  <si>
    <t>% of Summertime Water That Is Shaded</t>
  </si>
  <si>
    <t xml:space="preserve">% of Water Ponded vs. Flowing </t>
  </si>
  <si>
    <t>Ponded Open Water - Minimum Size</t>
  </si>
  <si>
    <t xml:space="preserve">% of Ponded Water That Is Open </t>
  </si>
  <si>
    <t>% Bare Ground &amp; Thatch</t>
  </si>
  <si>
    <t>Scores will appear below after all data are entered in worksheets OF, F, and S.  See Manual for definitions and descriptions of how scores were computed.</t>
  </si>
  <si>
    <t xml:space="preserve">This is the primary indicator of a wetland's potential for supporting summer flow in connected downslope streams. </t>
  </si>
  <si>
    <t xml:space="preserve">Fish access to wetlands is better if an outlet is present and outflows from the wetland are persistent. Although isolated wetlands with persistent surface water can support some resident fish, a permanent connection to other surface waters increases the ability of fish to move among wetlands and other surface waters in search of food and other needs.  </t>
  </si>
  <si>
    <t xml:space="preserve">Diffuse flow paths and large spatial complexity of channels within a wetland support a wider variety of microhabitats for fish and their invertebrate foods. </t>
  </si>
  <si>
    <t xml:space="preserve">Over the long term, beaver dam-building activities are highly beneficial to fish rearing habitat, creating pools used by fish as refuge, adding wood that provides fish cover, and increasing the overall productivity of river systems (Murphy et al. 1989, Collen &amp; Gibson 2001). </t>
  </si>
  <si>
    <t>In calculations, is excluded automatically (cell goes blank) if natural cover in the buffer (see above) is &gt;90%.</t>
  </si>
  <si>
    <t xml:space="preserve">Open Water Area </t>
  </si>
  <si>
    <t>Scoring Notes</t>
  </si>
  <si>
    <t>Inverse</t>
  </si>
  <si>
    <t>OWpct_INV</t>
  </si>
  <si>
    <t>OWpct_AM</t>
  </si>
  <si>
    <t>OWpct_WB</t>
  </si>
  <si>
    <t>% Undeveloped Openlands Within 1km</t>
  </si>
  <si>
    <t>Wetland as a % of Its HUC8</t>
  </si>
  <si>
    <t>% of AA that is Open Water (macro scale)</t>
  </si>
  <si>
    <t>AA Size</t>
  </si>
  <si>
    <t>The effectiveness for retaining phosphorus for long periods (&gt;1 growing season) as a result of chemical adsorption, or from translocation by plants to belowground zones with less potential for physically or chemically remobilizing phosphorus into the water column.</t>
  </si>
  <si>
    <t>The raw value is scored as follows: &lt;1%=0;  1%-5%=0.4; 6-30%=0.8, 31-70%=1; 71-99%=0.6; &gt;99%=0.2</t>
  </si>
  <si>
    <t>% of AA that is Open Water (macro scale, Invertebrate Habitat)</t>
  </si>
  <si>
    <t>% of AA that is Open Water (macro scale, Amphibian Habitat)</t>
  </si>
  <si>
    <t>% of AA that is Open Water (macro scale, Waterbird Habitat)</t>
  </si>
  <si>
    <t xml:space="preserve">This function is likely to be most beneficial to aquatic life and human use of stream water where there are stream segments that periodically dry up due to local climate (low P-PET), headwater location, artificial diversions, or other factors.  However, the model does not address such ecological or economic needs for supporting stream flow at a particular location.  </t>
  </si>
  <si>
    <t>The model does not address the ecological need for cooling or maintaining temperatures of streams at a particular location, as would be implied partly by the presence of coldwater fish and the closeness of ambient summer temperatures to physiological thresholds of those fish. The model also does not address the benefits of cooled water that relate to its ability to hold more dissolved oxygen, which in turn supports better processing of many pollutants.</t>
  </si>
  <si>
    <t xml:space="preserve">The model does not address the ecological need for organic nutrients in the receiving stream or lake at a particular location.  At some locations nutrients may limit aquatic productivity while at others additional nutrients could cause problems associated with overenrichment.  Also, the model is unable to differentiate among the various forms of organic nutrients, e.g., carbon that is easily consumed and cycled vs. carbon that provides less nutrition and cycles slowly in food webs. The model does not address the potential export of organic nutrients via insect emergence and wetland animal movements. </t>
  </si>
  <si>
    <t xml:space="preserve">The model does not address the ecological need for keeping phosphorus out of the surface or ground water at a particular location, as would be implied partly by the occurrence of nuisance blooms of algae or decline of plants that are sensitive to phosphorus overenrichment, at that location or downgradient.  </t>
  </si>
  <si>
    <t>The model does not address the likelihood that, based on wetland proximity, valuable infrastructure located downgradient and within flood risk areas may be damaged if water above it is not stored in wetlands or other facilities. The model also does not address the possibility that infrastructure is located within the wetland itself, in which case water storage could threaten that.</t>
  </si>
  <si>
    <t>The model does not address the ecological need for keeping suspended sediment out of streams at a particular location, as would be implied partly by the presence of sensitive aquatic life in those streams.  The model also does not address the potential harm to wetland organisms that occurs when excessive amounts of sediment  smother plants and animals within a wetland.  Nor does the model address the loss in water storage space that occurs when sediment is deposited and retained.  The model does not address the potential positive benefits of trapping and depositing sediment along the deepwater margin of lakeshore wetlands, which can gradually increase the area of wetlands.</t>
  </si>
  <si>
    <t xml:space="preserve">The model does not address the ecological need for keeping nitrate out of the surface or ground water at a particular location, as would be implied partly by the presence of domestic wells, nuisance blooms of algae, or plants that are sensitive to nitrate overenrichment.  </t>
  </si>
  <si>
    <t>Fish Presence</t>
  </si>
  <si>
    <t>1 (yes) or 0 (no) based only on available hydrography layer.</t>
  </si>
  <si>
    <t>Notes</t>
  </si>
  <si>
    <t>Code</t>
  </si>
  <si>
    <t>If not within sensitive amphibian range then cell turns blank (NULL) and is ignored in calculations.</t>
  </si>
  <si>
    <t>If not within trumpeter swan area then cell turns blank (NULL) and is ignored in calculations.</t>
  </si>
  <si>
    <t>If not within riparian or floodplain area then cell turns blank (NULL) and is ignored in calculations.</t>
  </si>
  <si>
    <t>If not within a designated IBA then cell turns blank (NULL) and is ignored in calculations.</t>
  </si>
  <si>
    <t>If not within area where any of these species nests, then cell turns blank (NULL) and is ignored in calculations.</t>
  </si>
  <si>
    <t xml:space="preserve"> If wetland not within Sensitive Raptor Nesting Area then ignored (NULL) in calculations.</t>
  </si>
  <si>
    <t>If wetland not within riparian or floodplain area then ignored (NULL) in calculations.</t>
  </si>
  <si>
    <t>Aspect of the AA's 100m Upslope Buffer</t>
  </si>
  <si>
    <t xml:space="preserve">Elevation Percentile Within HUC8 </t>
  </si>
  <si>
    <t>Calculated as (wetland's elevation - minimum elevation of wetland's HUC8) divided by elevation range (max-min) of the wetland's HUC8.</t>
  </si>
  <si>
    <t>Wind Energy - Summer</t>
  </si>
  <si>
    <t>Local Uniqueness of Wetland's Class</t>
  </si>
  <si>
    <t>Based on Canadian Forest Service average number of days above 5C during growing season 1971-2000, minimum resolution of 1 km2.</t>
  </si>
  <si>
    <t>1 (yes) or 0 (no) from FWMIS database.</t>
  </si>
  <si>
    <t>1 (yes) or 0 (no) wetland centroid intersects the merged Colonial Nesting Bird, Piping Plover Water Body and Trumpeter Swan layers from FWMIS database.</t>
  </si>
  <si>
    <t>1 (yes) or 0 (no). Based only on Class A or B designation (Alberta Water Act Codes of Practice streams) layer from GOA 2013.</t>
  </si>
  <si>
    <t xml:space="preserve">% Slope </t>
  </si>
  <si>
    <t>A gentle shore slope provides waterbirds with easier access to upland nesting cover near the water.  In calculations, is excluded automatically (cell goes blank) if wetland never has surface water during an average year. Also is excluded automatically if wetland lacks open water or is &lt;0.01 ha.</t>
  </si>
  <si>
    <t>Wells21</t>
  </si>
  <si>
    <t>Resource Use and Best Management Practices [Use]</t>
  </si>
  <si>
    <t>Roads provide access that enhances most human uses of wetlands.</t>
  </si>
  <si>
    <t>These areas provide opportunities for some recreational uses not possible elsewhere.</t>
  </si>
  <si>
    <t>Public lands, especially those where recreation or conservation is a primary designated use, are accessible to more people.</t>
  </si>
  <si>
    <t>The extent of a wetland that is potentially accessible to visitors influences the frequency of visitation.  Presence of an inhabited building nearby suggests the wetland may be visited more often.</t>
  </si>
  <si>
    <t>Because each wetland class has a distinct flora, a greater variety of wetland classes implies greater plant diversity and more diverse sources of pollen for pollinators.</t>
  </si>
  <si>
    <t>See above</t>
  </si>
  <si>
    <t>Rationale &amp; Scoring Notes</t>
  </si>
  <si>
    <t>Gaps in woody canopy, or scattered trees and shrubs within a marsh or bog, support a wider variety of plants and indicate a diversity of underlying hydroperiods that have the same effect.</t>
  </si>
  <si>
    <t>Inflowing streams or rivers bring plant propagules that can sprout and diversify wetland plant communities.  Also, the soil-disturbing and vegetation-thinning effects of natural floods typically diversity plant communities in the long term</t>
  </si>
  <si>
    <t>If a particular class is significantly present in a wetland but scarce in the surrounding area, the contribution of its plants to local floristic diversity is likely to be greater.</t>
  </si>
  <si>
    <t>HerbWood15</t>
  </si>
  <si>
    <t>OF1</t>
  </si>
  <si>
    <t>OF2</t>
  </si>
  <si>
    <t>OF3</t>
  </si>
  <si>
    <t>OF4</t>
  </si>
  <si>
    <t>OF5</t>
  </si>
  <si>
    <t>OF6</t>
  </si>
  <si>
    <t>OF7</t>
  </si>
  <si>
    <t>OF8</t>
  </si>
  <si>
    <t>OF9</t>
  </si>
  <si>
    <t>OF10</t>
  </si>
  <si>
    <t>OF11</t>
  </si>
  <si>
    <t>OF12</t>
  </si>
  <si>
    <t>OF13</t>
  </si>
  <si>
    <t>OF14</t>
  </si>
  <si>
    <t>OF15</t>
  </si>
  <si>
    <t>OF16</t>
  </si>
  <si>
    <t>OF17</t>
  </si>
  <si>
    <t>OF18</t>
  </si>
  <si>
    <t>OF19</t>
  </si>
  <si>
    <t>OF20</t>
  </si>
  <si>
    <t>OF21</t>
  </si>
  <si>
    <t>OF22</t>
  </si>
  <si>
    <t>OF23</t>
  </si>
  <si>
    <t>OF24</t>
  </si>
  <si>
    <t>OF25</t>
  </si>
  <si>
    <t>OF26</t>
  </si>
  <si>
    <t>OF27</t>
  </si>
  <si>
    <t>OF28</t>
  </si>
  <si>
    <t>OF29</t>
  </si>
  <si>
    <t>OF30</t>
  </si>
  <si>
    <t>OF31</t>
  </si>
  <si>
    <t>OF32</t>
  </si>
  <si>
    <t>OF33</t>
  </si>
  <si>
    <t>OF34</t>
  </si>
  <si>
    <t>OF35</t>
  </si>
  <si>
    <t>OF36</t>
  </si>
  <si>
    <t>OF37</t>
  </si>
  <si>
    <t>OF38</t>
  </si>
  <si>
    <t>OF39</t>
  </si>
  <si>
    <t>OF40</t>
  </si>
  <si>
    <t>OF41</t>
  </si>
  <si>
    <t>OF42</t>
  </si>
  <si>
    <t>OF43</t>
  </si>
  <si>
    <t>OF44</t>
  </si>
  <si>
    <t>OF45</t>
  </si>
  <si>
    <t>OF46</t>
  </si>
  <si>
    <t>OF47</t>
  </si>
  <si>
    <t>OF48</t>
  </si>
  <si>
    <t>OF49</t>
  </si>
  <si>
    <t>OF50</t>
  </si>
  <si>
    <t>OF51</t>
  </si>
  <si>
    <t>Snags provide nest or dormancy sites for many insect pollinators. The removal of dead wood, which often accompanies lakeshore development, has been associated with reduced pollination (Trant et al. 2010).</t>
  </si>
  <si>
    <t>Cliffs and rocky slopes provide nest or dormancy sites for many insect pollinators.  Also, several pollinating butterflies and moths are routinely attracted by salt licks and saline springs.</t>
  </si>
  <si>
    <t>Seeds of non-native plants commonly are carried by humans and their pets. Non-native plants can decrease plant species richness of the wetland.  In the Kenai Peninsula of Alaska, significantly fewer nonnative species were found beyond a 500-m distance from a trailhead.  High-use trails, especially those in open-canopied areas, exhibited the greatest numbers of nonnative species at the farthest distances from the trailhead and contained a greater number of less common nonnative species (Bella 2011).</t>
  </si>
  <si>
    <t>Especially in organic and clay soils, trampling and soil compaction results in direct loss of vegetation, changes the soil chemistry and hydrology, reduces seed germination, and facilitates the invasion by exotic species.  Collectively these usually reduce richness of native plants within a wetland.</t>
  </si>
  <si>
    <t>This spatial data layer mainly indicates areas of relatively intact habitat along major river corridors and valley slope breaks. The data correlate with ungulate winter densities but likely indicate high suitability for many valued songbirds and raptors as well.</t>
  </si>
  <si>
    <t>To some degree, different bird and mammal species associate with different wetland classes.  Thus, greater class richness supports greater richness of these groups.</t>
  </si>
  <si>
    <t>Chemicals and house cats that can harm wetland birds and mammals are most prevalent where wetlands or their tributaries are adjoined by agricultural or developed lands.</t>
  </si>
  <si>
    <t xml:space="preserve">Compared to other type of variables, climate factors are, in aggregate, the most important determinants of bird species richness across all of Boreal Canada (Hawkins et al. 2003). </t>
  </si>
  <si>
    <t>Wetlands are important to several Alberta raptor species. Although survey data are not comprehensive and current, known occurrences of nesting raptors should elevate a wetland's score for this function.</t>
  </si>
  <si>
    <t>Riparian areas are often favoured as travel corridors by songbirds and wetland mammals.</t>
  </si>
  <si>
    <t>If a particular class is significantly present in a wetland but scarce in the surrounding area, the contribution of wildlife species (that associate with that class) to local biodiversity is likely to be greater.</t>
  </si>
  <si>
    <t>If not within Key Wildlife Biodiversity Zone then this indicator is ignored (NULL) in calculations.</t>
  </si>
  <si>
    <t>Wetlands located near agricultural and developed areas are often exposed to greater amounts of pesticides and human disturbance, which can reduce productivity and use by waterbirds.</t>
  </si>
  <si>
    <t>These are typically areas that have been officially designated by biologists as being especially important to waterbirds.</t>
  </si>
  <si>
    <t>These rare or sensitive wetland birds contribute disproportionately to regional biodiversity.</t>
  </si>
  <si>
    <t>Waterbirds often follow major rivers during migration, and floodplain wetlands tend to be more productive than more isolated wetlands at higher elevations.</t>
  </si>
  <si>
    <t>Most waterbirds are attracted more strongly to unforested than forested landscapes, at least when those are relatively undeveloped.</t>
  </si>
  <si>
    <t>Shorebirds are a large component of waterbird diversity.  Most shorebird species feed only on mudflats or in areas of short, sparse vegetation.</t>
  </si>
  <si>
    <t>To some degree, different wetland classes satisfy different requirements of amphibians during their life cycle.  Thus, greater class richness may support greater amphibian productivity and/or diversity.  A 1-km buffer as well as on-site condition is assessed because many amphibians conduct essential dispersal movements over distances that long or longer.</t>
  </si>
  <si>
    <t>Wetlands located near agricultural and developed areas are often exposed to greater amounts of pesticides and other contaminants.  Those can reduce amphibian productivity by contributing to deformities as well as increased vulnerability to fungal infections and parasites.</t>
  </si>
  <si>
    <t>Populations of some amphibians (e.g., four-toed salamander) seem to thrive best in fishless wetlands. Predatory fish (especially, exotic species) can cause extirpations of native species or at least reduce productivity (Pearl et al. 2005).</t>
  </si>
  <si>
    <t>Because of their relative rarity, these amphibian species contribute more to regional biodiversity than amphibian species with broader habitat tolerances.</t>
  </si>
  <si>
    <t>If a wetland contains fen, marsh, or swamp but those classes (which are most important to amphibians) are scarce in the surrounding area, the contribution of amphibian species (that associate with those classes) to local biodiversity is likely to be greater.</t>
  </si>
  <si>
    <t>The shelter and moist microclimate provided by wetland vegetation is especially critical to amphibians in areas with strong summer winds that tend to dry out the moist skin surfaces that are characteristic of amphibians.</t>
  </si>
  <si>
    <t>A well-interspersed mixture of herbaceous and woody vegetation is hypothesized to be most beneficial to amphibians because it provides both a moist microclimate and warmer open areas in close proximity.</t>
  </si>
  <si>
    <t>Because different wetland classes are likely to have distinctive invertebrate assemblages, a greater variety of wetland classes implies greater invertebrate diversity.</t>
  </si>
  <si>
    <t>High interspersion of wetland woody and herbaceous vegetation provides emergence sites for aquatic insects and may be presumed to support more groups of wetland invertebrates.</t>
  </si>
  <si>
    <t>Extensive moss cover creates acidic conditions that can restrict the number of aquatic invertebrate species in a wetland.  Moss also provides less vertical structure than most vascular plants.</t>
  </si>
  <si>
    <t>Although fish are common in isolated wetlands (at least, those that have permanent water), wetlands with a surface water connection to other water bodies usually support greater fish production and diversity and are less prone to winterkill problems.</t>
  </si>
  <si>
    <t>Road access potentially brings more fishing pressure and pollutants, so increasing distance from roads is assumed to be better for fish populations.</t>
  </si>
  <si>
    <t>This is direct evidence of fish use, though not necessarily fish diversity.</t>
  </si>
  <si>
    <t>If no connection, then blank (NULL) and ignored in calculations rather than reducing the indicator score.</t>
  </si>
  <si>
    <t>If wetland not intersected by a Class A or B stream (Alberta Water Act Codes of Practice stream), then cell turns blank (NULL) and is ignored in calculations rather than reducing the indicator score.  The data source is not comprehensive and does not include lakes and ponds.</t>
  </si>
  <si>
    <r>
      <t xml:space="preserve">Because their connectivity with adjoining water bodies is more certain, fringe wetlands often provide better conditions for fish, allowing escape from occasional drought and low oxygen conditions.  </t>
    </r>
    <r>
      <rPr>
        <i/>
        <sz val="10"/>
        <rFont val="Arial Narrow"/>
        <family val="2"/>
      </rPr>
      <t>In calculations, is excluded automatically (cell goes blank) if wetland never has surface water during an average year or if water is present only seasonally.  If condition not met, then ignored in calculations rather than being counted as a negative.</t>
    </r>
  </si>
  <si>
    <r>
      <t xml:space="preserve">Aquatic plants provide cover for fish and in some cases the associated shading helps maintain cool water temperature. However, as they decay beneath winter ice, they can deprive fish of necessary oxygen (Meding &amp; Jackson 2003).  </t>
    </r>
    <r>
      <rPr>
        <i/>
        <sz val="10"/>
        <rFont val="Arial Narrow"/>
        <family val="2"/>
      </rPr>
      <t>In calculations, is excluded automatically (cell goes blank) if wetland has no ponded water or is &lt;0.01 ha.</t>
    </r>
  </si>
  <si>
    <t xml:space="preserve">Wetlands along streams or rivers or in floodplains are more likely to be exposed to moving water that can export organic matter downstream. </t>
  </si>
  <si>
    <t>Although moss-covered wetlands tend to have lower annual productivity, the accumulated moss is very rich in carbon and other nutrients and if subject to flows that can export it, can make these wetlands significant contributors of these nutrients at a watershed scale.</t>
  </si>
  <si>
    <t>More extensive ground cover may imply more organic matter is available for export.  Excessive litter buildup sometimes implies a lack of significant exporting forces, e.g., currents.</t>
  </si>
  <si>
    <t xml:space="preserve">Denitrification rates are often limited by the amount of available carbon. Organic soils have the most carbon, and coarse soils usually have the least. Denitrification enzyme activity, on a per gram basis, is typically greater in organic soils than mineral soils (Van Hoewyk et al. 2000). However, the acidic nature of many organic soils can limit denitrification, the major process for nitrate removal. Soils having less than 65% silt and clay have very limited capacity to remove nitrate via denitrification (Pinay et al. 2003). Emissions of nitrous oxide (a detrimental greenhouse gas) are most likely to occur in soils that are poor in organic matter but rich in nitrogen (e.g., the carbon-nitrogen ratio is less than 25, Hunt et al. 2007). </t>
  </si>
  <si>
    <t>Open water areas are more prone to wind that can mix of bottom sediments, resuspending the P-bearing sediment and resulting in export if an outlet is present. When there is proportionally more vegetation than open water, that provides potential for trapping suspended sediment and retaining its associated P.</t>
  </si>
  <si>
    <t xml:space="preserve">Wetlands frozen later into the spring are less able to retain P-bearing sediment suspended in snowmelt runoff.  </t>
  </si>
  <si>
    <t xml:space="preserve">Larger vegetated areas imply longer retention times that presumably promote greater P retention per unit area.  </t>
  </si>
  <si>
    <r>
      <t xml:space="preserve">In some cases, sediments that remain covered with water year-round (and longer) tend to become anaerobic and release phosphorus, especially in deeper wetlands. Thus, wetlands with the least extent of persistent water may be most retentive of whatever P they receive.  In contrast, seasonal drawdowns can mobilize phosphorus that has accumulated in sediments (Snyder &amp; Morace 1997, Aldous et al. 2005). To a perhaps lesser extent, reflooding of soils that have been dry for extended periods also can mobilize phosphorus, especially if flooding creates anoxic conditions (Burley et al. 2001), or if large quantities of leaf litter and other organic matter are present and rapidly decompose or leach phosphorus. </t>
    </r>
    <r>
      <rPr>
        <i/>
        <sz val="10"/>
        <rFont val="Arial Narrow"/>
        <family val="2"/>
      </rPr>
      <t>In calculations, is excluded automatically (cell goes blank) if wetland never has surface water during an average year.</t>
    </r>
  </si>
  <si>
    <r>
      <t xml:space="preserve">Lacustrine wetlands are more likely than bogs or fens to be phosphorus-limited (Walbridge &amp; Navaratnam 2006), and thus should be more able to take up and retain phosphorus. </t>
    </r>
    <r>
      <rPr>
        <i/>
        <sz val="10"/>
        <rFont val="Arial Narrow"/>
        <family val="2"/>
      </rPr>
      <t>In calculations, is excluded automatically (cell goes blank) if wetland never has surface water during an average year.</t>
    </r>
  </si>
  <si>
    <r>
      <t xml:space="preserve">Wetting and drying of sediments, as happens especially in wetlands with large water level fluctuations, increases the leaching and desorption of phosphorus from sediment organic matter, thus resulting in net export. However, stable water levels also can promote phosphorus export (not retention) because they are often associated with anoxic conditions that result in increased mobility of phosphorus. Sediment P release and subsequent export is particularly strong during periods of seasonal anoxia (Burley et al. 2001). </t>
    </r>
    <r>
      <rPr>
        <i/>
        <sz val="10"/>
        <rFont val="Arial Narrow"/>
        <family val="2"/>
      </rPr>
      <t>In calculations, is excluded automatically (cell goes blank) if wetland never has surface water during an average year, or if none of it floods only seasonally.</t>
    </r>
  </si>
  <si>
    <r>
      <t>Deeper wetlands are more likely to experience anoxic conditions that promote P mobility and export. However, deeper waters also imply slower water velocity, longer water detention time, more time for biological processing of phosphorus, and reduced likelihood of phosphorus associated with deposited sediments being resuspended by wind mixing or currents.</t>
    </r>
    <r>
      <rPr>
        <i/>
        <sz val="10"/>
        <rFont val="Arial Narrow"/>
        <family val="2"/>
      </rPr>
      <t xml:space="preserve"> In calculations, is excluded automatically (cell goes blank) if wetland never has surface water during an average year, or if wetland is &lt;0.01 ha..</t>
    </r>
  </si>
  <si>
    <t xml:space="preserve">The presence of steep slopes near a wetland suggests that water residence time in the associated wetland may also be short, thus reducing its potential for retaining sediment.  However, if the wetland is large, slope angle is unlikely to have much effect on water residence time within that wetland. </t>
  </si>
  <si>
    <t xml:space="preserve">Wetlands frozen later into the spring (as indicated by Subzero Days) are less able to retain sediment suspended in snowmelt runoff. </t>
  </si>
  <si>
    <t xml:space="preserve">The absolute size of the vegetated area correlates with increased sediment trapping and stabilization potential, and is sometimes independent of the proportion of the wetland that is vegetated.  Larger vegetated areas imply longer retention times that support deposition and retention.  </t>
  </si>
  <si>
    <r>
      <t xml:space="preserve">As a wetland's surface water area expands seasonally, water velocity is often reduced due to increased friction, and material suspended in the expanding water body is more likely to be deposited. </t>
    </r>
    <r>
      <rPr>
        <i/>
        <sz val="10"/>
        <rFont val="Arial Narrow"/>
        <family val="2"/>
      </rPr>
      <t xml:space="preserve"> In calculations, is excluded automatically (cell goes blank) if wetland never has surface water during an average year. </t>
    </r>
  </si>
  <si>
    <r>
      <t xml:space="preserve">Wetlands whose shorelines have gentle slope are more likely than those with steep ones to retain sediment runoff from adjoining uplands, and are likely to have more vegetation that facilitates this. </t>
    </r>
    <r>
      <rPr>
        <i/>
        <sz val="10"/>
        <rFont val="Arial Narrow"/>
        <family val="2"/>
      </rPr>
      <t>In calculations, is excluded automatically (cell goes blank) if wetland never has surface water during an average year. Also is excluded automatically if wetland lacks open water or is &lt;0.01 ha.</t>
    </r>
  </si>
  <si>
    <r>
      <t xml:space="preserve">Wider vegetated areas provide more area for sediment particles borne in runoff to be filtered and deposited. Knutson et al. (1981) found that emergent wetlands wider than 30 feet reduced wave energy by 88% while those less than 6 feet wide were relatively ineffective in wave buffering. Many studies have shown that sediment retention is greatest in the first 5-20 ft of a buffer, that is, the most uphill portion, which is closest to potential inputs of runoff-borne sediment (Polyakov et al. 2005, White et al. 2007). However, this depends on steepness of the terrain, erodibility and infiltration capacity of the soil, ground cover, antecedent soil saturation, sediment particle size, and runoff intensity. Wider buffers are required when runoff carries finer-sized particles (e.g., clay).  </t>
    </r>
    <r>
      <rPr>
        <i/>
        <sz val="10"/>
        <rFont val="Arial Narrow"/>
        <family val="2"/>
      </rPr>
      <t>In calculations, is excluded automatically (cell goes blank) if wetland never has surface water during an average year. Also is excluded automatically if wetland lacks open water or is &lt;0.01 ha.</t>
    </r>
  </si>
  <si>
    <r>
      <t xml:space="preserve">Ponding allows more time for suspended sediment to settle out.  </t>
    </r>
    <r>
      <rPr>
        <i/>
        <sz val="10"/>
        <rFont val="Arial Narrow"/>
        <family val="2"/>
      </rPr>
      <t>In calculations, is excluded automatically (cell goes blank) if wetland never has surface water during an average year. Also is excluded automatically if wetland is &lt;0.01 ha.</t>
    </r>
  </si>
  <si>
    <r>
      <t xml:space="preserve">Wetlands that lack outlets retain all sediment that enters them, and very little is remobilized and exported downgradient over the long term.  Wetlands that connect to downslope water bodies for only part of the year may export less sediment annually than those with persistent outflow. </t>
    </r>
    <r>
      <rPr>
        <i/>
        <sz val="10"/>
        <rFont val="Arial Narrow"/>
        <family val="2"/>
      </rPr>
      <t>In calculations, is excluded automatically (cell goes blank) if wetland never has surface water during an average year.</t>
    </r>
  </si>
  <si>
    <t>If soils within a wetland are being disturbed or eroded, it is less likely the wetland will retain sediment on a net annual basis.</t>
  </si>
  <si>
    <t>Wetlands that have no outflow are likely to have only minimal effect on temperature of downslope water bodies.</t>
  </si>
  <si>
    <t>Wetlands that are not connected to downgradient waters at least seasonally have only minimal effect on temperature of those water bodies.</t>
  </si>
  <si>
    <r>
      <t xml:space="preserve">Where most of the surface water is ponded, it is more likely to be heated by the sun than if distributed in the channels or residing underground.  </t>
    </r>
    <r>
      <rPr>
        <i/>
        <sz val="10"/>
        <rFont val="Arial Narrow"/>
        <family val="2"/>
      </rPr>
      <t>In calculations, is excluded automatically (cell goes blank) if wetland never has surface water during an average year.  Also is excluded automatically if wetland is &lt;0.01 ha.</t>
    </r>
  </si>
  <si>
    <t>Open water experiences more water loss from evaporation due to wind and solar heating, and that can mean less water available to subsidize downgradient streams.</t>
  </si>
  <si>
    <t>Wetlands in regions with intrinsically large precipitation deficits may be less capable of subsidizing flow in downgradient streams.</t>
  </si>
  <si>
    <t>Wetlands that are not in riparian or floodplain locations are likely to have only minimal effect on volume of flow reaching downstream water bodies.</t>
  </si>
  <si>
    <t>Wetlands that remain frozen for longer in the spring may have more potential to subsidize flow in receiving streams as wetland ice gradually melts.</t>
  </si>
  <si>
    <t>Evapotranspiration from vegetation can represent a significant loss of water that otherwise might subsidize downstream flows.</t>
  </si>
  <si>
    <t>Wetlands in regions with persistent summer winds experience more evaporative loss of their water and thus may be less capable of subsidizing flow in downgradient streams.</t>
  </si>
  <si>
    <r>
      <t xml:space="preserve">This directly estimates the relative amount of horizontal space in which precipitation and runoff are being stored, at least temporarily. The ability of wetland water storage to reduce stream peak flows is greatest in summer and fall, where those are the driest times of year (Roulet &amp; Woo 1988, Quinton &amp; Roulet 1998). </t>
    </r>
    <r>
      <rPr>
        <i/>
        <sz val="10"/>
        <rFont val="Arial Narrow"/>
        <family val="2"/>
        <scheme val="minor"/>
      </rPr>
      <t xml:space="preserve"> In calculations, is excluded automatically (cell goes blank) if wetland never has surface water during an average year.</t>
    </r>
  </si>
  <si>
    <r>
      <t xml:space="preserve">Ponding indicates water is in storage rather than being transferred immediately downslope.  Water distributed in small pools is more subject to loss via evapotranspiration before it can exit a wetland.  </t>
    </r>
    <r>
      <rPr>
        <i/>
        <sz val="10"/>
        <rFont val="Arial Narrow"/>
        <family val="2"/>
        <scheme val="minor"/>
      </rPr>
      <t>In calculations, is excluded automatically (cell goes blank) if wetland never has surface water during an average year.  Also is excluded automatically if wetland is &lt;0.01 ha.</t>
    </r>
  </si>
  <si>
    <r>
      <t xml:space="preserve">Like a constricted outlet, vegetation and other obstacles create a "roughness" within a wetland that can slow the outflow and downstream movement of water. This is much truer if the vegetation intercepts a large proportion of the flow during high-flow periods (i.e., is not merely along an upland edge that never floods), and is tall and stiff enough to provide some resistance. However, the vegetation itself occupies space otherwise available for storing water (this effect is usually negligible). Water also takes longer to move through complex channel networks (e.g., braided or sinuous) which themselves provide additional friction. This indicator is an attempt to represent "Manning's n" which is a standard term in stream hydraulic models.  </t>
    </r>
    <r>
      <rPr>
        <i/>
        <sz val="10"/>
        <rFont val="Arial Narrow"/>
        <family val="2"/>
        <scheme val="minor"/>
      </rPr>
      <t>In calculations, is excluded automatically (cell goes blank) if wetland never has surface water during an average year.  Also is excluded automatically if no surface inflow.</t>
    </r>
  </si>
  <si>
    <r>
      <t xml:space="preserve">Wetlands that store water only temporarily or seasonally have longer periods during the year in which soils are unsaturated and thus able to briefly store or delay additional water from precipitation and runoff. Wetland connectivity is key to estimating wetland water storage: wetlands that lack an outlet (never have any outflow) store or dissipate (via evaporation or seepage) nearly all the water they receive (Spence et al. 2011).  </t>
    </r>
    <r>
      <rPr>
        <i/>
        <sz val="10"/>
        <rFont val="Arial Narrow"/>
        <family val="2"/>
        <scheme val="minor"/>
      </rPr>
      <t>In calculations, is excluded automatically (cell goes blank) if wetland never has surface water during an average year</t>
    </r>
  </si>
  <si>
    <r>
      <t xml:space="preserve">Ponded water that is open and unvegetated it is more likely to be heated by the sun.  </t>
    </r>
    <r>
      <rPr>
        <i/>
        <sz val="10"/>
        <rFont val="Arial Narrow"/>
        <family val="2"/>
      </rPr>
      <t>In calculations, is excluded automatically (cell goes blank) if wetland never has surface water during an average year.  Also is excluded automatically if wetland has no ponded water.</t>
    </r>
  </si>
  <si>
    <t>Soil temperatures are warmer for longer on south-facing slopes, and this is essential for denitrification which removes soluble N (Kim et al. 2007). However, those soils should not be dried out to less than 70% saturation by those warmer conditions (Hefting et al. 2006).</t>
  </si>
  <si>
    <t xml:space="preserve">Microbes responsible for most of the nitrate removal in wetlands thrive best at warmer soil or sediment temperatures. </t>
  </si>
  <si>
    <t>Water table levels tend to be more dynamic in marsh and swamp classes than in bog or fen wetland classes.  Dynamic water levels tend to result in greater denitrification rates.</t>
  </si>
  <si>
    <t>Upland soils are normally aerobic, whereas wetland soils are often anaerobic. Maximum denitrification occurs at the interface of aerobic and anaerobic conditions. Thus, proportionally longer (i.e., convoluted) edges should provide the most opportunity for removal of nitrate via denitrification.</t>
  </si>
  <si>
    <t>If not in a Reserve or Natural Area then cell turns blank (NULL) and is ignored in calculations rather than reducing the score.</t>
  </si>
  <si>
    <t xml:space="preserve">Low Net Annual P-PET (Precipitation minus Potential Evapotranspiration) reflects high evaporation in excess of precipitation, and that provides greater space for storing additional runoff.  However, this was modeled at only a broad scale without fully accounting for more localised factors such as wind, wetland shape, and vegetation. </t>
  </si>
  <si>
    <r>
      <t>Plants take up phosphorus from sediments (and some, from the water directly) and can facilitate long-term retention if P is transferred to roots that are not as subject as the foliage is to leaching the nutrients back into the water column. Plants also facilitate sediment deposition by slowing the water, and much phosphorus is adsorbed on that sediment so is also deposited and potentially retained.  However, their decaying foliage also frequently creates anoxic conditions that promote P release from sediments, if iron concentrations are low and aeration by currents and wind is poor (as tends to occur when emergent and submersed aquatic plants occupy most of a water body).</t>
    </r>
    <r>
      <rPr>
        <i/>
        <sz val="10"/>
        <rFont val="Arial Narrow"/>
        <family val="2"/>
      </rPr>
      <t xml:space="preserve"> In calculations, is excluded automatically (cell goes blank) if wetland never has surface water during an average year. Also is excluded automatically if wetland has no ponded water or is &lt;0.01 ha.</t>
    </r>
  </si>
  <si>
    <t xml:space="preserve">The effectiveness for retaining particulate nitrate and converting soluble nitrate and ammonium to nitrogen gas, primarily through the microbial process of denitrification, while generating little or no nitrous oxide (a potent greenhouse gas).  </t>
  </si>
  <si>
    <t>Denitrification: Labile Carbon Control [Carb]</t>
  </si>
  <si>
    <t>Bedford, B. L., M. R. Walbridge, and A. Aldous. 1999. Patterns in nutrient availability and plant diversity of temperate North American wetlands. Ecology 80:2151-2169.</t>
  </si>
  <si>
    <t>Berendse, F., N. Van Breemen, H. Rydin, A. Buttler, M. Heijmans, M. Hoosbeek, J. A. H. Lee, E. Mitchell, T. Saarinen, H. Vasander, and B. Wallén. 2001. Raised atmospheric CO2 levels and increased N deposition cause shifts in plant species composition and production in Sphagnum bogs. Global Change Biology 7.</t>
  </si>
  <si>
    <t>Clilverd, H. M., J. B. Jones, and K. Kielland. 2008. Nitrogen retention in the hyporheic zone of a glacial river in interior Alaska. Biogeochemistry 88:31–46.</t>
  </si>
  <si>
    <t>D’Amore, D. V., P. E. Hennon, P. G. Schaberg, and G. J. Hawley. 2009. Adaptation to exploit nitrate in surface soils predisposes yellow-cedar to climate-induced decline while enhancing the survival of western redcedar: A new hypothesis. Forest Ecology and Management 258:2261-2268.</t>
  </si>
  <si>
    <t>D’Amore, A., V. Hemingway, and K. Wasson. 2010. Do a threatened native amphibian and its invasive congener differ in response to human alteration of the landscape? Biological Invasions 12:145-154.</t>
  </si>
  <si>
    <t>Fellman, J. B. and D. V. D'Amore. 2007. Nitrogen and phosphorus mineralization in three wetland types in Southeast Alaska, USA. Wetlands 27:44-53.</t>
  </si>
  <si>
    <t>Gunderson, L. H., S. R. Carpenter, C. Folke, P. Olsson, and G. D. Peterson. 2006. Water RATs (resilience, adaptability, and transformability) in lake and wetland social-ecological systems. Ecology and Society 11:16.</t>
  </si>
  <si>
    <t>Hefting, M., B. Beltman, D. Karssenberg, K. Rebel, M. van Riessen, and M. Spijker. 2006. Water quality dynamics and hydrology in nitrate loaded riparian zones in the Netherlands. Environmental Pollution 139:143-156.</t>
  </si>
  <si>
    <t>Heijmans, M. M. P. D., H. Klees, W. de Visser, and F. Berendse. 2002. Response of a Sphagnum bog plant community to elevated CO2 and N supply. Plant Ecology 162:123-134.</t>
  </si>
  <si>
    <t>Heilman, P. E. 1966. Change in distribution and availability of nitrogen with forest succession on north slopes in interior Alaska. Ecology:825-831.</t>
  </si>
  <si>
    <t>Hennon, P. E., D. V. D'Amore, D. T. Witter, and M. B. Lamb. 2010. Influence of forest canopy and snow on microclimate in a declining yellow-cedar forest of Southeast Alaska. Northwest Science 84:73-87.</t>
  </si>
  <si>
    <t>Hunt, P. G., T. A. Matheny, and K. S. Ro. 2007. Nitrous oxide accumulation in soils from riparian buffers of a coastal plain watershed-carbon/nitrogen ratio control. Journal of Environmental Quality 36:1368-1376.</t>
  </si>
  <si>
    <t>Kim, I. J., S. L. Hutchinson, J. M. S. Hutchinson, and C. B. Young. 2007. Riparian ecosystem management model: sensitivity to soil, vegetation, and weather input parameters. Journal of the American Water Resources Association 43:1171-1182.</t>
  </si>
  <si>
    <t>Kroeger, K. D. and M. A. Charette. 2008. Nitrogen biogeochemistry of submarine groundwater discharge. Limnology and Oceanography 53:1025-1079.</t>
  </si>
  <si>
    <t>Li, Y. and D. H. Vitt. 1997. Patterns of retention and utilization of aerially deposited nitrogen in boreal peatlands. Ecoscience. Sainte-Foy 4:106-116.</t>
  </si>
  <si>
    <t>Mayers, P. M., S. K. Reynolds, M. D. McCutchen, and T. J. Canfield. 2005. Riparian Buffer Width, Vegetative Cover, and Nitrogen Removal Effectiveness: A Review of Current Science and Regulations, EPA/600/R-05/118. USEPA, Office of Research and Development, Washington, DC.</t>
  </si>
  <si>
    <t>Mayer, P. M., S. K. Reynolds, Jr., M. D. McCutchen, and T. J. Canfield. 2007. Meta-analysis of nitrogen removal in riparian buffers. Journal of Environmental Quality 36:1172-1180.</t>
  </si>
  <si>
    <t>Pinay, G., T. O'Keefe, R. Edwards, and R. J. Naiman. 2003. Potential denitrification activity in the landscape of a western Alaska drainage basin. Ecosystems 6:336-343.</t>
  </si>
  <si>
    <t>Shaffer, P. W. and T. L. Ernst. 1999. Distribution of soil organic matter in freshwater emergent/open water wetlands in the Portland, Oregon metropolitan area. Wetlands 19:505-516.</t>
  </si>
  <si>
    <t>Song, K., D. Liu, Z. Wang, B. Zhang, C. Jin, F. Li, and H. Liu. 2008. Land use change in Sanjiang Plain and its driving forces analysis since 1954. ACTA Georaphica Sinica-Chinese Edition 63:93.</t>
  </si>
  <si>
    <t>Zaman, M., M. L. Nguyen, F. Matheson, J. D. Blennerhassett, and B. F. Quin. 2007. Can soil amendments (zeolite or lime) shift the balance between nitrous oxide and dinitrogen emissions from pasture and wetland soils receiving urine or urea-N? Australian Journal of Soil Research 45:543-553.</t>
  </si>
  <si>
    <r>
      <t xml:space="preserve">Wetting and drying of sediments, as happens especially in wetlands with large and frequent water level fluctuations (because a wider area is subject to wetting-drying and associated aerobic-anaerobic shift), increases the loss of nitrate via denitrification. In Oregon, decreased total nitrogen in streams was associated with increased stream flashiness that had resulted from urbanization (Waite et al. 2006).  </t>
    </r>
    <r>
      <rPr>
        <i/>
        <sz val="10"/>
        <rFont val="Arial Narrow"/>
        <family val="2"/>
        <scheme val="minor"/>
      </rPr>
      <t>In calculations, is excluded automatically (cell goes blank) if wetland never has surface water during an average year, or if none of it floods only seasonally.</t>
    </r>
  </si>
  <si>
    <r>
      <t xml:space="preserve">Wider vegetated areas provide more area for biological processing of nitrate, and for nitrate adsorbed to sediment particles in runoff to be filtered and deposited. The most comprehensive and sophisticated analysis that used statistical procedures (meta-analysis) to synthesize results from over 60 peer-reviewed studies of nitrate removal by buffers in temperate climates found that widths of approximately 10 ft, 92 ft, and 367 ft are needed to achieve 50%, 75%, and 90% removal efficiencies for nitrate (Mayer et al. 2005, Mayer et al. 2007). This assumed that most inputs are through subsurface flow. When surface flow dominates (as often occurs during storms, and where subsurface storm drains have been installed around homes), buffers of 109 ft, 387 ft, and 810 ft are needed to achieve the same removal efficiencies (Mayer et al. 2005).  </t>
    </r>
    <r>
      <rPr>
        <i/>
        <sz val="10"/>
        <rFont val="Arial Narrow"/>
        <family val="2"/>
        <scheme val="minor"/>
      </rPr>
      <t>In calculations, is excluded automatically (cell goes blank) if wetland never has surface water during an average year. Also is excluded automatically if wetland lacks open water or is &lt;0.01 ha.</t>
    </r>
  </si>
  <si>
    <r>
      <t>Ponded conditions provide longer time for nitrate processing, as well as causing sediments to lose oxygen, thus creating a microclimate favorable for denitrification.</t>
    </r>
    <r>
      <rPr>
        <i/>
        <sz val="10"/>
        <rFont val="Arial Narrow"/>
        <family val="2"/>
        <scheme val="minor"/>
      </rPr>
      <t xml:space="preserve"> In calculations, is excluded automatically (cell goes blank) if wetland never has surface water during an average year. Also is excluded automatically if wetland is &lt;0.01 ha.</t>
    </r>
  </si>
  <si>
    <r>
      <t xml:space="preserve">Plants take up nitrate from sediments and can facilitate retention if N is transferred to roots that are not as subject to erosion as foliage. Plants also facilitate sediment deposition by slowing the water, and some nitrate is associated with that sediment so is also deposited and potentially retained. Perhaps most importantly, roots of some plants oxidize the anoxic sediments that surround them and this facilitates denitrification, the major process for removing soluble nitrate from water.  </t>
    </r>
    <r>
      <rPr>
        <i/>
        <sz val="10"/>
        <rFont val="Arial Narrow"/>
        <family val="2"/>
        <scheme val="minor"/>
      </rPr>
      <t>In calculations, is excluded automatically (cell goes blank) if wetland never has surface water during an average year. Also is excluded automatically if wetland has no ponded water or is &lt;0.01 ha.</t>
    </r>
  </si>
  <si>
    <r>
      <t xml:space="preserve">Greater interspersion of open water and vegetation is hypothesized to support greater nitrate removal. That is because open water areas tend to be more aerobic, whereas densely vegetated areas often are anaerobic, except where plant roots oxidize a small part of the sediment. The combination of anaerobic and aerobic areas in close proximity facilitates nitrate loss through denitrification. </t>
    </r>
    <r>
      <rPr>
        <i/>
        <sz val="10"/>
        <rFont val="Arial Narrow"/>
        <family val="2"/>
        <scheme val="minor"/>
      </rPr>
      <t>In calculations, is excluded automatically (cell goes blank) if wetland never has surface water during an average year, if no ponded water, if ponded water but no vegetation, if ponded but no open water, or if &lt;0.01 ha.</t>
    </r>
  </si>
  <si>
    <r>
      <t xml:space="preserve">Like a constricted outlet, vegetation and other obstacles create a "roughness" within a wetland that can slow the water and allow more time for biological processing of nitrate. This is much truer if the vegetation intercepts a large proportion of the flow during high-flow periods (i.e., is not merely along an upland edge that never floods). Water takes longer to move through complex channel networks (e.g., braided or sinuous) which themselves provide additional friction, thus allowing more suspended sediment and the nitrate associated with it to be deposited. Increased channel complexity also implies greater interspersion of open water and vegetation (see above) and in some cases, more hyporheic flow -- both of which favor nitrate removal. Wetlands with a sheet flow pattern often retain more nitrate than channelized systems (Morris et al. 1981, Knox et al. 2008). </t>
    </r>
    <r>
      <rPr>
        <i/>
        <sz val="10"/>
        <rFont val="Arial Narrow"/>
        <family val="2"/>
        <scheme val="minor"/>
      </rPr>
      <t>In calculations, is excluded automatically (cell goes blank) if wetland never has surface water during an average year or if no surface inflows.</t>
    </r>
  </si>
  <si>
    <r>
      <t xml:space="preserve">Wetlands that lack outlets retain or remove all nitrate that enters them. Wetlands that connect to downslope water bodies for only part of the year may export less nitrate annually than those with persistent outflow.  </t>
    </r>
    <r>
      <rPr>
        <i/>
        <sz val="10"/>
        <rFont val="Arial Narrow"/>
        <family val="2"/>
        <scheme val="minor"/>
      </rPr>
      <t>In calculations, is excluded automatically (cell goes blank) if wetland never has surface water during an average year.</t>
    </r>
  </si>
  <si>
    <r>
      <t xml:space="preserve">Narrow outlets limit water outflow from a wetland and its downstream or downslope movement, thus causing water to back up into the wetland, which allows more time for nitrate to be processed. The types of outlets described here are ones that typically are more constricted than natural channels, which usually have adjusted over time to local runoff and thus are wider relative to volume of flow received. </t>
    </r>
    <r>
      <rPr>
        <i/>
        <sz val="10"/>
        <rFont val="Arial Narrow"/>
        <family val="2"/>
        <scheme val="minor"/>
      </rPr>
      <t xml:space="preserve"> In calculations, is excluded automatically (cell goes blank) if no outlet.</t>
    </r>
  </si>
  <si>
    <r>
      <t xml:space="preserve">Many studies have highlighted the importance of subsurface (hyporheic) flow, or groundwater discharge, to denitrification rates in both riverine (Clilverd et al. 2008) and non-riverine (e.g., Kroeger &amp; Charette 2008) wetlands. However, in some areas groundwater is a significant source of nitrogen.  </t>
    </r>
    <r>
      <rPr>
        <i/>
        <sz val="10"/>
        <rFont val="Arial Narrow"/>
        <family val="2"/>
        <scheme val="minor"/>
      </rPr>
      <t>In calculations, is excluded automatically (cell goes blank) if no evidence of groundwater influx; otherwise is rated based on response in column D.</t>
    </r>
  </si>
  <si>
    <t>Amphibians require upland habitat as well as aquatic habitat. Uplands that are dominated by natural vegetation usually provide the most suitable microclimates and habitat structure. Unvegetated or artificially vegetated surfaces can inhibit movements of some species to those  upland habitats. The type of non-natural land cover that surrounds a wetland can influence dispersal success of amphibians.  Unvegetated lands are usually the least suitable.  Clearcuts may be better but perhaps still not as suitable as natural cover on soils of similar productivity. Larger contiguous tracts of nearby natural land are more likely to meet the habitat needs of dispersing amphibians than small or fragmented patches.</t>
  </si>
  <si>
    <t>Predominant Width of Vegetated Zone within Wetland</t>
  </si>
  <si>
    <r>
      <rPr>
        <sz val="10"/>
        <rFont val="Arial Narrow"/>
        <family val="2"/>
        <scheme val="minor"/>
      </rPr>
      <t>Wetland vegetation promotes water loss via evapotranspiration and increased infiltration before that runoff contributes to downgradient flooding.</t>
    </r>
    <r>
      <rPr>
        <i/>
        <sz val="10"/>
        <rFont val="Arial Narrow"/>
        <family val="2"/>
        <scheme val="minor"/>
      </rPr>
      <t xml:space="preserve">  In calculations, is excluded automatically (cell goes blank) if wetland never has surface water during an average year.  Also is excluded automatically if wetland is &lt;0.01 ha.</t>
    </r>
  </si>
  <si>
    <t>Phosphorus is often adsorbed to soils, so if soils within a wetland are being disturbed or eroded, it is less likely the wetland will retain phosphorust on a net annual basis.</t>
  </si>
  <si>
    <t xml:space="preserve">If wetland not intersected by a mapped riparian area or floodplain, then cell turns blank (NULL) and is ignored in calculations rather than reducing the indicator score. </t>
  </si>
  <si>
    <t>VwidthAbs4</t>
  </si>
  <si>
    <t>SoilDisturb4</t>
  </si>
  <si>
    <t>Millar, J. B. 1971. Shoreline-area ratio as a factor in rate of water loss from small sloughs. Journal of Hydrology 14:259-284.</t>
  </si>
  <si>
    <t>Wetlands with a large Perimeter-Area Ratio have been reported to lose water faster via evapotranspiration (e.g., Millar 1971), thus providing new capacity for storing water more quickly.</t>
  </si>
  <si>
    <t>Although ice represents stored water, ice -- when it freezes all the waty to the bottom of a wetland or water body -- also forms a temporarily impervious barrier to infiltration.  Water temporarily stored by infiltration and groundwater recharge would otherwise be mostly unavailable as a contributor to downslope flooding.  During spring runoff, the volume of liquid water (runoff) that moves across the top of ice-covered wetlands (which are slower than uplands to thaw completely) and thus is slowed only slightly may be greater than the amount of fall and winter precipitation stored as ice (and eventually as infiltrate) within the wetland.</t>
  </si>
  <si>
    <t>Wetlands with large perimeter-to-area ratio tend to lose more water to evapotranspiration (Millar 1971) and so are less able to subsidize downstream flows.</t>
  </si>
  <si>
    <t>Pearl, C., M. Adams, N. Leuthold, and R. Bury. 2005. Amphibian occurrence and aquatic invaders in a changing landscape: implications for wetland mitigation in the Willamette Valley, Oregon, USA. Wetlands 25:76-88.</t>
  </si>
  <si>
    <t>Petranka, J. and E. Doyle. 2010. Effects of road salts on the composition of seasonal pond communities: can the use of road salts enhance mosquito recruitment? Aquatic Ecology 44:155-166.</t>
  </si>
  <si>
    <t>Stevens, C. E., C. A. Paszkowski, and G. J. Scrimgeour. 2006. Older is better: Beaver ponds on boreal streams as breeding habitat for the wood frog. Journal of Wildlife Management 70:1360-1371.</t>
  </si>
  <si>
    <r>
      <t>Sanzo, D. and S. J. Hecnar. 2006. Effects of road de-icing salt (NaCl) on larval wood frogs (</t>
    </r>
    <r>
      <rPr>
        <i/>
        <sz val="10"/>
        <rFont val="Arial Narrow"/>
        <family val="2"/>
      </rPr>
      <t>Rana sylvatica</t>
    </r>
    <r>
      <rPr>
        <sz val="10"/>
        <rFont val="Arial Narrow"/>
        <family val="2"/>
      </rPr>
      <t>). Environmental Pollution 140:247-256.</t>
    </r>
  </si>
  <si>
    <r>
      <t xml:space="preserve">Larson, D. L., S. McDonald, A. J. Fivizzani, W. E. Newton, and S. J. Hamilton. 1998. Effects of the herbicide atrazine on </t>
    </r>
    <r>
      <rPr>
        <i/>
        <sz val="10"/>
        <rFont val="Arial Narrow"/>
        <family val="2"/>
      </rPr>
      <t>Ambystoma tigrinum</t>
    </r>
    <r>
      <rPr>
        <sz val="10"/>
        <rFont val="Arial Narrow"/>
        <family val="2"/>
      </rPr>
      <t xml:space="preserve"> metamorphosis: Duration, larval growth, and hormonal response. Physiological Zoology 71:671-679.</t>
    </r>
  </si>
  <si>
    <t>Pollet, I. and L. I. Bendell-Young. 2000. Amphibians as indicators of wetland quality in wetlands forme from oil sands effluent. Environmental Toxicology and Chemistry 19:2589-2597.</t>
  </si>
  <si>
    <t>Brown, J. 2007. Groundwater and Biodiversity Conservation.  in: A. Wyers, A. Aldous, and L. Bach, editors. A Methods Guide for Integrating Groundwater Needs of Ecosystems and Species into Conservation Plans in the Pacific Northwest. The Nature Conservancy, Portland, OR.</t>
  </si>
  <si>
    <t>Populations of some amphibians (e.g., four-toed salamander) seem to thrive best in fishless wetlands. Predatory fish (especially, exotic species) can cause extirpations of native species (Pearl et al. 2005). However, wood frogs in Alberta foothill wetlands may be relatively unharmed if the fish that are present are only native (not stocked) species (Schank et al. 2011).</t>
  </si>
  <si>
    <t>Complex microtopography provides many suitable microclimates important to survival of adult amphibians during the late summer, fall, and winter (e.g., Browne &amp; Pazkowski 2010).</t>
  </si>
  <si>
    <r>
      <t>Langhans, M., B. Peterson, A. Walker, G. R. Smith, and J. E. Rettig. 2009. Effects of salinity on survivorship of wood frog (</t>
    </r>
    <r>
      <rPr>
        <i/>
        <sz val="10"/>
        <rFont val="Arial Narrow"/>
        <family val="2"/>
        <scheme val="minor"/>
      </rPr>
      <t>Rana sylvatica</t>
    </r>
    <r>
      <rPr>
        <sz val="10"/>
        <rFont val="Arial Narrow"/>
        <family val="2"/>
        <scheme val="minor"/>
      </rPr>
      <t>) tadpoles. Journal of Freshwater Ecology 24:335-337.</t>
    </r>
  </si>
  <si>
    <r>
      <t>Browne, C. L., and C. A. Paszkowski. 2010. Hibernation sites of western toads (</t>
    </r>
    <r>
      <rPr>
        <i/>
        <sz val="10"/>
        <rFont val="Arial Narrow"/>
        <family val="2"/>
      </rPr>
      <t>Anaxyrus boreas</t>
    </r>
    <r>
      <rPr>
        <sz val="10"/>
        <rFont val="Arial Narrow"/>
        <family val="2"/>
      </rPr>
      <t>): Characterization and management implications. Herpetological Conservation and Biology 5.1:49-63.</t>
    </r>
  </si>
  <si>
    <t>Arnold, T. W., L. M. Craig-Moore, L. M. Armstrong, D. W. Howerter, J. H. Devries, B. L. Joynt, R. B. Emery, and M. G. Anderson. 2007. Waterfowl use of dense nesting cover in the Canadian Parklands. Journal of Wildlife Management 71:2542-2549.</t>
  </si>
  <si>
    <t>Baschuk, M. 2010. Effects of water-level management on the abundance and habitat use of waterfowl and marsh birds in the Saskatchewan River Delta, Manitoba, Canada. Master's Thesis. University of Manitoba, Manitoba, Canada.</t>
  </si>
  <si>
    <t>Baschuk, M. S., N. Koper, D. A. Wrubleski, and G. Goldsborough. 2012. Effects of water depth, cover and food resources on habitat use of marsh birds and waterfowl in boreal wetlands of Manitoba, Canada. Waterbirds 35:44-55.</t>
  </si>
  <si>
    <t>Bayley, S. E., A. S. Wong, and J. E. Thompson. 2013. Effects of agricultural encroachment and drought on wetlands and shallow lakes in the boreal transition zone of Canada. Wetlands 33:17-28.</t>
  </si>
  <si>
    <r>
      <t>Bromley, C. K. and G.A. Hood. 2013. Beavers (</t>
    </r>
    <r>
      <rPr>
        <i/>
        <sz val="10"/>
        <rFont val="Arial Narrow"/>
        <family val="2"/>
      </rPr>
      <t>Castor canadensis</t>
    </r>
    <r>
      <rPr>
        <sz val="10"/>
        <rFont val="Arial Narrow"/>
        <family val="2"/>
      </rPr>
      <t>) facilitate early access by Canada geese (</t>
    </r>
    <r>
      <rPr>
        <i/>
        <sz val="10"/>
        <rFont val="Arial Narrow"/>
        <family val="2"/>
      </rPr>
      <t>Branta canadensis</t>
    </r>
    <r>
      <rPr>
        <sz val="10"/>
        <rFont val="Arial Narrow"/>
        <family val="2"/>
      </rPr>
      <t>) to nesting habitat and areas of open water in Canada's boreal wetlands. Mammalian Biology 78(1):73-77.</t>
    </r>
  </si>
  <si>
    <t>Forcey, G. M., W. E. Thogmartin, G. M. Linz, W. J. Bleier, and P. C. McKann. 2011. Land use and climate influences on waterbirds in the Prairie Potholes. Journal of Biogeography 38:1694-1707.</t>
  </si>
  <si>
    <t>Horn, D. J., M. L. Phillips, R. R. Koford, W. R. Clark, M. A. Sovada, and R. J. Greenwood. 2005. Landscape composition, patch size, and distance to edges: Interactions affecting duck reproductive success. Ecological Applications 15:1367-1376.</t>
  </si>
  <si>
    <t>Kaminski, R. M. and H. H. Prince. 1981. Dabbling duck and aquatic macro-invertebrate responses to manipulated wetland habitat. Journal of Wildlife Management 45:1–15.</t>
  </si>
  <si>
    <t>Naugle, D. E., K. F. Higgins, M. E. Estey, R. R. Johnson, and S. M. Nusser. 2000. Local and landscape-level factors influencing black tern habitat suitability. Journal of Wildlife Management 64:253-260.</t>
  </si>
  <si>
    <t>Rehm, E. M. and G. A. Baldassarre. 2007. The influence of interspersion on marsh bird abundance in New York. Wilson Journal of Ornithology 119:648-654.</t>
  </si>
  <si>
    <t>Thompson, S. J., T. W. Arnold, and S. Vacek. 2012. Impact of encroaching woody vegetation on nest success of upland nesting waterfowl. Journal of Wildlife Management 76:1635-1642.</t>
  </si>
  <si>
    <t>Murkin, H. R., R. M. Kaminski, and R. D. Titman. 1982. Responses by dabbling ducks and aquatic invertebrates to an experimentally manipulated cattail marsh. Canadian Journal of Zoology 60:2324-2332.</t>
  </si>
  <si>
    <t>Different waterbird species prefer different water depths, so a diversity of depth classes in a wetland is likely to support a more varied mix of waterbirds (Baschuk 2010, Baschuk et al. 2012).</t>
  </si>
  <si>
    <t>HU</t>
  </si>
  <si>
    <t>*</t>
  </si>
  <si>
    <t>Results for this Wetland Assessment Area (AA):</t>
  </si>
  <si>
    <t xml:space="preserve">AVERAGE(ThruFlo1, Gradient1, Girreg1, Constric1, IsoDry1, vwidth1) </t>
  </si>
  <si>
    <t>Through Flow Pattern</t>
  </si>
  <si>
    <r>
      <t>bumps into</t>
    </r>
    <r>
      <rPr>
        <b/>
        <sz val="10"/>
        <rFont val="Arial Narrow"/>
        <family val="2"/>
      </rPr>
      <t xml:space="preserve"> tree trunks and/or shrub stems </t>
    </r>
    <r>
      <rPr>
        <sz val="10"/>
        <rFont val="Arial Narrow"/>
        <family val="2"/>
      </rPr>
      <t>but mostly remains in fairly straight channels.</t>
    </r>
  </si>
  <si>
    <r>
      <t>bumps into</t>
    </r>
    <r>
      <rPr>
        <b/>
        <sz val="10"/>
        <rFont val="Arial Narrow"/>
        <family val="2"/>
      </rPr>
      <t xml:space="preserve"> herbaceous </t>
    </r>
    <r>
      <rPr>
        <sz val="10"/>
        <rFont val="Arial Narrow"/>
        <family val="2"/>
      </rPr>
      <t>vegetation and mostly spreads throughout, or is in widely  meandering, multi-branched, or braided channels.</t>
    </r>
  </si>
  <si>
    <r>
      <t>bumps into</t>
    </r>
    <r>
      <rPr>
        <b/>
        <sz val="10"/>
        <rFont val="Arial Narrow"/>
        <family val="2"/>
      </rPr>
      <t xml:space="preserve"> herbaceous </t>
    </r>
    <r>
      <rPr>
        <sz val="10"/>
        <rFont val="Arial Narrow"/>
        <family val="2"/>
      </rPr>
      <t>vegetation but mostly remains in fairly straight channels.</t>
    </r>
  </si>
  <si>
    <t>Interspersion of Robust Emergents &amp; Open Water</t>
  </si>
  <si>
    <t>AVERAGE(Provis21, Visibility, Core1PU, Core2PU, RecreaPot, BMPsoilsPU, BMPwildPU, Wells21)</t>
  </si>
  <si>
    <t>10*AVERAGE(Ownership, Invest21, Access, Use, Wet)</t>
  </si>
  <si>
    <r>
      <t>For an average person, walking is physically possible</t>
    </r>
    <r>
      <rPr>
        <u/>
        <sz val="10"/>
        <rFont val="Arial Narrow"/>
        <family val="2"/>
      </rPr>
      <t xml:space="preserve"> in</t>
    </r>
    <r>
      <rPr>
        <sz val="10"/>
        <rFont val="Arial Narrow"/>
        <family val="2"/>
      </rPr>
      <t xml:space="preserve"> (not just near) &gt;5% of the AA during most of the growing season, e.g., free of deep water and dense shrub thickets.</t>
    </r>
  </si>
  <si>
    <t>Specific Functions:</t>
  </si>
  <si>
    <t>Normalized Function Scores (ABWRET-A):</t>
  </si>
  <si>
    <t>Data  x  Weight</t>
  </si>
  <si>
    <t>Weight</t>
  </si>
  <si>
    <r>
      <t xml:space="preserve">This directly estimates the relative amount of vertical space in which precipitation and runoff are being stored, at least temporarily (Minke et al. 2010).  </t>
    </r>
    <r>
      <rPr>
        <i/>
        <sz val="10"/>
        <rFont val="Arial Narrow"/>
        <family val="2"/>
        <scheme val="minor"/>
      </rPr>
      <t>In calculations, is excluded automatically (cell goes blank) if wetland never has surface water during an average year.</t>
    </r>
  </si>
  <si>
    <t>Minke, A. G., C. J. Westbrook, and G. van der Kamp. 2010. Simplified volume-area-depth method for estimating water storage of prairie potholes. Wetlands 30:541-551.</t>
  </si>
  <si>
    <r>
      <t xml:space="preserve">Narrow outlets limit water outflow from a wetland and its downstream or downslope movement, thus increasing storage (Carter et al. 1979). Snowmelt and precipitation tend to be exported downstream more quickly from wetlands that have been drained (Lindsay et al. 2004). The types of outlets described here are ones that typically are more constricted than natural channels, which usually have adjusted over time to local runoff and thus are wider relative to volume of flow received.  </t>
    </r>
    <r>
      <rPr>
        <i/>
        <sz val="10"/>
        <rFont val="Arial Narrow"/>
        <family val="2"/>
        <scheme val="minor"/>
      </rPr>
      <t>In calculations, is excluded automatically (cell goes blank) if no outlet.</t>
    </r>
  </si>
  <si>
    <t>Lindsay, J. B., I. F. Creed, and F. D. Beall. 2004. Drainage basin morphometrics for depressional landscapes. Water Resources Research 40.</t>
  </si>
  <si>
    <t>Biswas, A., H. W. Chau, A. K. Bedard-Haughn, and B. C. Si. 2012. Factors controlling soil water storage in the hummocky landscape of the Prairie Pothole Region of North America. Canadian Journal of Soil Science 92:649-663.</t>
  </si>
  <si>
    <t>Gala, T. S., R. J. Trueman, and S. Carlyle. 2012. Soil hydrodynamics and controls in prairie potholes of central Canada. Area 44:305-316.</t>
  </si>
  <si>
    <r>
      <t xml:space="preserve">Wetlands fed constantly by groundwater are likely to have only limited subsurface storage space for storing additional precipitation (Biswas et al. 2012, Gala et al. 2012).  However, they may remain unfrozen for shorter periods. </t>
    </r>
    <r>
      <rPr>
        <i/>
        <sz val="10"/>
        <rFont val="Arial Narrow"/>
        <family val="2"/>
        <scheme val="minor"/>
      </rPr>
      <t xml:space="preserve"> In calculations, is excluded automatically (cell goes blank) if no strong evidence of groundwater (last choice).</t>
    </r>
  </si>
  <si>
    <t>Janisch, J. E., S. M. Wondzell, and W. J. Ehinger. 2012. Headwater stream temperature: Interpreting response after logging, with and without riparian buffers, Washington, USA. Forest Ecology and Management 270:302-313.</t>
  </si>
  <si>
    <t>Caldwell, J. E., K. Doughty, and K. Sullivan. 1991. Evaluation of downstream temperature effects of type 4/5 waters.Timber/Fish/Wildlife Rep. No. TFW -WQ5-91-004. Washington Department of Natural Resources, Olympia, WA.</t>
  </si>
  <si>
    <t>Lewis, D., M. J. Singer, R. A. Dahlgren, and K. W. Tate. 2000. Hydrology in a California oak woodland watershed: a 17-year study. Journal of Hydrology 240:106-117.</t>
  </si>
  <si>
    <t>Groundwater discharging into wetlands supports a wetland's capacity to cool surface runoff during summer because groundwater in most cases is cooler than surface water during that time (Mellina et al. 2002). For example, in higher-gradient intermittent headwater streams, the cooling effect of groundwater may be greater than that of shade (Janisch et al. 2012). Cooling effects may extend 50 m to 4 km downstream from an individual source of cooler water, depending on the temperature and discharge rate from the source relative to those of the receiving waters (Caldwell et al. 1991, Lewis et al. 2000).</t>
  </si>
  <si>
    <r>
      <t xml:space="preserve">Wetlands with greater water depth overall tend to have cooler outflows (depending on elevation of the outlet) because water depth provides insulation from solar warming. </t>
    </r>
    <r>
      <rPr>
        <i/>
        <sz val="10"/>
        <rFont val="Arial Narrow"/>
        <family val="2"/>
      </rPr>
      <t>In calculations, is excluded automatically (cell goes blank) if wetland never has surface water during an average year. Also is excluded automatically if wetland is &lt;0.01 ha.</t>
    </r>
  </si>
  <si>
    <r>
      <t xml:space="preserve">Suspended sediment is more likely to be filtered and stranded in vegetation if water levels fluctuate. However, in some soil types, large water level fluctuations (especially if artificially induced) cause erosion that results in more sediment being exported than retained. </t>
    </r>
    <r>
      <rPr>
        <i/>
        <sz val="10"/>
        <rFont val="Arial Narrow"/>
        <family val="2"/>
      </rPr>
      <t>In calculations, is excluded automatically (cell goes blank) if wetland never has surface water during an average year or if surface water is permanent (i.e., must have at least a seasonal-only zone in order to have water fluctuation).</t>
    </r>
  </si>
  <si>
    <r>
      <t xml:space="preserve">As the proportionate area of emergent and other aquatic plants increases, current velocity may be reduced (depending on the distribution of the plants relative to flow paths), and a larger proportion of the sediment may be intercepted, particularly if the wetland is not narrow. </t>
    </r>
    <r>
      <rPr>
        <i/>
        <sz val="10"/>
        <rFont val="Arial Narrow"/>
        <family val="2"/>
      </rPr>
      <t>In calculations, is excluded automatically (cell goes blank) if wetland never has surface water during an average year. Also is excluded automatically if wetland has no ponded water or is &lt;0.01 ha.</t>
    </r>
  </si>
  <si>
    <r>
      <t xml:space="preserve">Greater interspersion of open water and vegetation should allow more contact between plants and moving sediment-bearing water, resulting in greater deposition of suspended sediment. </t>
    </r>
    <r>
      <rPr>
        <i/>
        <sz val="10"/>
        <rFont val="Arial Narrow"/>
        <family val="2"/>
      </rPr>
      <t>In calculations, is excluded automatically (cell goes blank) if wetland never has surface water during an average year, if no ponded water, if ponded water but no vegetation, or if ponded but no open water.</t>
    </r>
  </si>
  <si>
    <r>
      <t xml:space="preserve">Like a constricted outlet, vegetation and other obstacles create a "roughness" within a wetland that can slow the water and allow sediment particles to be deposited. This is much truer if the vegetation intercepts a large proportion of the flow during high-flow periods (i.e., is not merely along an upland edge that never floods). Although tall and stiff vegetation provides the most resistance and thus sedimentation, it often tends to have less ground cover, so the net effect is uncertain in some wetlands. Water takes longer to move through complex channel networks (e.g., braided or sinuous) which themselves provide additional friction, thus allowing more suspended sediment to be deposited. The sinuosity is as much the result of sedimentation-erosion dynamics as it is the cause of them. Wetlands with a sheet flow pattern often retain more suspended solids than channelized systems (Morris et al. 1981). </t>
    </r>
    <r>
      <rPr>
        <i/>
        <sz val="10"/>
        <rFont val="Arial Narrow"/>
        <family val="2"/>
      </rPr>
      <t>In calculations, is excluded automatically (cell goes blank) if wetland never has surface water during an average year or if no surface inflows.</t>
    </r>
  </si>
  <si>
    <r>
      <t xml:space="preserve">Narrow outlets limit water outflow from a wetland and its downstream or downslope movement, thus causing water to back up into the wetland, which allows more time for suspended sediments to be deposited. The types of outlets described here are ones that typically are more constricted than natural channels. Natural channels usually have adjusted over time to local runoff and thus tend to be wider relative to volume of flow received. A restricting outlet in wetlands can reduce export of sediment (Amatya et al. 2003). </t>
    </r>
    <r>
      <rPr>
        <i/>
        <sz val="10"/>
        <rFont val="Arial Narrow"/>
        <family val="2"/>
      </rPr>
      <t>In calculations, is excluded automatically (cell goes blank) if no outlet.  In calculations, is excluded automatically (cell goes blank) if wetland has no surface water outlet.</t>
    </r>
  </si>
  <si>
    <r>
      <t xml:space="preserve">Wider vegetated areas provide more area for phosphorus adsorbed to sediment particles in runoff to be filtered and deposited. Where phosphorus is mainly attached to sediment (as often it is), then buffer widths sufficient for sediment retention (generally 10-30 ft) may be almost as effective for retaining phosphorus (White et al. 2007). But if phosphorus is mostly in dissolved form (orthophosphate, or soluble reactive phosphorus), then vegetated buffers may need to be very large or may not be effective at all (Prepas et al. 2001, Hoffman et al. 2009). </t>
    </r>
    <r>
      <rPr>
        <i/>
        <sz val="10"/>
        <rFont val="Arial Narrow"/>
        <family val="2"/>
      </rPr>
      <t>In calculations, is excluded automatically (cell goes blank) if wetland never has surface water during an average year, or no open water, or if wetland is &lt;0.01 ha..</t>
    </r>
  </si>
  <si>
    <r>
      <t xml:space="preserve">Greater interspersion of open water and vegetation is hypothesized to support greater sediment and phosphorus removal. That is because plants assist the deposition of suspended sediment which contains P, while open water areas tend to be more aerobic which immobilizes P in the deposited sediment. </t>
    </r>
    <r>
      <rPr>
        <i/>
        <sz val="10"/>
        <rFont val="Arial Narrow"/>
        <family val="2"/>
      </rPr>
      <t>In calculations, is excluded automatically (cell goes blank) if wetland never has surface water during an average year, if no ponded water, if ponded water but no vegetation, or if ponded but no open water.</t>
    </r>
  </si>
  <si>
    <r>
      <t xml:space="preserve">A proliferation of algae and floating aquatics can indicate that the wetland is receiving more nutrients than it is capable of processing effectively.  These non-rooted plants do not oxygenate the sediments, they take up and store nutrients only briefly, and their die-offs create anoxic conditions that mobilize phosphorus temporarily retained in sediments. In the calculations, abundant algae reduces the score but absence of blooms does not increase it. </t>
    </r>
    <r>
      <rPr>
        <i/>
        <sz val="10"/>
        <rFont val="Arial Narrow"/>
        <family val="2"/>
      </rPr>
      <t>In calculations, is excluded automatically (cell goes blank) if wetland never has surface water during an average year, or if wetland is &lt;0.01 ha.</t>
    </r>
  </si>
  <si>
    <r>
      <t xml:space="preserve">Like a constricted outlet, vegetation and other obstacles create a "roughness" within a wetland that can slow the water and allow phosphorus adsorbed to sediment particles to be deposited. This is much truer if the vegetation intercepts a large proportion of the flow during high-flow periods (i.e., is not merely along an upland edge that never floods). Although tall and stiff vegetation provides the most resistance and thus may be more effective at allowing sediment to be deposited, it often tends to have less ground cover, so the net effect is uncertain in some wetlands. Water takes longer to move through complex channel networks (e.g., braided or sinuous) which themselves provide additional friction, thus allowing more suspended sediment and the phosphorus associated with it to be deposited. Wetlands with a sheet flow pattern often retain more total phosphorus than channelized systems (Morris et al. 1981, Knox et al. 2008). </t>
    </r>
    <r>
      <rPr>
        <i/>
        <sz val="10"/>
        <rFont val="Arial Narrow"/>
        <family val="2"/>
      </rPr>
      <t>In calculations, is excluded automatically (cell goes blank) if wetland never has surface water during an average year or if no surface inflows.</t>
    </r>
  </si>
  <si>
    <r>
      <t xml:space="preserve">Wetlands that lack outlets retain all phosphorus that enters them. Wetlands that connect to downslope water bodies for only part of the year may export less phosphorus annually than those with persistent outflow. </t>
    </r>
    <r>
      <rPr>
        <i/>
        <sz val="10"/>
        <rFont val="Arial Narrow"/>
        <family val="2"/>
      </rPr>
      <t>In calculations, is excluded automatically (cell goes blank) if wetland never has surface water during an average year.</t>
    </r>
  </si>
  <si>
    <r>
      <t xml:space="preserve">Narrow outlets limit water outflow from a wetland and its downstream or downslope movement, thus causing water to back up into the wetland, which allows more time for sediments to be deposited and phosphorus to be processed. The types of outlets described here are ones that typically are more constricted than natural channels, which usually have adjusted over time to local runoff and thus are wider relative to volume of flow received. A restricting outlet in wetlands can reduce export of phosphorus (Amatya et al. 2003). </t>
    </r>
    <r>
      <rPr>
        <i/>
        <sz val="10"/>
        <rFont val="Arial Narrow"/>
        <family val="2"/>
      </rPr>
      <t>In calculations, is excluded automatically (cell goes blank) if no outlet.</t>
    </r>
  </si>
  <si>
    <t>Plants take up nitrate from sediments and can facilitate retention if N is transferred to roots that are not as subject to erosion as foliage. Plants also facilitate sediment deposition by slowing the water, and some nitrate is associated with that sediment so is also deposited and potentially retained. Perhaps most importantly, roots of some plants oxidize the anoxic sediments that surround them and this facilitates denitrification, the major process for removing soluble nitrate from water.</t>
  </si>
  <si>
    <t>Wetland vegetation is a primary source of the organic matter that is subject to export from wetlands.</t>
  </si>
  <si>
    <r>
      <t xml:space="preserve">Persistent surface water is essential to resident fish in isolated wetlands, and is important to resident fish even in wetlands that connect seasonally to other water bodies. </t>
    </r>
    <r>
      <rPr>
        <i/>
        <sz val="10"/>
        <rFont val="Arial Narrow"/>
        <family val="2"/>
      </rPr>
      <t>In calculations, is excluded automatically (cell goes blank) if wetland never has surface water during an average year.</t>
    </r>
    <r>
      <rPr>
        <sz val="10"/>
        <rFont val="Arial Narrow"/>
        <family val="2"/>
      </rPr>
      <t xml:space="preserve"> </t>
    </r>
  </si>
  <si>
    <r>
      <t xml:space="preserve">Shade helps maintain stable water temperatures favorable to resident fish. Vegetation associated with shading increases the availability of terrestrial insects that fall off the shading vegetation and into waters where they are fed upon by fish. However, shade also can reduce algal biomass and thus the abundance of aquatic insects fed upon by some resident fish. </t>
    </r>
    <r>
      <rPr>
        <i/>
        <sz val="10"/>
        <rFont val="Arial Narrow"/>
        <family val="2"/>
      </rPr>
      <t>In calculations, is excluded automatically (cell goes blank) if wetland never has surface water during an average year or if water is present only seasonally.</t>
    </r>
  </si>
  <si>
    <r>
      <t xml:space="preserve">Even if not connected to other water bodies, lakes are used extensively by resident fish, and lakeside wetlands provide shelter, rich feeding areas, and substrate for spawning by some species. </t>
    </r>
    <r>
      <rPr>
        <i/>
        <sz val="10"/>
        <rFont val="Arial Narrow"/>
        <family val="2"/>
      </rPr>
      <t>In calculations, is excluded automatically (cell goes blank) if wetland never has surface water during an average year or if water is present only seasonally.  If condition not met, then ignored in calculations rather than being counted as a negative.</t>
    </r>
  </si>
  <si>
    <r>
      <t xml:space="preserve">Most resident fish spend much of their time in deeper water because of the cover it provides. Wetlands with deeper water provide more habitat space. </t>
    </r>
    <r>
      <rPr>
        <i/>
        <sz val="10"/>
        <rFont val="Arial Narrow"/>
        <family val="2"/>
      </rPr>
      <t>In calculations, is excluded automatically (cell goes blank) if wetland never has surface water during an average year. Also is excluded automatically if wetland is &lt;0.01 ha.</t>
    </r>
  </si>
  <si>
    <r>
      <t>Large woody debris helps protect young fish from aerial predators and provides cooler water preferred by salmonids.</t>
    </r>
    <r>
      <rPr>
        <i/>
        <sz val="10"/>
        <rFont val="Arial Narrow"/>
        <family val="2"/>
      </rPr>
      <t xml:space="preserve"> In calculations, is excluded automatically (cell goes blank) if wetland never has surface water during an average year. Also is excluded automatically if wetland lacks open water or is &lt;0.01 ha.</t>
    </r>
  </si>
  <si>
    <r>
      <t>A mix of accessible ponded and flowing water is important to many fish species.</t>
    </r>
    <r>
      <rPr>
        <i/>
        <sz val="10"/>
        <rFont val="Arial Narrow"/>
        <family val="2"/>
      </rPr>
      <t xml:space="preserve"> In calculations, is excluded automatically (cell goes blank) if wetland is &lt;0.01 ha.</t>
    </r>
  </si>
  <si>
    <r>
      <t xml:space="preserve">Greater interspersion of open water with vegetation provides resident fish with greater access to food sources, such as insects falling off emergent plants. </t>
    </r>
    <r>
      <rPr>
        <i/>
        <sz val="10"/>
        <rFont val="Arial Narrow"/>
        <family val="2"/>
      </rPr>
      <t>In calculations, is excluded automatically (cell goes blank) if no ponded water, if ponded water but no vegetation, if ponded but no open water, or if &lt;0.01 ha.</t>
    </r>
  </si>
  <si>
    <r>
      <t xml:space="preserve">Although simple presence of fish does not necessarily indicate optimal habitat, their presence suggests that habitat suitability is at least minimal. </t>
    </r>
    <r>
      <rPr>
        <i/>
        <sz val="10"/>
        <rFont val="Arial Narrow"/>
        <family val="2"/>
      </rPr>
      <t>Is excluded from calculations (cell goes blank) automatically if wetland is &lt;0.01 ha.</t>
    </r>
  </si>
  <si>
    <r>
      <t>Wetlands in which surface water persists longer are capable of supporting a wider variety of invertebrates, e.g., those that require many months or years to complete their life cycle, as well as those that mature more rapidly. Thus, wetlands with a proportionately large extent of persistent water may benefit a wide range of aquatic invertebrates.  However, even wetlands that remain dry for years before reflooding can support aquatic invertebrates that have dormant eggs that remain viable during drought.  Reflooded wetlands also are quickly recolonised by flying aquatic insects.</t>
    </r>
    <r>
      <rPr>
        <i/>
        <sz val="10"/>
        <rFont val="Arial Narrow"/>
        <family val="2"/>
        <scheme val="minor"/>
      </rPr>
      <t xml:space="preserve"> In calculations, is excluded automatically (cell goes blank) if wetland never has surface water during an average year. </t>
    </r>
  </si>
  <si>
    <r>
      <t xml:space="preserve">The parts of a wetland that are inundated only seasonally may contain water long enough for many invertebrates to complete their life cycle, while providing fresh food resources (e.g., plant litter). They also tend to be shallower and less deficient in dissolved oxygen, making them suitable for a wider range of species. Seasonal fluctuations release nutrients bound up in wetland sediments, and stimulate the growth of new plants whose seeds have been dormant.  However, some invertebrate taxa, such as those without winged adult stages living in isolated wetlands (bog pools), may not survive prolonged desiccation. </t>
    </r>
    <r>
      <rPr>
        <i/>
        <sz val="10"/>
        <rFont val="Arial Narrow"/>
        <family val="2"/>
        <scheme val="minor"/>
      </rPr>
      <t>In calculations, is excluded automatically (cell goes blank) if wetland never has surface water during an average year.</t>
    </r>
  </si>
  <si>
    <r>
      <t xml:space="preserve">Provided that they hold surface water for several weeks, shallow areas support greater primary production, support higher vascular plant densities, and consequently greater invertebrate production. </t>
    </r>
    <r>
      <rPr>
        <i/>
        <sz val="10"/>
        <rFont val="Arial Narrow"/>
        <family val="2"/>
        <scheme val="minor"/>
      </rPr>
      <t>In calculations, is excluded automatically (cell goes blank) if wetland never has surface water during an average year. Also is excluded automatically if wetland is &lt;0.01 ha.</t>
    </r>
  </si>
  <si>
    <r>
      <t xml:space="preserve">Different invertebrate groups thrive at different water depths in boreal wetlands (Corcoran et al. 2009). Thus, a variety of depths may promote greater invertebrate richness for the wetland as a whole. </t>
    </r>
    <r>
      <rPr>
        <i/>
        <sz val="10"/>
        <rFont val="Arial Narrow"/>
        <family val="2"/>
        <scheme val="minor"/>
      </rPr>
      <t>In calculations, is excluded automatically (cell goes blank) if wetland never has surface water during an average year. Also is excluded automatically if wetland is &lt;0.01 ha.</t>
    </r>
  </si>
  <si>
    <r>
      <t xml:space="preserve">Emergent and submerged vegetation typically hosts extensive growths of epiphytic algae, which along with the supporting herbaceous plants, provide food and cover for a wide variety of invertebrates.  Intermediate cover conditions allow more light penetration of the water column, higher algal productivity, greater oxygenation, and thus tend to support a wide variety of invertebrate groups. </t>
    </r>
    <r>
      <rPr>
        <i/>
        <sz val="10"/>
        <rFont val="Arial Narrow"/>
        <family val="2"/>
        <scheme val="minor"/>
      </rPr>
      <t>In calculations, is excluded automatically (cell goes blank) if wetland never has surface water during an average year or has no ponded water or is &lt;0.01 ha.</t>
    </r>
  </si>
  <si>
    <r>
      <t xml:space="preserve">Greater invertebrate diversity overall may be supported by wetlands with a relatively even mix of open water and vegetation, interspersed throughout. Such conditions reflect a variety of light, temperature, and oxygen regimes as well as edge habitats (ecotones) that together provide more niches for invertebrates. </t>
    </r>
    <r>
      <rPr>
        <i/>
        <sz val="10"/>
        <rFont val="Arial Narrow"/>
        <family val="2"/>
        <scheme val="minor"/>
      </rPr>
      <t>In calculations, is excluded automatically (cell goes blank) if wetland never has surface water during an average year, if no ponded water, if ponded water but no vegetation, if ponded but no open water, or if &lt;0.01 ha.</t>
    </r>
  </si>
  <si>
    <r>
      <t xml:space="preserve">Diffuse flow paths and large spatial complexity of channels within a wetland support a wider variety of microhabitats for invertebrates, so should result in greater species richness. </t>
    </r>
    <r>
      <rPr>
        <i/>
        <sz val="10"/>
        <rFont val="Arial Narrow"/>
        <family val="2"/>
        <scheme val="minor"/>
      </rPr>
      <t>In calculations, is excluded automatically (cell goes blank) if wetland never has surface water during an average year or if no surface inflows.</t>
    </r>
  </si>
  <si>
    <r>
      <t>For invertebrates, groundwater provides a relatively steady input of nutrients that supports algal production. It also provides relatively warm temperatures and helps sustain low flows, thus increasing annual production of invertebrates (Brown et al. 2007).  However, where underlying geologic strata are iron-rich, groundwater discharge is accompanied by precipitation of iron "floc" in wetland sediment, smothering aquatic invertebrates and reducing their diversity.</t>
    </r>
    <r>
      <rPr>
        <i/>
        <sz val="10"/>
        <rFont val="Arial Narrow"/>
        <family val="2"/>
        <scheme val="minor"/>
      </rPr>
      <t xml:space="preserve"> In calculations, is excluded automatically (cell goes blank) if no evidence of groundwater influx; otherwise is rated based on response in column D.</t>
    </r>
  </si>
  <si>
    <r>
      <t xml:space="preserve">Downed wood provides food, cover, and a stable microclimate for many  invertebrates that live in soil and peat of wetlands that seldom flood. </t>
    </r>
    <r>
      <rPr>
        <i/>
        <sz val="10"/>
        <rFont val="Arial Narrow"/>
        <family val="2"/>
        <scheme val="minor"/>
      </rPr>
      <t>In calculations, is excluded automatically (cell goes blank) if woody vegetation occupies &lt;5% of the vegetated part of the AA.</t>
    </r>
  </si>
  <si>
    <r>
      <t xml:space="preserve">The second condition implies greater diversity of plants, which sometimes is associated with greater diversity of aquatic invertebrates.  </t>
    </r>
    <r>
      <rPr>
        <i/>
        <sz val="10"/>
        <rFont val="Arial Narrow"/>
        <family val="2"/>
        <scheme val="minor"/>
      </rPr>
      <t>In calculations, is excluded automatically (cell goes blank) if vegetation in the wetland is &lt;5% herbaceous.</t>
    </r>
  </si>
  <si>
    <t>UniqFenMarsh Swamp</t>
  </si>
  <si>
    <r>
      <t xml:space="preserve">Egg masses of many frogs and aquatic salamanders are more susceptible to stranding in wetlands with large water level fluctuations. </t>
    </r>
    <r>
      <rPr>
        <i/>
        <sz val="10"/>
        <rFont val="Arial Narrow"/>
        <family val="2"/>
        <scheme val="minor"/>
      </rPr>
      <t>In calculations, is excluded automatically (cell goes blank) if wetland never has surface water during an average year, or if none of it floods only seasonally.</t>
    </r>
  </si>
  <si>
    <r>
      <t xml:space="preserve">Wider bands of wetland vegetation help protect a wetland's open waters from contaminants carried in from adjoining uplands. Wider bands of wetland vegetation also provide better cover for young frogs and salamanders as they transition to upland nonbreeding areas. </t>
    </r>
    <r>
      <rPr>
        <i/>
        <sz val="10"/>
        <rFont val="Arial Narrow"/>
        <family val="2"/>
        <scheme val="minor"/>
      </rPr>
      <t>In calculations, is excluded automatically (cell goes blank) if wetland never has surface water during an average year or if wetland lacks open water or is &lt;0.01 ha.</t>
    </r>
  </si>
  <si>
    <r>
      <t xml:space="preserve">Large woody debris helps protect frogs and aquatic salamanders from aerial predators, and provides important basking sites. </t>
    </r>
    <r>
      <rPr>
        <i/>
        <sz val="10"/>
        <rFont val="Arial Narrow"/>
        <family val="2"/>
        <scheme val="minor"/>
      </rPr>
      <t>In calculations, is excluded automatically (cell goes blank) if wetland never has surface water during an average year, or has no open water, or  is &lt;0.01 ha.</t>
    </r>
  </si>
  <si>
    <r>
      <t xml:space="preserve">Unshaded open water areas potentially provide warmer conditions favored by many amphibians, while nearby areas with cover provide protection from predators. </t>
    </r>
    <r>
      <rPr>
        <i/>
        <sz val="10"/>
        <rFont val="Arial Narrow"/>
        <family val="2"/>
        <scheme val="minor"/>
      </rPr>
      <t>In calculations, is excluded automatically (cell goes blank) if wetland never has surface water during an average year, if no ponded water, if ponded water but no vegetation, if ponded but no open water, or if &lt;0.01 ha.</t>
    </r>
  </si>
  <si>
    <r>
      <t xml:space="preserve">Wetlands with substantial groundwater inputs tend to have more stable and reliable water levels, thus increasing the likelihood of amphibians breeding successfully.  Also, winter water temperatures are warmer than most receiving surface waters.  However, the cooler temperatures in summer associated with groundwater input may be less favorable to development of some amphibians. </t>
    </r>
    <r>
      <rPr>
        <i/>
        <sz val="10"/>
        <rFont val="Arial Narrow"/>
        <family val="2"/>
        <scheme val="minor"/>
      </rPr>
      <t>In calculations, is excluded automatically (cell goes blank) if no evidence of groundwater influx; otherwise is rated based on response in column D.</t>
    </r>
  </si>
  <si>
    <r>
      <t>Downed wood provides food, cover, and a stable microclimate for many salamanders.</t>
    </r>
    <r>
      <rPr>
        <i/>
        <sz val="10"/>
        <rFont val="Arial Narrow"/>
        <family val="2"/>
        <scheme val="minor"/>
      </rPr>
      <t xml:space="preserve"> In calculations, is excluded automatically (cell goes blank) if woody vegetation is &lt;5% of the vegetated part of the AA.</t>
    </r>
  </si>
  <si>
    <t>Bender, D. J., L. Tischendorf, and L. Fahrig. 2003. Evaluation of patch isolation metrics for predicting animal movement in binary landscapes. Landscape Ecology 18:17-39.</t>
  </si>
  <si>
    <r>
      <t xml:space="preserve">Beaver dam-building activities are highly beneficial to amphibian habitat, creating warmer stagnant pools and increasing the overall productivity of river systems.  Beaver ponds provide abundant submersed vegetation for attachment of eggs of frogs and salamanders, as well as cover for adults.  Presence of wood frog is highly correlated with beaver flowages in some parts of Alberta (Stevens et al. 2006, 2007). (Stevens et al. 2006, 2007).  </t>
    </r>
    <r>
      <rPr>
        <i/>
        <sz val="10"/>
        <rFont val="Arial Narrow"/>
        <family val="2"/>
        <scheme val="minor"/>
      </rPr>
      <t>In calculations, is excluded automatically (cell goes blank) if wetland never has surface water during an average year.</t>
    </r>
  </si>
  <si>
    <t>Browne, C. L., C. A. Paszkowski, A. L. Foote, A. Moenting, and S. M. Boss. 2009. The relationship of amphibian abundance to habitat features across spatial scales in the Boreal Plains. Ecoscience 16:209-223.</t>
  </si>
  <si>
    <r>
      <t xml:space="preserve">Surface water that persists for all or most of a year (and especially, during the early summer) provides more physical habitat for waterbirds. If no surface water persists, waterbird use can still be substantial if the wetland borders a lake or large river. </t>
    </r>
    <r>
      <rPr>
        <i/>
        <sz val="10"/>
        <rFont val="Arial Narrow"/>
        <family val="2"/>
      </rPr>
      <t xml:space="preserve">In calculations, is excluded automatically (cell goes blank) if wetland never has surface water during an average year. </t>
    </r>
  </si>
  <si>
    <r>
      <t xml:space="preserve">Lacustrine wetlands are especially attractive to nesting waterbirds, partly because of the variety of foods they provide, and the refuge that the large expanse of open water provides from terrestrial predators. However, nesting waterbird use of lakes may be less if there is frequent motorboat use. </t>
    </r>
    <r>
      <rPr>
        <i/>
        <sz val="10"/>
        <rFont val="Arial Narrow"/>
        <family val="2"/>
      </rPr>
      <t>If wetland is not part of a lake, then ignored in calculations rather than being counted as a negative.</t>
    </r>
  </si>
  <si>
    <r>
      <t xml:space="preserve">Most wetland birds tend to feed more in ponded areas than along channels. If these isolated pools areas persist well into the summer, they allow waterbird populations to establish more breeding territories within the site, as well as concentrating invertebrate foods. </t>
    </r>
    <r>
      <rPr>
        <i/>
        <sz val="10"/>
        <rFont val="Arial Narrow"/>
        <family val="2"/>
      </rPr>
      <t>In calculations, is excluded automatically (cell goes blank) if wetland never has surface water during an average year or is &lt;0.01 ha..</t>
    </r>
  </si>
  <si>
    <r>
      <t xml:space="preserve">Submersed and partly submersed vegetation is an essential food for many duck species, either directly or because of the higher densities of invertebrate foods that it supports (Epners et al. 2010). </t>
    </r>
    <r>
      <rPr>
        <i/>
        <sz val="10"/>
        <rFont val="Arial Narrow"/>
        <family val="2"/>
      </rPr>
      <t>In calculations, is excluded automatically (cell goes blank) if wetland never has surface water during an average year.  Also is excluded automatically if wetland has no ponded water or is &lt;0.01 ha..</t>
    </r>
  </si>
  <si>
    <r>
      <t>Waterbird nests located in narrow wetlands may be more vulnerable to predation.</t>
    </r>
    <r>
      <rPr>
        <i/>
        <sz val="10"/>
        <rFont val="Arial Narrow"/>
        <family val="2"/>
      </rPr>
      <t xml:space="preserve">  In calculations, is excluded automatically (cell goes blank) if wetland never has surface water during an average year or if wetland lacks open water or is &lt;0.01 ha.</t>
    </r>
  </si>
  <si>
    <r>
      <t xml:space="preserve">Interspersion of patches of open water amid patches of vegetation provides waterbirds with the best access to aquatic foods, and waterbird use of such wetlands has been shown to be significantly greater (Kaminski and Prince 1981, Murkin et al. 1982, Rehm &amp; Baldassarre 2007, Schummer et al. 2012, Bolenbaugh et al. 2011).  </t>
    </r>
    <r>
      <rPr>
        <i/>
        <sz val="10"/>
        <rFont val="Arial Narrow"/>
        <family val="2"/>
      </rPr>
      <t>In calculations, is excluded automatically (cell goes blank) if wetland never has surface water during an average year, if no ponded water, if ponded water but no vegetation, if ponded but no open water, or if &lt;0.01 ha.</t>
    </r>
  </si>
  <si>
    <r>
      <t xml:space="preserve">Fish are fed upon by several waterbird species, so their presence is considered generally beneficial.  However, one study found that breeding waterfowl density was twice as great in fishless lakes than in lakes with fish, after accounting for lake area, and some species occurred almost exclusively in fishless lakes (Epners et al. 2010).  </t>
    </r>
    <r>
      <rPr>
        <i/>
        <sz val="10"/>
        <rFont val="Arial Narrow"/>
        <family val="2"/>
      </rPr>
      <t>If wetland lacks fish or is &lt;0.01 ha, then ignored in calculations rather than being counted as a negative.</t>
    </r>
  </si>
  <si>
    <r>
      <t xml:space="preserve">Large-diameter trees are more important because of their potential to provide rookeries for herons and nest cavities for a few waterbird species, e.g., hooded merganser. Such trees may be used even when located a considerable distance from the wetland.  </t>
    </r>
    <r>
      <rPr>
        <i/>
        <sz val="10"/>
        <rFont val="Arial Narrow"/>
        <family val="2"/>
      </rPr>
      <t>In calculations, is excluded automatically (cell goes blank) if trees occupy &lt;5% of the vegetated part of the AA.  Otherwise, score is based on the  presence of the categories with the greatest weights, i.e., larger trees, which are more suitable as nest sites for herons, geese, and cavity-nesting ducks.</t>
    </r>
  </si>
  <si>
    <t>McLellen, B. R. and B. M. Shackleton. 1988. Grizzly bears and resource extraction industries: effects of road on behaviour, habitat use, and demography. Journal of Applied Ecology 25:451-460.</t>
  </si>
  <si>
    <t>Keller, C. M. E., C. S. Robbins, and J. S. Hatfield. 1993. Avian communities in riparian forests of different widths in Maryland and Delaware. Wetlands 13:137-144.</t>
  </si>
  <si>
    <t>Darveau, M., P. Beauchesne, L. Belanger, J. Huot, and P. Larue. 1995. Riparian forest strips as habitat for breeding birds in boreal forest. The Journal of Wildlife Management:67-78.</t>
  </si>
  <si>
    <t>Dickson, J. G., J. H. Williamson, R. N. Conner, and B. Ortega. 1995. Streamside zones and breeding birds in east Texas. Wildlife Society Bulletin 23:750-755.</t>
  </si>
  <si>
    <t>Hodges Jr, M. F. and D. G. Krementz. 1996. Neotropical migratory breeding bird communities in riparian forests of different widths along the Altamaha River, Georgia. The Wilson Bulletin:496-506.</t>
  </si>
  <si>
    <r>
      <t xml:space="preserve">Parts of wetlands that remain flooded most of the time will support fewer small mammals and songbirds. Wetlands with at least a little persistent water are important to aerially-foraging swallows, swifts, and flycatchers, as well as bats, muskrat, beaver, moose, and many other mammals. </t>
    </r>
    <r>
      <rPr>
        <i/>
        <sz val="10"/>
        <rFont val="Arial Narrow"/>
        <family val="2"/>
        <scheme val="minor"/>
      </rPr>
      <t xml:space="preserve">In calculations, is excluded automatically (cell goes blank) if wetland never has surface water during an average year. </t>
    </r>
  </si>
  <si>
    <r>
      <t xml:space="preserve">Open water lacks vertical structure and thus supports fewer songbird species than land, so a large proportion of open water in a wetland implies lower overall songbird richness. </t>
    </r>
    <r>
      <rPr>
        <i/>
        <sz val="10"/>
        <rFont val="Arial Narrow"/>
        <family val="2"/>
        <scheme val="minor"/>
      </rPr>
      <t>In calculations, is excluded automatically (cell goes blank) if wetland never has surface water during an average year.  Also is excluded automatically if wetland has no ponded water or is &lt;0.01 ha..</t>
    </r>
  </si>
  <si>
    <r>
      <t xml:space="preserve">Wider vegetated zones within wetlands provide more nesting space and structure for songbirds and mammals. Avian species richness and abundance increase with riparian width (Keller et al.1993; Darveau et al.1995; Dickson et al.1995; Hodges and Krementz 1996). Wider riparian buffers in British Columbia supported a greater density of deciduous trees important to wildlife diversity (Shirley 2004). The diversity of microhabitats within bogs and fens generally increases with increasing area, and vertebrate richness consequently increases (Desrochers &amp; van Duinen 2006). </t>
    </r>
    <r>
      <rPr>
        <i/>
        <sz val="10"/>
        <rFont val="Arial Narrow"/>
        <family val="2"/>
        <scheme val="minor"/>
      </rPr>
      <t>In calculations, is excluded automatically (cell goes blank) if wetland never has surface water during an average year or if wetland lacks open water or is &lt;0.01 ha.</t>
    </r>
  </si>
  <si>
    <r>
      <t xml:space="preserve">When water and vegetation (especially woody or other robust vegetation) are moderately interspersed, this provides more extensive feeding areas for many wetland-dependent songbirds and raptors. </t>
    </r>
    <r>
      <rPr>
        <i/>
        <sz val="10"/>
        <rFont val="Arial Narrow"/>
        <family val="2"/>
        <scheme val="minor"/>
      </rPr>
      <t>In calculations, is excluded automatically (cell goes blank) if wetland never has surface water during an average year, if no ponded water, if ponded water but no vegetation, if ponded but no open water, or if &lt;0.01 ha.</t>
    </r>
  </si>
  <si>
    <r>
      <t xml:space="preserve">Downed wood provides cover for many small mammals. Downed wood is often the result of natural windthrow, which also creates small patches of semi-open canopy within blocks of forest and in so doing can support a larger number of wildlife species, despite the temporary loss of nest trees (Zmihorski 2010).  </t>
    </r>
    <r>
      <rPr>
        <i/>
        <sz val="10"/>
        <rFont val="Arial Narrow"/>
        <family val="2"/>
        <scheme val="minor"/>
      </rPr>
      <t>In calculations, is excluded automatically (cell goes blank) if woody vegetation is &lt;5% of the vegetated part of the AA.</t>
    </r>
  </si>
  <si>
    <r>
      <t xml:space="preserve">Lack of one dominant shrub species suggests higher shrub richness, which has the potential to provide more food sources to more species throughout a season. </t>
    </r>
    <r>
      <rPr>
        <i/>
        <sz val="10"/>
        <rFont val="Arial Narrow"/>
        <family val="2"/>
        <scheme val="minor"/>
      </rPr>
      <t>In calculations, is excluded automatically (cell goes blank) if exposed shrub cover is &lt;5% of the vegetated part of the AA.</t>
    </r>
  </si>
  <si>
    <r>
      <t xml:space="preserve">Forbs are an important component of the foods that a wide variety of songbirds and mammals require. </t>
    </r>
    <r>
      <rPr>
        <i/>
        <sz val="10"/>
        <rFont val="Arial Narrow"/>
        <family val="2"/>
        <scheme val="minor"/>
      </rPr>
      <t>In calculations, is excluded automatically (cell goes blank) if herbaceous cover is &lt;5% of the vegetated cover.</t>
    </r>
  </si>
  <si>
    <r>
      <t xml:space="preserve">Multiple herb species, none strongly dominant, provide a wider range of foods throughout the growing season for wetland songbirds and mammals. </t>
    </r>
    <r>
      <rPr>
        <i/>
        <sz val="10"/>
        <rFont val="Arial Narrow"/>
        <family val="2"/>
        <scheme val="minor"/>
      </rPr>
      <t>Included in calculations only if herbaceous cover is &gt;5% of vegetated cover and second choice is answered positively.</t>
    </r>
  </si>
  <si>
    <r>
      <t xml:space="preserve">Human presence can attract crows and ravens, which prey on nests. </t>
    </r>
    <r>
      <rPr>
        <i/>
        <sz val="10"/>
        <rFont val="Arial Narrow"/>
        <family val="2"/>
        <scheme val="minor"/>
      </rPr>
      <t>In calculations, is excluded automatically (cell goes blank) if last choice in F59 was chosen AND first choice in F60 was chosen.</t>
    </r>
  </si>
  <si>
    <t>Gignac, L. D. and M. R. T. Dale. 2005. Effects of fragment size and habitat heterogeneity on cryptogram diversity in the low-boreal forest of western Canada. The Bryologist 108:50-66.</t>
  </si>
  <si>
    <t>Vitt, D. H. 2006. Functional characteristics and indicators of boreal peatlands. Pages 9-24 in R. K. Wieder and D. H. Vitt, editors. Boreal peatland ecosystems. Springer, Berlin, Heidelberg, GE.</t>
  </si>
  <si>
    <r>
      <t xml:space="preserve">Wetlands with less persistent surface water, i.e., more extensive areas that are saturated but lack surface water, or which flood only seasonally, tend to have greater plant species richness.  Wetlands that are entirely covered by persistent water can support only aquatic species, not the full suite of wetland-associated plants.  Disturbance from occasional floods opens the vegetation canopy (Pollack et al. 1998). Seasonal inundation brings in external nutrients to riverine wetlands, and in all wetlands is necessary for seed germination of many wetland plant species. </t>
    </r>
    <r>
      <rPr>
        <i/>
        <sz val="10"/>
        <rFont val="Arial Narrow"/>
        <family val="2"/>
      </rPr>
      <t xml:space="preserve">In calculations, is excluded automatically (cell goes blank) if wetland never has surface water during an average year. </t>
    </r>
  </si>
  <si>
    <r>
      <t xml:space="preserve">With regard to submersed aquatic plants, shallower areas generally have greater plant richness due to greater availability of light and sediment oxygen. </t>
    </r>
    <r>
      <rPr>
        <i/>
        <sz val="10"/>
        <rFont val="Arial Narrow"/>
        <family val="2"/>
      </rPr>
      <t>In calculations, is excluded automatically (cell goes blank) if wetland never has surface water during an average year or is &lt;0.01 ha.</t>
    </r>
  </si>
  <si>
    <r>
      <t xml:space="preserve">Greater plant diversity in wetlands is often associated with a well-mixed pattern of water and plants, e.g., the "hemi-marsh". This may optimise moisture, nutrients, and sunlight available to wetland plants.  Relatively even mixes of emergent plants and open water also imply that both submerged aquatics and emergents may be present, thus comprising greater diversity. </t>
    </r>
    <r>
      <rPr>
        <i/>
        <sz val="10"/>
        <rFont val="Arial Narrow"/>
        <family val="2"/>
      </rPr>
      <t>In calculations, is excluded automatically (cell goes blank) if wetland never has surface water during an average year, if no ponded water, if ponded water but no vegetation, if ponded but no open water, or if &lt;0.01 ha.</t>
    </r>
  </si>
  <si>
    <r>
      <t xml:space="preserve">Partly because of the greater nutrient levels and hydrologic stability of most groundwater, several plant species thrive best where a wetland's surface water originates most directly from groundwater (e.g., Radies et al. 2009). </t>
    </r>
    <r>
      <rPr>
        <i/>
        <sz val="10"/>
        <rFont val="Arial Narrow"/>
        <family val="2"/>
      </rPr>
      <t>In calculations, is excluded automatically (cell goes blank) if no evidence of groundwater influx; otherwise is rated based on response in column D.</t>
    </r>
  </si>
  <si>
    <r>
      <t xml:space="preserve">Downed wood adds microtopographic relief to wetlands and can serve as "nurse logs" that allow many plants to germinate with less competition or exposure to prolonged inundation.  This may increase plant richness within a site. Downed wood also provides nest or dormancy sites for many insect pollinators. </t>
    </r>
    <r>
      <rPr>
        <i/>
        <sz val="10"/>
        <rFont val="Arial Narrow"/>
        <family val="2"/>
      </rPr>
      <t>In calculations, is excluded automatically (cell goes blank) if woody vegetation is &lt;5% of the vegetated part of the AA.</t>
    </r>
  </si>
  <si>
    <r>
      <t xml:space="preserve">A dominance of common species usually implies overall reduction in plant species richness. </t>
    </r>
    <r>
      <rPr>
        <i/>
        <sz val="10"/>
        <rFont val="Arial Narrow"/>
        <family val="2"/>
      </rPr>
      <t>In calculations, is excluded automatically (cell goes blank) if exposed shrub cover is &lt;5% of the vegetated part of the AA.</t>
    </r>
  </si>
  <si>
    <r>
      <t xml:space="preserve">As a group, forbs tend to be more diverse than graminoids and thus contribute significantly to biodiversity within and among wetlands. </t>
    </r>
    <r>
      <rPr>
        <i/>
        <sz val="10"/>
        <rFont val="Arial Narrow"/>
        <family val="2"/>
      </rPr>
      <t>In calculations, is excluded automatically (cell goes blank) if herbaceous cover is &lt;5% of the vegetated cover.</t>
    </r>
  </si>
  <si>
    <r>
      <t xml:space="preserve">Wetlands not dominated a one or two plant species are, by definition, more diverse. </t>
    </r>
    <r>
      <rPr>
        <i/>
        <sz val="10"/>
        <rFont val="Arial Narrow"/>
        <family val="2"/>
      </rPr>
      <t>Included in calculations only if herbaceous cover is &gt;5% of vegetated cover and second choice is answered positively.</t>
    </r>
  </si>
  <si>
    <r>
      <t xml:space="preserve">Some types of surrounding land cover are more likely to produce propagules of invasive plants that may reduce native plant richness in an adjoining wetland. </t>
    </r>
    <r>
      <rPr>
        <i/>
        <sz val="10"/>
        <rFont val="Arial Narrow"/>
        <family val="2"/>
      </rPr>
      <t>In calculations, is excluded automatically (cell goes blank) if natural cover in the buffer (see above) is &gt;90%.</t>
    </r>
  </si>
  <si>
    <t>PondedOWpct PD</t>
  </si>
  <si>
    <t>Halpern, C. B. and T. A. Spies. 1995. Plant-species diversity in natural and managed forests of the Pacific-Northwest. Ecological Applications 5:913-934.</t>
  </si>
  <si>
    <t>Chavez, V. and S. E. Macdonald. 2010. The influence of canopy patch mosaics on understory plant community composition in boreal mixedwood forest. Forest Ecology and Management 259:1067-1075.</t>
  </si>
  <si>
    <t>Chipman, S. J. and E. A. Johnson. 2002. Understory vascular plant species diversity in the mixedwood boreal forest of western Canada. Ecological Applications 12:588-601.</t>
  </si>
  <si>
    <t>Benscoter, B. W. and D. H. Vitt. 2008. Spatial patterns and temporal trajectories of the bog ground layer along a post-fire chronosequence. Ecosystems 11:1054-1064.</t>
  </si>
  <si>
    <t>PondedOW pct21</t>
  </si>
  <si>
    <r>
      <t xml:space="preserve">Extensive mats of algae or duckweed are unsightly to most people and discourage recreational use, as well as sometimes posing a health risk. </t>
    </r>
    <r>
      <rPr>
        <i/>
        <sz val="10"/>
        <rFont val="Arial Narrow"/>
        <family val="2"/>
      </rPr>
      <t>In calculations, is excluded automatically (cell goes blank) if wetland never has surface water during an average year.  Also is excluded automatically if wetland has no ponded water or is &lt;0.01 ha..</t>
    </r>
  </si>
  <si>
    <r>
      <t>These provide evidence of direct use of a wetland's resources.</t>
    </r>
    <r>
      <rPr>
        <i/>
        <sz val="10"/>
        <rFont val="Arial Narrow"/>
        <family val="2"/>
      </rPr>
      <t xml:space="preserve"> If any of these uses are present the indicator gets a score of 1.</t>
    </r>
  </si>
  <si>
    <t>Depending on local geology, some wetlands recharge groundwater or at least reflect local water table levels. In doing so they may indirectly support wells that provide drinking water to nearby residences.</t>
  </si>
  <si>
    <r>
      <t xml:space="preserve">These represent prior investment of public funds which would be nullified if wetland was destroyed. </t>
    </r>
    <r>
      <rPr>
        <i/>
        <sz val="10"/>
        <rFont val="Arial Narrow"/>
        <family val="2"/>
      </rPr>
      <t>Score is the sum of the first 3 choices divided by 3.</t>
    </r>
  </si>
  <si>
    <r>
      <t>Although shade can limit aquatic productivity and thus the amount of carbon subject to export, this indicator more importantly describes the proximity of vegetation to water, and thus the potential for detritus to be exported.</t>
    </r>
    <r>
      <rPr>
        <i/>
        <sz val="10"/>
        <rFont val="Arial Narrow"/>
        <family val="2"/>
        <scheme val="minor"/>
      </rPr>
      <t xml:space="preserve"> In calculations, is excluded automatically (cell goes blank) if wetland never has surface water during an average year or if water is present only seasonally.</t>
    </r>
  </si>
  <si>
    <r>
      <t xml:space="preserve">Prolonged inundation can stifle plant productivity, whereas seasonal inundation encourages it, and is often associated with conditions that contribute to the export of organic matter, e.g., river floods. Seasonally high water levels promote decomposition (Bayley &amp; Mewhort, 2004) and thus facilitate the export of carbon. </t>
    </r>
    <r>
      <rPr>
        <i/>
        <sz val="10"/>
        <rFont val="Arial Narrow"/>
        <family val="2"/>
        <scheme val="minor"/>
      </rPr>
      <t>In calculations, is excluded automatically (cell goes blank) if wetland never has surface water during an average year.</t>
    </r>
  </si>
  <si>
    <r>
      <t xml:space="preserve">Dynamic water levels in wetlands with outlets usually imply more productive wetlands and greater export of organic matter, whereas stable water levels typically imply less export. However, if water level fluctuations are too severe (e.g., greater than plant height) production of organic matter can diminish. </t>
    </r>
    <r>
      <rPr>
        <i/>
        <sz val="10"/>
        <rFont val="Arial Narrow"/>
        <family val="2"/>
        <scheme val="minor"/>
      </rPr>
      <t>In calculations, is excluded automatically (cell goes blank) if wetland never has surface water during an average year, or if none of it floods only seasonally.</t>
    </r>
  </si>
  <si>
    <r>
      <t xml:space="preserve">Flowing rather than ponded waters provide the most opportunity for organic matter to be exported from wetlands.  In boreal regions, flowing waters also tend to be more productive. </t>
    </r>
    <r>
      <rPr>
        <i/>
        <sz val="10"/>
        <rFont val="Arial Narrow"/>
        <family val="2"/>
        <scheme val="minor"/>
      </rPr>
      <t>In calculations, is excluded automatically (cell goes blank) if wetland never has surface water during an average year. Also is excluded automatically if wetland is &lt;0.01 ha.</t>
    </r>
  </si>
  <si>
    <r>
      <t xml:space="preserve">The probability that organic matter from wetland plants will be exported increases in relation to the percent of the inundated area containing such plants, provided some outflow paths exist. </t>
    </r>
    <r>
      <rPr>
        <i/>
        <sz val="10"/>
        <rFont val="Arial Narrow"/>
        <family val="2"/>
        <scheme val="minor"/>
      </rPr>
      <t>In calculations, is excluded automatically (cell goes blank) if wetland never has surface water during an average year. Also is excluded automatically if wetland has no ponded water or is &lt;0.01 ha.</t>
    </r>
  </si>
  <si>
    <r>
      <t xml:space="preserve">The plant material from narrower (fringe) wetlands is often more vulnerable to transport into adjoining waters. However, wider wetlands represent larger total stores of organic matter available for waterborne export downstream or offsite, and export can occur during infrequent but extreme floods (Pacific et al. 2010). </t>
    </r>
    <r>
      <rPr>
        <i/>
        <sz val="10"/>
        <rFont val="Arial Narrow"/>
        <family val="2"/>
        <scheme val="minor"/>
      </rPr>
      <t>In calculations, is excluded automatically (cell goes blank) if wetland never has surface water during an average year. Also is excluded automatically if wetland lacks open water or is &lt;0.01 ha.</t>
    </r>
  </si>
  <si>
    <r>
      <t xml:space="preserve">Interspersion of open water with vegetation would seem to promote greater export of organic matter from the vegetation or accumulated organic soils. </t>
    </r>
    <r>
      <rPr>
        <i/>
        <sz val="10"/>
        <rFont val="Arial Narrow"/>
        <family val="2"/>
        <scheme val="minor"/>
      </rPr>
      <t>In calculations, is excluded automatically (cell goes blank) if wetland never has surface water during an average year, if no ponded water, if ponded water but no vegetation, if ponded but no open water, or if &lt;0.01 ha.</t>
    </r>
  </si>
  <si>
    <r>
      <t xml:space="preserve">Increased channel complexity implies greater interspersion of open water and vegetation, which provides more opportunity for organic matter to be in contact with moving water and thus be exported. </t>
    </r>
    <r>
      <rPr>
        <i/>
        <sz val="10"/>
        <rFont val="Arial Narrow"/>
        <family val="2"/>
        <scheme val="minor"/>
      </rPr>
      <t>In calculations, is excluded automatically (cell goes blank) if wetland never has surface water during an average year or if no surface inflows.</t>
    </r>
  </si>
  <si>
    <r>
      <t xml:space="preserve">Narrow outlets limit water outflow from a wetland and its downstream or downslope movement, thus limiting export of organic matter. The types of outlets described here are ones that typically are more constricted than natural channels, which usually have adjusted over time to local runoff and thus are wider relative to volume of flow received. </t>
    </r>
    <r>
      <rPr>
        <i/>
        <sz val="10"/>
        <rFont val="Arial Narrow"/>
        <family val="2"/>
        <scheme val="minor"/>
      </rPr>
      <t>In calculations, is excluded automatically (cell goes blank) if no outlet.</t>
    </r>
  </si>
  <si>
    <t>Indicators from Estimator</t>
  </si>
  <si>
    <t>Indicators from Onsite Visit</t>
  </si>
  <si>
    <t xml:space="preserve">The capacity to support an abundance and diversity of native fish species.  </t>
  </si>
  <si>
    <t>Open water does not restrict fish movements, whereas in vegetated wetlands (especially Bog, Fen, Swamp) fish movements are partly or completely restricted by lack of water or water that is often too shallow.</t>
  </si>
  <si>
    <t>Yoder, C. O., R. J. Miltner, and D. White. 1999. Assessing the Status of Aquatic Life Designated Uses in Urban and Suburban Watersheds. Pages 16-28 in A. Everson et al., editor. Proceedings of National Conference on Retrofit Opportunities for Water Resource Protection in Urban Environments. Chicago, IL February 9-12, 1998. Technology Transfer and Support Division, National Risk Management Research Laboratory, Office of Research and Development, U.S. Environmental Protection Agency, Cincinnati, Ohio.</t>
  </si>
  <si>
    <t>Horwitz, R. J., T. E. Johnson, P. F. Overbeck, T. K. O'Donnell, W. C. Hession, and B. W. Sweeney. 2008. Effects of riparian vegetation and watershed urbanization on fishes in streams of the mid-Atlantic Piedmont (USA). Journal of the American Water Resources Association 44:724-741.</t>
  </si>
  <si>
    <t>Hornung, J. and A. L. Foote. 2006. Aquatic invertebrate responses to fish presence and vegetation complexity in western boreal wetlands, with implications for Waterbird productivity. Wetlands 26:1-12.</t>
  </si>
  <si>
    <t>See OF 8 above.</t>
  </si>
  <si>
    <r>
      <t>Poulin, J.-F., M.-A. Villard, M. Edman, P. J. Goulet, and A.-M. Eriksson. 2008. Thresholds in nesting habitat requirements of an old forest specialist, the brown creeper (</t>
    </r>
    <r>
      <rPr>
        <i/>
        <sz val="10"/>
        <rFont val="Arial Narrow"/>
        <family val="2"/>
        <scheme val="minor"/>
      </rPr>
      <t>Certhia americana</t>
    </r>
    <r>
      <rPr>
        <sz val="10"/>
        <rFont val="Arial Narrow"/>
        <family val="2"/>
        <scheme val="minor"/>
      </rPr>
      <t>), as conservation targets. Biological Conservation 141:1129-1137.</t>
    </r>
  </si>
  <si>
    <r>
      <t>Wood, W. E. and S. M. Yezerinac. 2006. Song sparrow (</t>
    </r>
    <r>
      <rPr>
        <i/>
        <sz val="10"/>
        <rFont val="Arial Narrow"/>
        <family val="2"/>
        <scheme val="minor"/>
      </rPr>
      <t>Melospiza melodia</t>
    </r>
    <r>
      <rPr>
        <sz val="10"/>
        <rFont val="Arial Narrow"/>
        <family val="2"/>
        <scheme val="minor"/>
      </rPr>
      <t>) song varies with urban noise. Auk 123:650-659.</t>
    </r>
  </si>
  <si>
    <t xml:space="preserve">St. Clair, C. C., M. Bélisle, A. Desrochers, and S. Hannon. 1998. Winter responses of forest birds to habitat corridors and gaps. Conservation Ecology Online: http://www.consecol.org/vol2/iss2/art13/. </t>
  </si>
  <si>
    <t>Native Plant &amp; Pollinator Habitat</t>
  </si>
  <si>
    <t>Native Plant &amp; Pollinator Habitat (PH)</t>
  </si>
  <si>
    <t>Baldwin, L. K. and G. E. Bradfield. 2005. Bryophyte community differences between edge and interior environments in temperate rain-forest fragments of coastal British Columbia. Canadian Journal of Forest Research 35:580-592.</t>
  </si>
  <si>
    <t>Windspeed at 30m above land surface in summer, average for years 1958-2000.  Minimum resolvable unit is 2500 ha. Incomplete data coverage for RWVAUs 15 and 21.  From Environment Canada.</t>
  </si>
  <si>
    <r>
      <t xml:space="preserve">Hogg, E. H. and V. J. Lieffers. 1991. The impact of </t>
    </r>
    <r>
      <rPr>
        <i/>
        <sz val="10"/>
        <rFont val="Arial Narrow"/>
        <family val="2"/>
        <scheme val="minor"/>
      </rPr>
      <t>Calamagrostis canadensis</t>
    </r>
    <r>
      <rPr>
        <sz val="10"/>
        <rFont val="Arial Narrow"/>
        <family val="2"/>
        <scheme val="minor"/>
      </rPr>
      <t xml:space="preserve"> on soil thermal regimes after logging in northern Alberta. Canadian Journal of Forest Research 21:387-394.</t>
    </r>
  </si>
  <si>
    <t>Boët, P., Belliard J, Berrebi, T.R. 1999. Multiple human impacts by the City of Paris on fish communities in the Seine River Basin, France. Hydrobiologia 410:59-68.</t>
  </si>
  <si>
    <t>Leaves of nitrogen-fixing plants such as alder have been shown to support higher densities and richness of aquatic and terrestrial invertebrates (Wipfli et al. 2007, Wipfli &amp; Musselwhite 2004).</t>
  </si>
  <si>
    <r>
      <t xml:space="preserve">The importance of large wood to aquatic life has been widely documented in perennial streams (literature reviewed by Murphy 1995, May 2003, Wenger 2000) and in lakes (Roth et al. 2007). Many aquatic invertebrates attach to submerged wood and feed on algae and leaves associated with it. Constructed wetlands to which woody debris is added may support greater biomass or richness of several aquatic invertebrate groups (e.g., Alsfeld et al. 2009). Most instream wood originates in the parts of the riparian areas that are within 100 ft of a stream (McDade et al. 1990, Van Sickle &amp; Gregory 1990, Robison &amp; Beschta 1990, Meleason et al. 2003). </t>
    </r>
    <r>
      <rPr>
        <i/>
        <sz val="10"/>
        <rFont val="Arial Narrow"/>
        <family val="2"/>
        <scheme val="minor"/>
      </rPr>
      <t>In calculations, is excluded automatically (cell goes blank) if wetland never has surface water during an average year, or has no open water, or  is &lt;0.01 ha.</t>
    </r>
  </si>
  <si>
    <r>
      <t xml:space="preserve">Tree cavities needed by many nesting songbirds and mammals are found mostly in dead standing trees (snags) and larger-diameter trees, which are more likely to have bole entries, conks, abundant mistletoe, and dead tops (Bakker &amp; Hastings 2002.) Larger-diameter stands also tend to be older and provide more structure useful to a variety of songbirds and mammals. Tall snags are especially useful to raptors as hunting perches. A mixture of tree species, especially mixtures that include aspen, is necessary to sustain populations of most boreal woodpecker species [Drever &amp; Martin 2010]. Deer need a diversity of forest types and ages (both clear-cut and old growth) near each other within their home ranges. </t>
    </r>
    <r>
      <rPr>
        <i/>
        <sz val="10"/>
        <rFont val="Arial Narrow"/>
        <family val="2"/>
        <scheme val="minor"/>
      </rPr>
      <t>In calculations, is excluded automatically (cell goes blank) if trees occupy &lt;5% of the vegetated part of the AA.  Otherwise, score is based on the number of categories and a weighted average that favors larger deciduous trees.</t>
    </r>
    <r>
      <rPr>
        <sz val="10"/>
        <rFont val="Arial Narrow"/>
        <family val="2"/>
        <scheme val="minor"/>
      </rPr>
      <t xml:space="preserve">
</t>
    </r>
  </si>
  <si>
    <r>
      <t xml:space="preserve">Small mammals moving between wetlands are less likely to have their movements disrupted by lands with residual cover than in lands with impervious surface. </t>
    </r>
    <r>
      <rPr>
        <i/>
        <sz val="10"/>
        <rFont val="Arial Narrow"/>
        <family val="2"/>
        <scheme val="minor"/>
      </rPr>
      <t>In calculations, is excluded automatically (cell goes blank) if natural cover in the buffer (see above) is &gt;90%.</t>
    </r>
  </si>
  <si>
    <t>Shirley, S. 2004. The influence of habitat diversity and structure on bird use of riparian buffer strips in coastal forests of British Columbia, Canada. Canadian Journal of Forest Research 34:1499-1510.</t>
  </si>
  <si>
    <t>Alder often occurs in mildly disturbed settings, and through its ability to increase soil fertility by fixing nitrogen, can increase the diversity and abundance of understory plants (Deal 1997). However, as alder stands age, they form a closed canopy which can block light and reduce understory plant richness.</t>
  </si>
  <si>
    <t>Flatter wetlands are more likely than steep ones to slow runoff, facilitating more deposition of suspended matter. Ground cover becomes more important to sediment stabilization in wetlands on slopes. A Pennsylvania study found that slope wetlands tended to have the lowest sediment accretion rates of any wetland type (HGM class) (Wardrop &amp; Brooks 1998).</t>
  </si>
  <si>
    <t>Jeffries, K. M., E. R. Nelson, L. J. Jackson, and H. R. Habibi. 2008. Basin-wide impacts of compounds with estrogen-like activity on longnose dace (Rhinichthys cataractae) in two prairie rivers of Alberta, Canada. Environmental Toxicology and Chemistry 27:2042-2052.</t>
  </si>
  <si>
    <t>Nicholson, B. J. 1995. The wetlands of Elk Island National Park: Vegetation classification, water chemistry, and hydrotopographic relationships. Wetlands 15:119-133.</t>
  </si>
  <si>
    <r>
      <t xml:space="preserve">Wetlands with naturally fluctuating water levels tend to have greater plant species richness (Nicholson 1995, Pollack et al. 1998). Duration, frequency, and timing of inundation may be more important than magnitude of fluctuation, but cannot be estimated during a single visit to an ungaged wetland. Prolonged deep flooding can reduce plant species richness (Bayley &amp; Guimond 2009). </t>
    </r>
    <r>
      <rPr>
        <i/>
        <sz val="10"/>
        <rFont val="Arial Narrow"/>
        <family val="2"/>
      </rPr>
      <t>In calculations, is excluded automatically (cell goes blank) if wetland never has surface water during an average year, or if none of it floods only seasonally.</t>
    </r>
  </si>
  <si>
    <t>Value Score (ABWRET_a)</t>
  </si>
  <si>
    <t>Value Category (a, b, c, d)</t>
  </si>
  <si>
    <t>Abundance Factor</t>
  </si>
  <si>
    <t>Water Quality (WQ)</t>
  </si>
  <si>
    <t>Ecological Health (EH)</t>
  </si>
  <si>
    <t>Human Use (HU)</t>
  </si>
  <si>
    <t>1 (yes) or 0 (no) based on official designation.</t>
  </si>
  <si>
    <t>Aspect within +/- 45 degrees of north gets a 1, Aspect within +/- 45 degrees of sourth gets a 0, all others get a 0.5.  From the DEM.</t>
  </si>
  <si>
    <t>From Alberta Merged Wetland Inventory map layer.</t>
  </si>
  <si>
    <t>1 (yes) or 0 (no).  From FWMIS database.</t>
  </si>
  <si>
    <t>1 (yes) or 0 (no).  From FWMIS map layer.</t>
  </si>
  <si>
    <t>MAX of: (UniqFen, UniqMarsh, UniqBog, UniqSwamp). From Alberta Merged Wetland Inventory map layer.</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</si>
  <si>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</si>
  <si>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</si>
  <si>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</si>
  <si>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</si>
  <si>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</si>
  <si>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</si>
  <si>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</si>
  <si>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</si>
  <si>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</si>
  <si>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</si>
  <si>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</si>
  <si>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</si>
  <si>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</si>
  <si>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</si>
  <si>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</si>
  <si>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</si>
  <si>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</si>
  <si>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</si>
  <si>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</si>
  <si>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</si>
  <si>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</si>
  <si>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</si>
  <si>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</si>
  <si>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</si>
  <si>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</si>
  <si>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</si>
  <si>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</si>
  <si>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</si>
  <si>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</si>
  <si>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</si>
  <si>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</si>
  <si>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</si>
  <si>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</si>
  <si>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</si>
  <si>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</si>
  <si>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</si>
  <si>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</si>
  <si>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</si>
  <si>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</si>
  <si>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</si>
  <si>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</si>
  <si>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Hydrological Health (HH)</t>
  </si>
  <si>
    <t>RWVAU #</t>
  </si>
  <si>
    <t xml:space="preserve">#  </t>
  </si>
  <si>
    <t>Sum=</t>
  </si>
  <si>
    <t xml:space="preserve">If any items were checked above, then for each row of the table below, you may assign points.  However, if you believe the checked items did not cumulatively expose the AA to significantly higher levels of contaminants and/or salts, then leave the "0's" for the scores in the following rows.  To estimate effects, contrast the current condition with the condition if the checked items never occurred or were no longer present. </t>
  </si>
  <si>
    <t xml:space="preserve">If any items were checked above, then for each row of the table below, you may assign points.  However, if you believe the checked items did not cumulatively expose the AA to significantly more nutrients, then leave the "0's" for the scores in the following rows.  To estimate effects, contrast the current condition with the condition if the checked items never occurred or were no longer present. </t>
  </si>
  <si>
    <t xml:space="preserve">If any items were checked above, then for each row of the table below, you may assign points (3, 2, or 1 as shown in header) in the last column.  However, if you believe the checked items did not cumulatively add significantly more sediment or suspended solids to the AA, then leave the "0's" for the scores in the following rows.  To estimate effects, contrast the current condition with the condition if the checked items never occurred or were no longer present. </t>
  </si>
  <si>
    <t xml:space="preserve">If any items were checked above, then for each row of the table below, you may assign points.  However, if you believe the checked items did not measurably alter the soil structure and/or topography, then leave the "0's" for the scores in the following rows.  To estimate effects, contrast the current condition with the condition if the checked items never occurred or were no longer present. </t>
  </si>
  <si>
    <t>Quinton, W. L. and D. M. Gray. 2003. Subsurface drainage from organic soils in permafrost terrain: the major factors to be represented in a runoff model. In: W. Haeberli and D. Brandova, editors. Eighth International Conference on Permafrost. Glaciology and Geomorphodynamics Group, Geography Department, University of Zurich Switzerland Davos, Switzerland.</t>
  </si>
  <si>
    <t>Floodplain and riparian areas that flood only occasionally are  important to fish during the brief times of flooding, as shelter from strong currents and because they provide terrestrial invertebrate foods that fall from vegetation or are flushed out of newly flooded soils.</t>
  </si>
  <si>
    <r>
      <t xml:space="preserve">The eggs and larvae of many frogs and aquatic salamanders can easily be harmed by excessive ultraviolet radiation.  Aquatic plants may provide some degree of shelter from such radiation, as well as providing attachment surfaces for eggs. </t>
    </r>
    <r>
      <rPr>
        <i/>
        <sz val="10"/>
        <rFont val="Arial Narrow"/>
        <family val="2"/>
        <scheme val="minor"/>
      </rPr>
      <t>In calculations, is excluded automatically (cell goes blank) if wetland never has surface water during an average year.  Also is excluded automatically if wetland has no ponded water or is &lt;0.01 ha</t>
    </r>
  </si>
  <si>
    <t>Invasive species comprise 5-20% of the herb cover (or woody cover, if the invasives are woody).</t>
  </si>
  <si>
    <t>pH Measurement</t>
  </si>
  <si>
    <t>Burn History</t>
  </si>
  <si>
    <t>Beaver dams are important for maintaining invertebrate assemblages characteristic of streams in  low-gradient boreal settings, and this diversifies the regional invertebrate fauna (Clifford 1972).</t>
  </si>
  <si>
    <r>
      <t xml:space="preserve">Large water level fluctuations during the nesting season (late spring and early summer), can flood the nests of birds that nest along wetland edges. However, moderate fluctuations can stimulate wetland productivity and are not necessarily detrimental to nesting waterbirds (Found et al. 2008).  Annual fluctuations (described by this indicator) do not necessarily parallel propensity of water levels to fluctuate during the nesting season. </t>
    </r>
    <r>
      <rPr>
        <i/>
        <sz val="10"/>
        <rFont val="Arial Narrow"/>
        <family val="2"/>
      </rPr>
      <t>In calculations, is excluded automatically (cell goes blank) if wetland never has surface water during an average year, or if none of it floods only seasonally.</t>
    </r>
  </si>
  <si>
    <t xml:space="preserve">Groundwater provides a relatively steady input of nutrients (from weathering of geologic formations) that supports algal production and the invertebrate foods important to resident fish. It also provides relatively warm temperatures that can maintain ice-free conditions for longer, and helps sustain water levels and low flows, thus increasing annual production. However, the "flocs" created by the presence of iron oxidizing bacteria in some instances cause groundwater to be deficient in oxygen that is critical to resident fish, especially when this occurs under winter ice cover.  </t>
  </si>
  <si>
    <r>
      <t xml:space="preserve">See above.  </t>
    </r>
    <r>
      <rPr>
        <i/>
        <sz val="10"/>
        <rFont val="Arial Narrow"/>
        <family val="2"/>
      </rPr>
      <t>In calculations, is excluded automatically (cell goes blank) if last choice in F59 was chosen AND first choice in F60 was chosen.</t>
    </r>
  </si>
  <si>
    <t>Presence of contaminant sources suggests the potential for long-term harm to songbird and raptor populations as a result of direct toxicity; sublethal effects (e.g., Gentes et al. 2007); and altered food sources.</t>
  </si>
  <si>
    <t xml:space="preserve">Aquatic invertebrate communities (both benthic and planktonic) are harmed by excessive sedimentation and turbidity from sediment runoff. Sediment from timber-harvest activity (clearings and roads) community composition and abundance of stream invertebrates (Campbell et al. 2011). Following timber harvests, the deposition of fine sediment can limit populations of grazing invertebrates even when algal foods become more available (Kiffney &amp; Bull 2000). </t>
  </si>
  <si>
    <t>Dense vegetation offers frictional resistance to runoff, promoting deposition of organic nitrogen and resisting erosion. Vegetation takes up nitrate at least seasonally and plant roots can promote denitrification by providing a carbon source and oxidizing otherwise anoxic subsurface soils.  However, shade from plants reduces soil temperature (Hayhoe &amp; Tarnocai 1992) which slows the denitrification rate (Hogg &amp; Lieffers 1991), and emissions of harmful nitrous oxide can be greater in wetlands with denser vegetation.</t>
  </si>
  <si>
    <r>
      <t>Deeper water in a wetland or pond implies greater water volume overall to potentially feed downslope streams.</t>
    </r>
    <r>
      <rPr>
        <i/>
        <sz val="10"/>
        <rFont val="Arial Narrow"/>
        <family val="2"/>
      </rPr>
      <t xml:space="preserve"> In calculations, is excluded automatically (cell goes blank) if wetland never has surface water during an average year.  Also is excluded automatically if wetland is &lt;0.01 ha.</t>
    </r>
  </si>
  <si>
    <t xml:space="preserve">Other factors being equal, larger wetlands may be more likely to experience greater water loss per unit area via evaporation and infiltration, due to higher potential for wind and solar exposure.  </t>
  </si>
  <si>
    <t>Donnelly, R. and J. M. Marzluff. 2006. Relative importance of habitat quantity, structure, and spatial pattern to birds in urbanizing environments. Urban Ecosystems 9:99-117.</t>
  </si>
  <si>
    <t>Vegetation can reduce evaporative water loss by reducing wind and solar exposure.  For example,  ponds typical of Alberta's boreal region evaporate at a rate more than twice that of the adjacent peatlands (Petrone et al. 2007). However, in drier areas, some types of wetand vegetation may more often increase water loss via transpiration.This indicator describes the area of vegetation, not the proportion of a wetland that is vegetated.</t>
  </si>
  <si>
    <r>
      <rPr>
        <sz val="10"/>
        <rFont val="Arial Narrow"/>
        <family val="2"/>
        <scheme val="minor"/>
      </rPr>
      <t xml:space="preserve">Unvegetated (open) water is susceptible to removal via evaporation due to increased exposure to wind and warming sunlight. This is particularly true in warmer and drier parts of Alberta and where such waters overlie coarse-grained substrates.  In such areas, exposed waters act as evaporation windows to groundwater, exposing regional aquifers to significant water losses (Smerdon et al. 2005), leading to unsaturated conditions which increase the capacity to store additional precipitation. </t>
    </r>
    <r>
      <rPr>
        <i/>
        <sz val="10"/>
        <rFont val="Arial Narrow"/>
        <family val="2"/>
        <scheme val="minor"/>
      </rPr>
      <t xml:space="preserve"> In calculations, is excluded automatically (cell goes blank) if wetland never has surface water during an average year.  Also is excluded automatically if wetland is &lt;0.01 ha.</t>
    </r>
  </si>
  <si>
    <t>Headwater wetlands are more likely than lowland wetlands to be in a position to measurably influence water volume and persistence in downgradient channels.  They also are more likely to be groundwater discharge areas (Schmidt et al. 2010) capable of sustaining late season stream flow.</t>
  </si>
  <si>
    <t>Wetlands that comprise a larger proportion of their watershed are more likely to have measurable effect on downgradient waters.  They also are more likely to be groundwater discharge areas (Schmidt et al. 2010) capable of sustaining late season stream flow.</t>
  </si>
  <si>
    <t>Fens in boreal regions are typically groundwater discharge areas (Boelter &amp; Verry 1977) and such discharge is more seasonally stable and thus more likely to contribute water late in the season when streamflow otherwise can be low (McEachern et al. 2000). As well, some bogs discharge capillary water if outets are present, and thus potentially influence low flows (Siegal 1988).  Near-surface moisture in organic soils (i.e., bogs and fens) is conserved relative to mineral uplands during extended dry periods, due to reduced transmissivity of their peat, ice storage, reduced evapotranspiration, and low vertical unsaturated moisture transport (Silins and Rothwell 1998). Water tables in riparian wetlands typically fluctuate with river levels, and so are not likely to contribute much water during low flow conditions. Wooded swamps lose water via transpiration, but retain it by shading the ground and reducing evaporation.</t>
  </si>
  <si>
    <r>
      <t xml:space="preserve">Deeper waters usually imply slower water velocity, longer water detention time that allows for gravity settling of suspended sediments (Wiklund et al. 2012), more space for storing deposited sediments over time, and reduced likelihood of deposited sediments being resuspended by wind mixing or currents (Evans &amp; Rigler 1983, Nolen et al. 1985). However, vegetation density is usually greater in shallow wetlands, providing other opportunities to filter and stabilize (with roots systems) suspended sediments. </t>
    </r>
    <r>
      <rPr>
        <i/>
        <sz val="10"/>
        <rFont val="Arial Narrow"/>
        <family val="2"/>
      </rPr>
      <t>In calculations, is excluded automatically (cell goes blank) if wetland never has surface water during an average year. Also is excluded automatically if wetland is &lt;0.01 ha.</t>
    </r>
  </si>
  <si>
    <t>Constructed (and some restored) wetlands -- especially those in gravel pits (Harper &amp; Kershaw 1997) -- typically have lower soil organic matter (Shaffer &amp; Ernst 1999), and that deficit limits denitrification that otherwise removes nitrate. Thus, new wetlands would be expected to be less able to process the nitrate they receive, releasing it instead to downstream waters. However, the proportion of incoming nitrate that is exported in some cases is greater in soils that are more fertile, i.e., nearing nitrate saturation, with a C:N ratio lower than 25 (e.g., Gundersen et al. 2006).</t>
  </si>
  <si>
    <r>
      <t xml:space="preserve">Frequent, long-duration, and/or high flooding scours organic debris, thereby removing nutrients from  a wetland (Poff et al. 1997).  Streams are an important transporter of protein-rich, labile DOM in temperate watersheds (Fellman et al. 2009). Thus, annual export of accumulated organic matter to downstream water can be greater in wetlands with outlets, especially those with persistent outflow.  Nonetheless, even wetlands that lack outlets may export variable amounts of dissolved carbon via subsurface infiltration and "pipes" created by decayed subsurface peat and tree roots which cannot be evaluated in a rapid assessment. </t>
    </r>
    <r>
      <rPr>
        <i/>
        <sz val="10"/>
        <rFont val="Arial Narrow"/>
        <family val="2"/>
        <scheme val="minor"/>
      </rPr>
      <t>In calculations, is excluded automatically (cell goes blank) if wetland never has surface water during an average year.</t>
    </r>
  </si>
  <si>
    <t xml:space="preserve">Soil organic matter is slow to accumulate in constructed wetlands (Alsfeld et al. 2009), especially those created in borrow pits (Harper &amp; Kershaw 1997), so less is likely to be available for export. </t>
  </si>
  <si>
    <t xml:space="preserve">The extent of surface water in a lake or fish-accessible wetland is one of the strongest predictors of overwinter fish survival in Alberta (Paszkowski &amp; Tonn 2000). </t>
  </si>
  <si>
    <t>At least for northern pike, fire may be beneficial by decreasing the density of streamside vegetation, resulting in better spawning and rearing habitat over the long term (Cott et al. 2010). Fire creates snags that provide important cover for fish when they fall into streams and wetlands (Jones &amp; Daniels 2008) during the 40+ years post-fire required for recovery of forests that normally are the main source of LWD.</t>
  </si>
  <si>
    <t xml:space="preserve">Aquatic macroinvertebrate communities are negatively associated with agricultural land in a catchment but positively associated with forested land or other perennial cover in areas closest to a stream or wetland (Steedman 1988, Wang et al. 1997).
</t>
  </si>
  <si>
    <t>Larger wetlands and ponds are used disproportionately by some species of nesting waterbirds. Smaller identical wetlands of equal cumulative area probably support lower numbers and less cumulative richness of waterbirds, unless they are close together and connected with corridors of undeveloped land (Paszkowski &amp; Tonn 2000).</t>
  </si>
  <si>
    <r>
      <t xml:space="preserve">Waterfowl nests on islands that are inaccessible to mammalian predators are more successful (Loekmoen &amp; Woodward 1992, Fournier &amp; Hines 2001). </t>
    </r>
    <r>
      <rPr>
        <i/>
        <sz val="10"/>
        <rFont val="Arial Narrow"/>
        <family val="2"/>
      </rPr>
      <t xml:space="preserve"> If wetland does not contain an island or is &lt;0.01 ha, then ignored in calculations rather than being counted as a negative.</t>
    </r>
  </si>
  <si>
    <t xml:space="preserve">In herbaceous wetlands, the type of adjoining upland cover is very important to many nesting waterbird species (Horn et al. 2005, Found et al. 2008, Kuczynski &amp; Paszkowski 2010, Bayley et al. 2013). Most upland-nesting waterfowl nest within about 1000 ft of wetlands. Maintaining natural vegetation (especially dense native grasslnd) in such areas makes it difficult for predators to find nests. </t>
  </si>
  <si>
    <r>
      <t xml:space="preserve">Beaver impoundments, especially after they are abandoned and revert to early successional shrubs, are very species-rich in animal life compared with other land cover types (Grover &amp; Baldassarre 1995, Aznar &amp; Desrochers 2008).  In Alberta, they are disproportionately selected by river otter (Reid et al.1994).  </t>
    </r>
    <r>
      <rPr>
        <i/>
        <sz val="10"/>
        <rFont val="Arial Narrow"/>
        <family val="2"/>
        <scheme val="minor"/>
      </rPr>
      <t>In calculations, is excluded automatically (cell goes blank) if wetland never has surface water during an average year.</t>
    </r>
  </si>
  <si>
    <t xml:space="preserve">Road corridors are a significant vector for non-native plants that can reduce native plant richness if they invade nearby wetlands. Roads directly promote exotic plant establishment via vehicle dispersal (Schmidt 1989) or disturbance during road construction and maintenance (Safford and Harrison 2001). Roads also promote exotic plant establishment via intentional seeding of soil-stabilizing exotic plants along road verges or in disturbed areas near roads.  Moss and lichen species richness in Alberta woodlands is reduced up to 15m from roads and other woodland edges due to changes in temperature, humidity, nutrients, and light intensity (Gignac et al. 1991, Gignac and Dale 2005).  
</t>
  </si>
  <si>
    <r>
      <t xml:space="preserve">Beaver impoundments increase richness of wetland plants locally, especially a few years after they are abandoned (Pollock et al. 1998, Wright et al. 2002, 2003; Martell et al. 2006, Bayley &amp; Guimond 2008, Hood &amp; Bayley 2008). </t>
    </r>
    <r>
      <rPr>
        <i/>
        <sz val="10"/>
        <rFont val="Arial Narrow"/>
        <family val="2"/>
      </rPr>
      <t>In calculations, is excluded automatically (cell goes blank) if wetland never has surface water during an average year.</t>
    </r>
  </si>
  <si>
    <t>Inflowing streams (and especially, spill-over of water from rivers into floodplains) bring plant propagules that can sprout and diversify wetland plant communities. As well, they bring in nutrients which are concentrated by evaporation in floodplain wetlands once seasonal connections with rivers are natually severed as water levels drop (Lesack et al. 1998) . Those nutrients potentially spur growth and diversification of many wetland-associated plants (Ogbebo et al. 2009) but annual spillover flooding from rivers may not be essential to maintaining high nutrient concentrations in some of Alberta's floodplain wetlands (Wiklund et al. 2012).  Indeed, many boreal ponds and wetlands with less river connectivity tend to have higher nutrient concentrations, higher alkalinity, and higher concentrations of dissolved organic matter (Wolfe et al. 2005).  Flood waters from rivers also bring more sediment into floodplain lakes and wetlands (Wolfe et al. 2005, Pavelsky &amp; Smith 2009), which often decreases their aquatic plant biomass (Sokal et al. 2010) and perhaps richness (Bayley &amp; Guimond 2008), depending on other factors.</t>
  </si>
  <si>
    <t>Scientific Name</t>
  </si>
  <si>
    <t>Common Name</t>
  </si>
  <si>
    <t>Wetland-associated?</t>
  </si>
  <si>
    <t>Agrostis exarata</t>
  </si>
  <si>
    <t>spike redtop</t>
  </si>
  <si>
    <t>Anemone quinquefolia</t>
  </si>
  <si>
    <t>wood anemone</t>
  </si>
  <si>
    <t>Arabidopsis salsuginea</t>
  </si>
  <si>
    <t>mouse-ear cress</t>
  </si>
  <si>
    <t>Arctagrostis arundinacea</t>
  </si>
  <si>
    <t>polar grass</t>
  </si>
  <si>
    <t>Artemisia borealis</t>
  </si>
  <si>
    <t>northern wormwood</t>
  </si>
  <si>
    <t>Astragalus bodinii</t>
  </si>
  <si>
    <t>Bodin's milk vetch</t>
  </si>
  <si>
    <t>Blysmus rufus</t>
  </si>
  <si>
    <t>Red Bulrush</t>
  </si>
  <si>
    <t>Bolboschoenus fluviatilis</t>
  </si>
  <si>
    <t>river bulrush</t>
  </si>
  <si>
    <t>Boschniakia rossica</t>
  </si>
  <si>
    <t>ground-cone</t>
  </si>
  <si>
    <t>Botrychium ascendens</t>
  </si>
  <si>
    <t>ascending grape fern</t>
  </si>
  <si>
    <t>Botrychium crenulatum</t>
  </si>
  <si>
    <t>scalloped grapefern</t>
  </si>
  <si>
    <t>Botrychium hesperium</t>
  </si>
  <si>
    <t>western grape fern</t>
  </si>
  <si>
    <t>Botrychium lanceolatum</t>
  </si>
  <si>
    <t>lance-leaved grape fern</t>
  </si>
  <si>
    <t>Botrychium matricariifolium</t>
  </si>
  <si>
    <t>chamomile grape-fern</t>
  </si>
  <si>
    <t>Botrychium michiganense</t>
  </si>
  <si>
    <t>Michigan grapefern</t>
  </si>
  <si>
    <t>Botrychium oneidense</t>
  </si>
  <si>
    <t>blunt-lobe grape-fern</t>
  </si>
  <si>
    <t>Botrychium pallidum</t>
  </si>
  <si>
    <t>pale moonwort</t>
  </si>
  <si>
    <t>Botrychium pinnatum</t>
  </si>
  <si>
    <t>northwestern grapefern</t>
  </si>
  <si>
    <t>Botrychium simplex</t>
  </si>
  <si>
    <t>dwarf grape fern</t>
  </si>
  <si>
    <t>Botrychium spathulatum</t>
  </si>
  <si>
    <t>spatulate grape fern</t>
  </si>
  <si>
    <t>Boykinia heucheriformis</t>
  </si>
  <si>
    <t>telesonix</t>
  </si>
  <si>
    <t>Brasenia schreberi</t>
  </si>
  <si>
    <t>watershield</t>
  </si>
  <si>
    <t>Calamagrostis lapponica</t>
  </si>
  <si>
    <t>Lapland reed grass</t>
  </si>
  <si>
    <t>Campanula aparinoides</t>
  </si>
  <si>
    <t>marsh bellflower</t>
  </si>
  <si>
    <t>Cardamine parviflora</t>
  </si>
  <si>
    <t>small bitter cress</t>
  </si>
  <si>
    <t>Carex adusta</t>
  </si>
  <si>
    <t>browned sedge</t>
  </si>
  <si>
    <t>Carex arcta</t>
  </si>
  <si>
    <t>narrow sedge</t>
  </si>
  <si>
    <t>Carex heleonastes</t>
  </si>
  <si>
    <t>Hudson Bay sedge</t>
  </si>
  <si>
    <t>Carex hystericina</t>
  </si>
  <si>
    <t>porcupine sedge</t>
  </si>
  <si>
    <t>Carex lacustris</t>
  </si>
  <si>
    <t>lakeshore sedge</t>
  </si>
  <si>
    <t>Carex mertensii</t>
  </si>
  <si>
    <t>purple sedge</t>
  </si>
  <si>
    <t>Carex oligosperma</t>
  </si>
  <si>
    <t>few-fruited sedge</t>
  </si>
  <si>
    <t>Carex pedunculata</t>
  </si>
  <si>
    <t>stalked sedge</t>
  </si>
  <si>
    <t>Carex podocarpa</t>
  </si>
  <si>
    <t>alpine sedge</t>
  </si>
  <si>
    <t>Carex scoparia</t>
  </si>
  <si>
    <t>broom sedge</t>
  </si>
  <si>
    <t>Carex supina</t>
  </si>
  <si>
    <t>weak sedge</t>
  </si>
  <si>
    <t>Carex umbellata</t>
  </si>
  <si>
    <t>umbellate sedge</t>
  </si>
  <si>
    <t>Carex vulpinoidea</t>
  </si>
  <si>
    <t>fox sedge</t>
  </si>
  <si>
    <t>Chrysosplenium iowense</t>
  </si>
  <si>
    <t>golden saxifrage</t>
  </si>
  <si>
    <t>Cypripedium acaule</t>
  </si>
  <si>
    <t>stemless lady's-slipper</t>
  </si>
  <si>
    <t>Cystopteris montana</t>
  </si>
  <si>
    <t>mountain bladder fern</t>
  </si>
  <si>
    <t>Danthonia spicata</t>
  </si>
  <si>
    <t>poverty oat grass</t>
  </si>
  <si>
    <t>Deschampsia elongata</t>
  </si>
  <si>
    <t>slender hair grass</t>
  </si>
  <si>
    <t>Diphasiastrum sitchense</t>
  </si>
  <si>
    <t>ground-fir</t>
  </si>
  <si>
    <t>Draba porsildii</t>
  </si>
  <si>
    <t>Porsild's whitlow-grass</t>
  </si>
  <si>
    <t>Dryopteris cristata</t>
  </si>
  <si>
    <t>crested shield fern</t>
  </si>
  <si>
    <t>Dryopteris filix-mas</t>
  </si>
  <si>
    <t>male fern</t>
  </si>
  <si>
    <t>Elatine triandra</t>
  </si>
  <si>
    <t>waterwort</t>
  </si>
  <si>
    <t>Eleocharis elliptica</t>
  </si>
  <si>
    <t>slender spikerush</t>
  </si>
  <si>
    <t>Elodea bifoliata</t>
  </si>
  <si>
    <t>two-leaved waterweed</t>
  </si>
  <si>
    <t>Elodea canadensis</t>
  </si>
  <si>
    <t>Canada waterweed</t>
  </si>
  <si>
    <t>Epilobium clavatum</t>
  </si>
  <si>
    <t>willowherb</t>
  </si>
  <si>
    <t>Epilobium halleanum</t>
  </si>
  <si>
    <t>Epilobium lactiflorum</t>
  </si>
  <si>
    <t>Epilobium leptocarpum</t>
  </si>
  <si>
    <t>Epilobium saximontanum</t>
  </si>
  <si>
    <t>Rocky Mountain willowherb</t>
  </si>
  <si>
    <t>Erigeron hyssopifolius</t>
  </si>
  <si>
    <t>wild daisy fleabane</t>
  </si>
  <si>
    <t>Eriophorum callitrix</t>
  </si>
  <si>
    <t>beautiful cotton grass</t>
  </si>
  <si>
    <t>Eupatorium maculatum</t>
  </si>
  <si>
    <t>spotted Joe-pye weed</t>
  </si>
  <si>
    <t>Festuca altaica</t>
  </si>
  <si>
    <t>northern rough fescue</t>
  </si>
  <si>
    <t>Geranium carolinianum</t>
  </si>
  <si>
    <t>Carolina wild geranium</t>
  </si>
  <si>
    <t>Glyceria elata</t>
  </si>
  <si>
    <t>tufted tall manna grass</t>
  </si>
  <si>
    <t>Gymnocarpium disjunctum</t>
  </si>
  <si>
    <t>western oak fern</t>
  </si>
  <si>
    <t>Gymnocarpium jessoense</t>
  </si>
  <si>
    <t>northern oak fern</t>
  </si>
  <si>
    <t>Hedyotis longifolia</t>
  </si>
  <si>
    <t>long-leaved bluets</t>
  </si>
  <si>
    <t>Hypericum majus</t>
  </si>
  <si>
    <t>large Canada St. John's-wort</t>
  </si>
  <si>
    <t>Isoetes echinospora</t>
  </si>
  <si>
    <t>northern quillwort</t>
  </si>
  <si>
    <t>Juncus brevicaudatus</t>
  </si>
  <si>
    <t>short-tail rush</t>
  </si>
  <si>
    <t>Juncus nevadensis</t>
  </si>
  <si>
    <t>Nevada rush</t>
  </si>
  <si>
    <t>Koenigia islandica</t>
  </si>
  <si>
    <t>koenigia</t>
  </si>
  <si>
    <t>Lactuca biennis</t>
  </si>
  <si>
    <t>tall blue lettuce</t>
  </si>
  <si>
    <t>Lathyrus palustris</t>
  </si>
  <si>
    <t>vetchling peavine</t>
  </si>
  <si>
    <t>Leymus mollis</t>
  </si>
  <si>
    <t>American dune grass</t>
  </si>
  <si>
    <t>Liparis loeselii</t>
  </si>
  <si>
    <t>Loesel's twayblade</t>
  </si>
  <si>
    <t>Lobelia dortmanna</t>
  </si>
  <si>
    <t>water lobelia</t>
  </si>
  <si>
    <t>Lomatogonium rotatum</t>
  </si>
  <si>
    <t>marsh felwort</t>
  </si>
  <si>
    <t>Luzula acuminata</t>
  </si>
  <si>
    <t>wood-rush</t>
  </si>
  <si>
    <t>Luzula groenlandica</t>
  </si>
  <si>
    <t>Luzula rufescens</t>
  </si>
  <si>
    <t>reddish wood-rush</t>
  </si>
  <si>
    <t>Lycopodiella inundata</t>
  </si>
  <si>
    <t>bog club-moss</t>
  </si>
  <si>
    <t>Malaxis paludosa</t>
  </si>
  <si>
    <t>bog adder's-mouth</t>
  </si>
  <si>
    <t>Mimulus guttatus</t>
  </si>
  <si>
    <t>yellow monkeyflower</t>
  </si>
  <si>
    <t>Mimulus ringens</t>
  </si>
  <si>
    <t>square-stem monkeyflower</t>
  </si>
  <si>
    <t>Monotropa hypopithys</t>
  </si>
  <si>
    <t>pinesap</t>
  </si>
  <si>
    <t>Muhlenbergia racemosa</t>
  </si>
  <si>
    <t>marsh muhly</t>
  </si>
  <si>
    <t>Najas flexilis</t>
  </si>
  <si>
    <t>slender naiad</t>
  </si>
  <si>
    <t>Nymphaea leibergii</t>
  </si>
  <si>
    <t>pygmy water-lily</t>
  </si>
  <si>
    <t>Nymphaea tetragona</t>
  </si>
  <si>
    <t>white water-lily</t>
  </si>
  <si>
    <t>Oryzopsis canadensis</t>
  </si>
  <si>
    <t>Canadian rice grass</t>
  </si>
  <si>
    <t>Oryzopsis micrantha</t>
  </si>
  <si>
    <t>little-seed rice grass</t>
  </si>
  <si>
    <t>Panicum acuminatum</t>
  </si>
  <si>
    <t>hot-springs millet</t>
  </si>
  <si>
    <t>Panicum leibergii</t>
  </si>
  <si>
    <t>Leiberg's millet</t>
  </si>
  <si>
    <t>Pedicularis sudetica</t>
  </si>
  <si>
    <t>purple rattle</t>
  </si>
  <si>
    <t>Pellaea glabella</t>
  </si>
  <si>
    <t>smooth cliff brake</t>
  </si>
  <si>
    <t>Phegopteris connectilis</t>
  </si>
  <si>
    <t>northern beech fern</t>
  </si>
  <si>
    <t>Pinguicula villosa</t>
  </si>
  <si>
    <t>small butterwort</t>
  </si>
  <si>
    <t>Pinus albicaulis</t>
  </si>
  <si>
    <t>whitebark pine</t>
  </si>
  <si>
    <t>Pinus flexilis</t>
  </si>
  <si>
    <t>limber pine</t>
  </si>
  <si>
    <t>Plantago maritima</t>
  </si>
  <si>
    <t>sea-side plantain</t>
  </si>
  <si>
    <t>Polygala paucifolia</t>
  </si>
  <si>
    <t>fringed milkwort</t>
  </si>
  <si>
    <t>Potamogeton foliosus</t>
  </si>
  <si>
    <t>leafy pondweed</t>
  </si>
  <si>
    <t>Potamogeton obtusifolius</t>
  </si>
  <si>
    <t>blunt-leaved pondweed</t>
  </si>
  <si>
    <t>Potamogeton robbinsii</t>
  </si>
  <si>
    <t>Robbins' pondweed</t>
  </si>
  <si>
    <t>Potamogeton strictifolius</t>
  </si>
  <si>
    <t>linear-leaved pondweed</t>
  </si>
  <si>
    <t>Potentilla hookeriana</t>
  </si>
  <si>
    <t>Hooker's cinquefoil</t>
  </si>
  <si>
    <t>Potentilla multifida</t>
  </si>
  <si>
    <t>branched cinquefoil</t>
  </si>
  <si>
    <t>Potentilla multisecta</t>
  </si>
  <si>
    <t>smooth-leaved cinquefoil</t>
  </si>
  <si>
    <t>Prenanthes alata</t>
  </si>
  <si>
    <t>white lettuce</t>
  </si>
  <si>
    <t>Primula egaliksensis</t>
  </si>
  <si>
    <t>primrose</t>
  </si>
  <si>
    <t>Rhynchospora capillacea</t>
  </si>
  <si>
    <t>slender beak-rush</t>
  </si>
  <si>
    <t>Rubus x paracaulis</t>
  </si>
  <si>
    <t>hybrid dwarf raspberry</t>
  </si>
  <si>
    <t>Ruppia cirrhosa</t>
  </si>
  <si>
    <t>widgeon-grass</t>
  </si>
  <si>
    <t>Sagina nodosa</t>
  </si>
  <si>
    <t>pearlwort</t>
  </si>
  <si>
    <t>Sagittaria latifolia</t>
  </si>
  <si>
    <t>broad-leaved arrowhead</t>
  </si>
  <si>
    <t>Salix commutata</t>
  </si>
  <si>
    <t>changeable willow</t>
  </si>
  <si>
    <t>Salix raupii</t>
  </si>
  <si>
    <t>Raup's willow</t>
  </si>
  <si>
    <t>Salix sitchensis</t>
  </si>
  <si>
    <t>Sitka willow</t>
  </si>
  <si>
    <t>Salix tyrrellii</t>
  </si>
  <si>
    <t>Tyrrell's willow</t>
  </si>
  <si>
    <t>Saxifraga odontoloma</t>
  </si>
  <si>
    <t>saxifrage</t>
  </si>
  <si>
    <t>Schoenoplectus heterochaetus</t>
  </si>
  <si>
    <t>Slender Bulrush</t>
  </si>
  <si>
    <t>Scirpus pallidus</t>
  </si>
  <si>
    <t>pale bulrush</t>
  </si>
  <si>
    <t>Silene antirrhina</t>
  </si>
  <si>
    <t>sleepy catchfly</t>
  </si>
  <si>
    <t>Sisyrinchium septentrionale</t>
  </si>
  <si>
    <t>pale blue-eyed grass</t>
  </si>
  <si>
    <t>Sparganium fluctuans</t>
  </si>
  <si>
    <t>bur-reed</t>
  </si>
  <si>
    <t>Sparganium glomeratum</t>
  </si>
  <si>
    <t>Sparganium hyperboreum</t>
  </si>
  <si>
    <t>northern bur-reed</t>
  </si>
  <si>
    <t>Spartina pectinata</t>
  </si>
  <si>
    <t>prairie cord grass</t>
  </si>
  <si>
    <t>Spergularia salina</t>
  </si>
  <si>
    <t>salt-marsh sand spurry</t>
  </si>
  <si>
    <t>Sphenopholis obtusata</t>
  </si>
  <si>
    <t>prairie wedge grass</t>
  </si>
  <si>
    <t>Spiranthes lacera</t>
  </si>
  <si>
    <t>northern slender ladies'-tresses</t>
  </si>
  <si>
    <t>Stellaria arenicola</t>
  </si>
  <si>
    <t>sand-dune chickweed</t>
  </si>
  <si>
    <t>Stellaria crispa</t>
  </si>
  <si>
    <t>wavy-leaved chickweed</t>
  </si>
  <si>
    <t>Streptopus roseus</t>
  </si>
  <si>
    <t>rose mandarin</t>
  </si>
  <si>
    <t>Streptopus streptopoides</t>
  </si>
  <si>
    <t>twisted-stalk</t>
  </si>
  <si>
    <t>Trichophorum clintonii</t>
  </si>
  <si>
    <t>Clinton's bulrush</t>
  </si>
  <si>
    <t>Trisetum montanum</t>
  </si>
  <si>
    <t>mountain trisetum</t>
  </si>
  <si>
    <t>Utricularia cornuta</t>
  </si>
  <si>
    <t>horned bladderwort</t>
  </si>
  <si>
    <t>Viola pallens</t>
  </si>
  <si>
    <t>Macloskey's violet</t>
  </si>
  <si>
    <t>Wolffia columbiana</t>
  </si>
  <si>
    <t>watermeal</t>
  </si>
  <si>
    <t>BIRDS</t>
  </si>
  <si>
    <t>Upland cover with perennial vegetation is very important to many songbirds and mammals that occur in wetlands or along a wetland's upland edge. Wetlands that contain or are close to natural land cover, and not separated from that by roads that interfere with movements across the landscape, are more likely to support forest-dwelling species. Some Alberta bird species declined as buffer width narrowed from 200 to 100 m and narrower. Thus, buffers of &lt;100 m width may not be adequate to protect some species from impacts of clearcutting and other activities that remove tall vegetation (Hannon et al. 2002). Forested buffers provide movement corridors for several birds (Robichaud et al. 2002) and mammals.  The probability that a forest-dwelling bird will fly in the open between two patches of forest decreases rapidly as the distance separating those patches increases (Desrochers &amp; Hannon 1997, St. Clair et al. 1998). Forest bird species usually prefer to detour under forest cover even if the forested route is longer, but if the detour is too long, they will prefer a shortcut across openland. However, when possible most forest bird species avoid venturing farther than about 100 ft from a forest edge (St. Clair et al. 1998).</t>
  </si>
  <si>
    <t>Trumpeter Swan</t>
  </si>
  <si>
    <t>Northern Pintail</t>
  </si>
  <si>
    <t>Green-winged Teal</t>
  </si>
  <si>
    <t>Lesser Scaup</t>
  </si>
  <si>
    <t>White-winged Scoter</t>
  </si>
  <si>
    <t>Pied-billed Grebe</t>
  </si>
  <si>
    <t>Horned Grebe</t>
  </si>
  <si>
    <t>ABMI</t>
  </si>
  <si>
    <t>X</t>
  </si>
  <si>
    <t>Sharp-tailed Grouse</t>
  </si>
  <si>
    <t>American Bittern</t>
  </si>
  <si>
    <t>Great Blue Heron</t>
  </si>
  <si>
    <t>Black-crowned Night-heron</t>
  </si>
  <si>
    <t>Osprey</t>
  </si>
  <si>
    <t>Bald Eagle</t>
  </si>
  <si>
    <t>Northern Harrier</t>
  </si>
  <si>
    <t>Northern Goshawk</t>
  </si>
  <si>
    <t>Broad-winged Hawk</t>
  </si>
  <si>
    <t>Golden Eagle</t>
  </si>
  <si>
    <t>American Kestrel</t>
  </si>
  <si>
    <t>Peregrine Falcon</t>
  </si>
  <si>
    <t>Yellow Rail</t>
  </si>
  <si>
    <t>Sora</t>
  </si>
  <si>
    <t>Sandhill Crane</t>
  </si>
  <si>
    <t>Black Tern</t>
  </si>
  <si>
    <t>Barred Owl</t>
  </si>
  <si>
    <t>Great Gray Owl</t>
  </si>
  <si>
    <t>Short-eared Owl</t>
  </si>
  <si>
    <t>Common Nighthawk</t>
  </si>
  <si>
    <t>Black-backed Woodpecker</t>
  </si>
  <si>
    <t>Pileated Woodpecker</t>
  </si>
  <si>
    <t>Western Wood-pewee</t>
  </si>
  <si>
    <t>Least Flycatcher</t>
  </si>
  <si>
    <t>Eastern Phoebe</t>
  </si>
  <si>
    <t>Barn Swallow</t>
  </si>
  <si>
    <t>Brown Creeper</t>
  </si>
  <si>
    <t>Common Yellowthroat</t>
  </si>
  <si>
    <t>Cape May Warbler</t>
  </si>
  <si>
    <t>Bay-breasted Warbler</t>
  </si>
  <si>
    <t>Black-throated Green Warbler</t>
  </si>
  <si>
    <t>Canada Warbler</t>
  </si>
  <si>
    <t>Western Tanager</t>
  </si>
  <si>
    <t>Whooping Crane</t>
  </si>
  <si>
    <t>American White Pelican</t>
  </si>
  <si>
    <t>Olive-sided Flycatcher</t>
  </si>
  <si>
    <t>Western Grebe (colonies)</t>
  </si>
  <si>
    <t>Palm Warbler</t>
  </si>
  <si>
    <t>Rusty Blackbird</t>
  </si>
  <si>
    <t xml:space="preserve">To meet all their life history requirements, most amphibians require uplands in close proximity to, or interspersed within, suitable wetlands.  Uplands that are dominated by natural vegetation usually provide the most suitable microclimates and habitat structure.  When radiotracked frogs on Vancouver Island were released inside clusters of trees amidst otherwise unsuitable habitat (clearcuts), the proportion of frogs abandoning the tree cluster was greater the smaller the cluster.  Frogs were less likely to leave tree patches intersected by a running stream or where neighborhood stream density was high.  Scattered tree patches of 2.0 to 3.7 acres, preferably in stream locations, were the minimum needed to allow successful overland passage of one frog species (Chan-McLeod &amp; Moy 2007). Beaver ponds were less likely to be present on Alberta streams if much of the forest within 0.5 km had been removed by cutblocks, and this was true even when favoured foods (poplar) was present along the streams (Stevens et al. 2007). </t>
  </si>
  <si>
    <r>
      <t xml:space="preserve">During certain months of the year many salamanders and some frogs and toads require the moist microclimate and abundant invertebrate foods found in or under large downed in the uplands surrounding wetlands.  Forests with large-diameter trees are most likely to have such conditions.  The dominant type of vegetation, both near a stream and in a watershed generally, has the potential to strongly influence aquatic productivity and thus larval amphibian survival (Ball et al. 2010).  Moreover, amphibian populations in this region are correlated with distribution of beaver ponds, and beaver generally prefer larger-sized trees (Stevens et al. 2007). </t>
    </r>
    <r>
      <rPr>
        <i/>
        <sz val="10"/>
        <rFont val="Arial Narrow"/>
        <family val="2"/>
        <scheme val="minor"/>
      </rPr>
      <t xml:space="preserve"> In calculations, is excluded automatically (cell goes blank) if trees occupy &lt;5% of the vegetated part of the AA. Otherwise, score is based on the number of categories and the presence of the categories with the greatest weights, i.e., larger trees.</t>
    </r>
  </si>
  <si>
    <t xml:space="preserve">A greater number of wetlands per unit area implies that any single wetland is likely to be closer to others that can more easily provide propagules for recolonisation if plant communities in the target wetland are altered.  Wetlands that are more geographically isolated from each other are likely to have lower plant species richness than those close together (Nekola 1999). </t>
  </si>
  <si>
    <r>
      <t>was measured, and is:  [</t>
    </r>
    <r>
      <rPr>
        <i/>
        <sz val="10"/>
        <rFont val="Arial Narrow"/>
        <family val="2"/>
      </rPr>
      <t>enter the reading in the column to the right</t>
    </r>
    <r>
      <rPr>
        <sz val="10"/>
        <rFont val="Arial Narrow"/>
        <family val="2"/>
      </rPr>
      <t>]:</t>
    </r>
  </si>
  <si>
    <t>COSEWIC</t>
  </si>
  <si>
    <r>
      <t xml:space="preserve">As a group, sedges tend to be extremely diverse and thus contribute significantly to biodiversity within and among wetlands.  They also are often associated with diverse assemblages of other plants because they tend to occur in wetlands with fewer or less severe previous disturbances and/or pollution. </t>
    </r>
    <r>
      <rPr>
        <i/>
        <sz val="10"/>
        <rFont val="Arial Narrow"/>
        <family val="2"/>
      </rPr>
      <t>In calculations, is excluded automatically (cell goes blank) if herbaceous cover is &lt;5% of the vegetated cover.</t>
    </r>
  </si>
  <si>
    <t>Large Snags (Dead Standing Trees)</t>
  </si>
  <si>
    <t>Several ( &gt;5/hectare) and a pond, lake, or slow-flowing water wider than 10 m is within 1 km.</t>
  </si>
  <si>
    <t>Several ( &gt;5/hectare) but above not true.</t>
  </si>
  <si>
    <t xml:space="preserve">&lt;10 cm change (stable or nearly so) </t>
  </si>
  <si>
    <t>Multiple depth classes and none occupy more than 50% of the AA.</t>
  </si>
  <si>
    <t xml:space="preserve">Robust Emergents </t>
  </si>
  <si>
    <t>1-5% of the water.  The rest is flowing.</t>
  </si>
  <si>
    <r>
      <t xml:space="preserve">&gt;99% of the water.  Little or no visibly flowing water </t>
    </r>
    <r>
      <rPr>
        <b/>
        <sz val="10"/>
        <rFont val="Arial Narrow"/>
        <family val="2"/>
      </rPr>
      <t>within</t>
    </r>
    <r>
      <rPr>
        <sz val="10"/>
        <rFont val="Arial Narrow"/>
        <family val="2"/>
      </rPr>
      <t xml:space="preserve"> the AA.</t>
    </r>
  </si>
  <si>
    <t xml:space="preserve">None, or &lt;0.01 hectare and &lt;1% of the AA. </t>
  </si>
  <si>
    <t>Scattered.  More than 30% of such vegetation forms small islands or corridors surrounded by water.</t>
  </si>
  <si>
    <t>Clumped. More than 70% of such vegetation is in bands along the wetland perimeter or is clumped at one or a few sides of the surface water area.</t>
  </si>
  <si>
    <t>Open Water - Minimum Depth</t>
  </si>
  <si>
    <t>Little or none</t>
  </si>
  <si>
    <t>Does not bump into plant stems as it travels through the AA.  Nearly all the water continues to travel in unvegetated (often incised) channels that have minimal contact with wetland vegetation, or through a zone of open water such as an instream pond or lake.</t>
  </si>
  <si>
    <t>leaves through natural exits (channels or diffuse outflow), not mainly through artificial or temporary features.</t>
  </si>
  <si>
    <t>bare or nearly bare pervious surface or managed vegetation, e.g., lawn, annual crops, mostly-unvegetated clearcut, landslide, unpaved road, drill pad, dike.</t>
  </si>
  <si>
    <t>burned &gt;30 years ago, or no evidence of a burn and no data.</t>
  </si>
  <si>
    <t>The pH in most of the AA's surface water:</t>
  </si>
  <si>
    <t>S1</t>
  </si>
  <si>
    <t>S2</t>
  </si>
  <si>
    <t>S3</t>
  </si>
  <si>
    <t>S4</t>
  </si>
  <si>
    <t>The AA contains (or is part of) an island or beaver lodge within a lake, pond, or river, and is isolated from the shore by water depths &gt;2 m on all sides during an average June.  The island may be solid, or it may be a floating vegetation mat that is sufficiently large and dense to support a waterbird nest.</t>
  </si>
  <si>
    <t>Wettype3</t>
  </si>
  <si>
    <t>Burn2</t>
  </si>
  <si>
    <t>Depending on the type of fire (crown and/or ground) and type of wetland, a burn can temporarily remove vegetation cover, resulting in sediment loss rather than retention.</t>
  </si>
  <si>
    <t>Burn1</t>
  </si>
  <si>
    <t>Fire removes accumulated organic matter that otherwise is potentially available for export to aquatic food chains (Banfield et al. 2002).  However, a short-term burst of organic export may occur immediately after a fire, and fire may add carbon to streams indirectly by stimulating production of stream algae as a result of opening of the forest canopy.</t>
  </si>
  <si>
    <t>Burn6</t>
  </si>
  <si>
    <t>Conduc10</t>
  </si>
  <si>
    <t>More than 1% of the AA's previously vegetated area:</t>
  </si>
  <si>
    <t>Beaver8</t>
  </si>
  <si>
    <t>Burn8</t>
  </si>
  <si>
    <t>Conduc8</t>
  </si>
  <si>
    <t>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t>
  </si>
  <si>
    <t xml:space="preserve">  stormwater or wastewater effluent (including failing septic systems), landfills, industrial facilities</t>
  </si>
  <si>
    <t xml:space="preserve">  road salt</t>
  </si>
  <si>
    <t xml:space="preserve">  metals &amp; chemical wastes from mining, shooting ranges, snow storage areas, oil/ gas extraction, other sources</t>
  </si>
  <si>
    <t xml:space="preserve">  oil or chemical spills (not just chronic inputs) from nearby roads</t>
  </si>
  <si>
    <t xml:space="preserve">  stormwater or wastewater effluent (including failing septic systems), landfills</t>
  </si>
  <si>
    <t xml:space="preserve">  fertilizers applied to lawns, ag lands, or other areas in the CA</t>
  </si>
  <si>
    <t xml:space="preserve">  livestock, dogs  </t>
  </si>
  <si>
    <t xml:space="preserve">  artificial drainage of upslope lands</t>
  </si>
  <si>
    <t xml:space="preserve">  erosion from plowed fields, fill, timber harvest, dirt roads, vegetation clearing, fires</t>
  </si>
  <si>
    <t xml:space="preserve">  erosion from construction, in-channel machinery in the CA </t>
  </si>
  <si>
    <t xml:space="preserve">  erosion from off-road vehicles in the CA</t>
  </si>
  <si>
    <t xml:space="preserve">  erosion from livestock or foot traffic in the CA</t>
  </si>
  <si>
    <t xml:space="preserve">  stormwater or wastewater effluent</t>
  </si>
  <si>
    <t xml:space="preserve">  sediment from road sanding, gravel mining, other mining, oil/ gas extraction</t>
  </si>
  <si>
    <t xml:space="preserve">  accelerated channel downcutting or headcutting of tributaries due to altered land use</t>
  </si>
  <si>
    <t xml:space="preserve">  other human-related disturbances within the CA</t>
  </si>
  <si>
    <t xml:space="preserve">  compaction from machinery, off-road vehicles, or mountain bikes, especially during wetter periods</t>
  </si>
  <si>
    <t xml:space="preserve">  leveling or other grading not to the natural contour</t>
  </si>
  <si>
    <t xml:space="preserve">  tillage, plowing (but excluding disking for enhancement of native plants)</t>
  </si>
  <si>
    <t xml:space="preserve">  fill or riprap, excluding small amounts of upland soils containing organic amendments (compost, etc.) or small amounts of topsoil imported from another wetland</t>
  </si>
  <si>
    <t xml:space="preserve">  excavation</t>
  </si>
  <si>
    <t xml:space="preserve">  ditch cleaning or dredging in or adjacent to the wetland</t>
  </si>
  <si>
    <t xml:space="preserve">  boat traffic in or adjacent to the wetland and sufficient to cause shore erosion or stir bottom sediments</t>
  </si>
  <si>
    <t xml:space="preserve">  artificial water level or flow manipulations sufficient to cause erosion or stir bottom sediments</t>
  </si>
  <si>
    <t>Stream                Flow                 Support</t>
  </si>
  <si>
    <t>Water                 Cooling</t>
  </si>
  <si>
    <t>Sediment         Retention                           and              Stabilization</t>
  </si>
  <si>
    <t>Organic                  Matter                          Export</t>
  </si>
  <si>
    <t>Different resident fish species have different habitat needs, and a variety of depths within a wetland implies greater capacity of the wetland to meet the needs of multiple species.  /  In calculations, is excluded automatically (cell goes blank) if wetland never has surface water during an average year. Also is excluded automatically if wetland is &lt;0.01 ha.</t>
  </si>
  <si>
    <t>Amphibian         Habitat</t>
  </si>
  <si>
    <t>Waterbird       Habitat</t>
  </si>
  <si>
    <t>Human Use          and              Recognition</t>
  </si>
  <si>
    <t>Within 0-100 m of the AA</t>
  </si>
  <si>
    <t>ToxSource13</t>
  </si>
  <si>
    <r>
      <t xml:space="preserve">Snags provide nest cavities for a few waterbird species, e.g., hooded merganser. Such trees may be used even when located a considerable distance from the wetland.  </t>
    </r>
    <r>
      <rPr>
        <i/>
        <sz val="10"/>
        <rFont val="Arial Narrow"/>
        <family val="2"/>
      </rPr>
      <t xml:space="preserve">In calculations, is excluded automatically (cell goes blank) if trees occupy &lt;5% of the vegetated part of the AA. </t>
    </r>
  </si>
  <si>
    <r>
      <t xml:space="preserve">Tree cavities are needed by many nesting songbirds and mammals, and by roosting bats. Tall snags are especially useful to raptors as hunting perches.  Snag densities are much higher in burned-over areas than in timber harvest areas (Hobson &amp; Schieck 1999).   </t>
    </r>
    <r>
      <rPr>
        <i/>
        <sz val="10"/>
        <rFont val="Arial Narrow"/>
        <family val="2"/>
        <scheme val="minor"/>
      </rPr>
      <t xml:space="preserve"> In calculations, is excluded automatically (cell goes blank) if trees occupy &lt;5% of the vegetated part of the AA. </t>
    </r>
  </si>
  <si>
    <t>ToxSource14</t>
  </si>
  <si>
    <t>Burn10</t>
  </si>
  <si>
    <t>Fire Barrier</t>
  </si>
  <si>
    <t>Fstop</t>
  </si>
  <si>
    <t>Burn15</t>
  </si>
  <si>
    <t>Aberrant Hydrologic Regime</t>
  </si>
  <si>
    <t xml:space="preserve">   excavation within the wetland, e.g., dugout, artificial pond, dead-end ditch</t>
  </si>
  <si>
    <t xml:space="preserve">   artificial drains or ditches in or near the wetland</t>
  </si>
  <si>
    <t xml:space="preserve">   logging within the wetland</t>
  </si>
  <si>
    <t xml:space="preserve">   accelerated downcutting or channelization of an adjacent or internal channel (incised below the historical water table level)</t>
  </si>
  <si>
    <t xml:space="preserve">   stormwater from impervious surfaces that drains directly to the wetland</t>
  </si>
  <si>
    <t xml:space="preserve">   water subsidies from wastewater effluent, septic system leakage, snow storage areas, or irrigation</t>
  </si>
  <si>
    <t xml:space="preserve">   straightening, ditching, dredging, and/or lining of tributary channels</t>
  </si>
  <si>
    <t xml:space="preserve">   regular removal of surface or groundwater for irrigation or other consumptive use</t>
  </si>
  <si>
    <t xml:space="preserve">   a dam, dike, levee, weir, berm, or fill -- within or downgradient from the wetland -- that interferes with surface or subsurface flow in/out of the AA (e.g., road fill, wellpads, pipelines)</t>
  </si>
  <si>
    <t xml:space="preserve">   subsidence or compaction of the wetland's substrate as a result of machinery, livestock, fire, drainage, or off road vehicles</t>
  </si>
  <si>
    <t>Spatial extent of the change within the AA</t>
  </si>
  <si>
    <t>When the change began</t>
  </si>
  <si>
    <t>Water level increase or decrease</t>
  </si>
  <si>
    <t>&gt;30 cm</t>
  </si>
  <si>
    <t>15-30 cm</t>
  </si>
  <si>
    <t>&lt;15 cm</t>
  </si>
  <si>
    <t>shift of weeks, or became became very flashy or controlled</t>
  </si>
  <si>
    <t>shift of hours or minutes, or became mildly flashy or controlled</t>
  </si>
  <si>
    <t>Brown, S. M., R. M. Petrone, C. Mendoza, and K. J. Devito. 2010. Surface vegetation controls on evapotranspiration from a sub-humid Western Boreal Plain wetland. Hydrological Processes 24:1072-1085.</t>
  </si>
  <si>
    <t>Devito, K., I. Creed, T. Gan, C. Mendoza, R. Petrone, U. Silins, and B. Smerdon. 2005. A framework for broad-scale classification of hydrologic response units on the Boreal Plain: is topography the last thing to consider? Hydrological Processes 19:1705-1714.</t>
  </si>
  <si>
    <t>Ehsanzadeh, E., C. Spence, G. van der Kamp, and B. McConkey. 2012. On the behaviour of dynamic contributing areas and flood frequency curves in North American Prairie watersheds. Journal of Hydrology 414:364-373.</t>
  </si>
  <si>
    <t>Halsey, L. A., D. H. Vitt, and D. O. Trew. 1997. Influence of peatlands on the acidity of lakes in northeastern Alberta, Canada. Water Air and Soil Pollution 96:17-38.</t>
  </si>
  <si>
    <t>McAllister, L. S., B. E. Peniston, S. G. Leibowitz, B. Abbruzzese, and J. B. Hyman. 2000. A synoptic assessment for prioritizing wetland restoration efforts to optimize flood attenuation. Wetlands 20:70-83.</t>
  </si>
  <si>
    <t>Petrone, R. M., U. Silins, and K. J. Devito. 2007. Dynamics of evapotranspiration from a riparian pond complex in the Western Boreal Forest, Alberta, Canada. Hydrological Processes 21:1391-1401.</t>
  </si>
  <si>
    <t>Schmidt, A., J. J. Gibson, I. R. Santos, M. Schubert, K. Tattrie, and H. Weiss. 2010. The contribution of groundwater discharge to the overall water budget of two typical Boreal lakes in Alberta/Canada estimated from a radon mass balance. Hydrology and Earth System Sciences 14:79-89.</t>
  </si>
  <si>
    <t>Smerdon, B. D., K. J. Devito, and C. A. Mendoza. 2005. Interaction of groundwater and shallow lakes on outwash sediments in the sub-humid Boreal Plains of Canada. Journal of Hydrology 314:246-262.</t>
  </si>
  <si>
    <t>St. Amour, N. A., J. J. Gibson, T. W. D. Edwards, T. D. Prowse, and A. Pietroniro. 2005. Isotopic time-series partitioning of streamflow components in wetland‐dominated catchments, lower Liard River basin, Northwest Territories, Canada. Hydrological Processes 19:3357-3381.</t>
  </si>
  <si>
    <t>Quinton, W. L., M. Hayashi, and A. Pietroniro. 2003. Connectivity and storage functions of channel fens and flat bogs in northern basins. Hydrological Processes 17:3665-3684.</t>
  </si>
  <si>
    <t>Fens are typically groundwater discharge areas. Where groundwater discharges continually, the substrate remains relatively impermeable to the downward infiltration of runoff and thus there may be less capacity to store additional runoff.  Water residence time in fens tends to be shorter than in bogs, probably because bogs are more likely to lack surface water outlets (Halsey et al. 1997).  Although some researchers have reported that snowmelt runoff is attenuated better in boreal watersheds whose dominant wetlands are fens rather than bogs (St. Amour et al. 2005), a general consensus seems to be that in this region, water storage is greater in bogs than fens (Quinton et al. 2003).</t>
  </si>
  <si>
    <t>Thompson, D. K. and J. M. Waddington. 2013. Wildfire effects on vadose zone hydrology in forested boreal peatland microforms. Journal of Hydrology 486:48-56.</t>
  </si>
  <si>
    <t>Boelter, D. H. and E. S. Verry. 1977. Peatland and Water in the Northern Lake States. General Technical Report NC-31. U.S. Department of Agriculture, Forest Service, North Central Forest Experiment Station, Bridgham, SD.</t>
  </si>
  <si>
    <t>Kort, J., G. Bank, J. Pomeroy, and X. Fang. 2012. Effects of shelterbelts on snow distribution and sublimation. Agroforestry Systems 86:335-344.</t>
  </si>
  <si>
    <t>McEachern, P., E. E. Prepas, J. J. Gibson, and W. P. Dinsmore. 2000. Forest fire induced impacts on phosphorus, nitrogen, and chlorophyll a concentrations in boreal subarctic lakes of northern Alberta. Canadian Journal of Fisheries and Aquatic Sciences 57:73-81.</t>
  </si>
  <si>
    <t>Siegel, D. I. 1988. The recharge-discharge function of wetlands near Juneau, Alaska: Part II. Geochemical Investigations. Ground Water 26:580-586.</t>
  </si>
  <si>
    <t>Silins, U. and R. L. Rothwell. 1998. Forest peatland drainage and subsidence affect soil water retention and transport properties in an Alberta peatland. Soil Science Society of America Journal 62:1048-1056.</t>
  </si>
  <si>
    <t>Hayhoe, H. and C. Tarnocai. 1993. Effect of site disturbance on the soil thermal regime near Fort-Simpson, Northwest-Territories, Canada. Arctic and Alpine Research 25:37-44.</t>
  </si>
  <si>
    <t>Wiklund, J. A., R. I. Hall, and B. B. Wolfe. 2012. Timescales of hydrolimnological change in floodplain lakes of the Peace-Athabasca Delta, northern Alberta, Canada. Ecohydrology 5:351-367.</t>
  </si>
  <si>
    <t>Prepas, E. E., D. Planas, J. J. Gibson, D. H. Vitt, T. D. Prowse, W. P. Dinsmore, L. A. Halsey, P. M. McEachern, S. Paquet, and G. J. Scrimgeour. 2001. Landscape variables influencing nutrients and phytoplankton communities in Boreal Plain lakes of northern Alberta: a comparison of wetland-and upland-dominated catchments. Canadian Journal of Fisheries and Aquatic Sciences 58:1286-1299.</t>
  </si>
  <si>
    <t>Rippy, J. F. M. and P. V. Nelson. 2007. Cation exchange capacity and base saturation variation among Alberta, Canada, moss peats. Hortscience 42:349-352.</t>
  </si>
  <si>
    <t>Microbes responsible for most of the nitrate removal in wetlands thrive best at warmer soil or sediment temperatures (e.g., Beutel et al. 2009, Ryan et al. 2000).</t>
  </si>
  <si>
    <r>
      <t xml:space="preserve">Water table depth and duration of saturation affect redox and thus N cycling (D’Amore et al. 2009). Denitrification rates are highest at the interface between aerobic and anaerobic conditions. Such conditions often develop where a ponded area expands seasonally into vegetated areas. However,  in this region, alternating wet and dry periods tend to reduce denitrification and increase the release of nitrate previously accumulated in soils and organic matter (Devito et al. 2000).  </t>
    </r>
    <r>
      <rPr>
        <i/>
        <sz val="10"/>
        <rFont val="Arial Narrow"/>
        <family val="2"/>
        <scheme val="minor"/>
      </rPr>
      <t>In calculations, is excluded automatically (cell goes blank) if wetland never has surface water during an average year.</t>
    </r>
  </si>
  <si>
    <r>
      <t xml:space="preserve">Exposing sediments to the air can cause them to release accumulated nitrate, potentially resulting in less removal. In contrast, long-duration flooding usually makes sediments anaerobic, which is necessary for the denitrification process.  Denitrification processes occur when anaerobic conditions occur, which are more likely when surface water is persistent and blocks gas exchange (Devito et al. 2000). Shallow inundation tends to decrease emissions of nitrous oxide (Zaman et al. 2007, Song et al. 2008). </t>
    </r>
    <r>
      <rPr>
        <i/>
        <sz val="10"/>
        <rFont val="Arial Narrow"/>
        <family val="2"/>
        <scheme val="minor"/>
      </rPr>
      <t xml:space="preserve">In calculations, is excluded automatically (cell goes blank) if wetland never has surface water during an average year. </t>
    </r>
  </si>
  <si>
    <t>Explanations, Definitions</t>
  </si>
  <si>
    <r>
      <t xml:space="preserve">&lt;0.01 hectare (about 10 m on a side) </t>
    </r>
    <r>
      <rPr>
        <b/>
        <sz val="10"/>
        <rFont val="Arial Narrow"/>
        <family val="2"/>
      </rPr>
      <t>and</t>
    </r>
    <r>
      <rPr>
        <sz val="10"/>
        <rFont val="Arial Narrow"/>
        <family val="2"/>
      </rPr>
      <t xml:space="preserve"> &lt;1% of the AA never has surface water.  In other words, all or nearly all of the AA is covered by water permanently or at least seasonally.</t>
    </r>
  </si>
  <si>
    <t>Do not include shade from floating-leaved plants or moss.  [FH, OE, WC]</t>
  </si>
  <si>
    <t xml:space="preserve"> [FH, HU]</t>
  </si>
  <si>
    <t>[FH, HU, PR, WB]</t>
  </si>
  <si>
    <t>Flood marks (algal mats, adventitious roots, debris lines, ice scour, etc.) are often evident when not fully inundated.  Along some rivers, the extent of this zone can be estimated by multiplying by 2 the bankful height and visualizing where that would intercept the land along the river. Width may vary depending on ice jams. [ INV, NR, OE, SR, WB, WS]</t>
  </si>
  <si>
    <t>Look for flood marks (see above).  Because the annual range of water levels is difficult to estimate without multiple visits, consider asking the land owner or neighbors about it. [AM, INV, NR, OE, PH, PR, SR, WB, WS]</t>
  </si>
  <si>
    <t>Estimate these proportions by considering the gradient and microtopography of the site. See diagram in the manual. [FH, INV, WB]</t>
  </si>
  <si>
    <t>Open water is not obscured by vegetation in aerial ("duck's eye") view.  It includes vegetation floating on the water surface or entirely submersed beneath it.  It may be flowing or ponded.</t>
  </si>
  <si>
    <t>If several pools are present within the AA, estimate the percent of their collective shorelines that has such a gentle slope. See diagram in the manual. [SR, WB]</t>
  </si>
  <si>
    <t>During most of the part of the growing season when water is present, the percentage of the AA's water edge length that is occupied by a band (&gt;1m wide) or small islands of robust emergents (cattail, tall bulrush, buckbean), is:</t>
  </si>
  <si>
    <t>The "water edge" should include the circumference of any patches of robust emergents that are surrounded by water.</t>
  </si>
  <si>
    <t>[AM, FH, INV, NR, OE, PH, PR, SBM, SR, WB]</t>
  </si>
  <si>
    <t>Consider only the wood that is at or above the water surface, because estimates of underwater wood based only on observations from terrestrial viewing points are unreliable. [AM, FH, INV]</t>
  </si>
  <si>
    <t>[WB]</t>
  </si>
  <si>
    <t>[HU, PR]</t>
  </si>
  <si>
    <t>[AM, FH, INV, WB]</t>
  </si>
  <si>
    <t>[AM, FH, PH, SBM, WB]</t>
  </si>
  <si>
    <t>[FH, INV, NR, OE, PR, SR, WS]</t>
  </si>
  <si>
    <t>[PH]</t>
  </si>
  <si>
    <t>"Major runoff events" would include biennial high water caused by storms and/or rapid snowmelt. [ NR, OE, PR SR, WS]</t>
  </si>
  <si>
    <t>This is not the same as the shoreline slope. It is the elevational difference between the AA's inlet and outlet, divided by the flow-distance between them and converted to percent. If available, use a clinometer to measure this. Free apps for measuring gradient (clinometers) can be downloaded to smartphones.  [AM, NR, OE, PR, SR, WB, WS]</t>
  </si>
  <si>
    <t>In larger forested wetlands, patchiness is best interpreted from aerial imagery. Images that show "coarse-grained" forests indicate presence of multiple age classes and/or numerous small openings, whereas those that show "fine-grained" forests suggest more even-aged, even-sized forest with little interspersion. [AM, INV, PH, SBM]</t>
  </si>
  <si>
    <t>Exclude temporary "burn piles." [AM, INV, PH, SBM]</t>
  </si>
  <si>
    <t>[ PH, SBM]</t>
  </si>
  <si>
    <t>Snags are standing trees at least 2 m tall that often (not always) lack bark and foliage. [PH, SBM, WB]</t>
  </si>
  <si>
    <t>NOT TRUE IF PEAT?</t>
  </si>
  <si>
    <t>Beutel, M. W., C. D. Newton, E. S. Brouillard, and R. J. Watts. 2009. Nitrate removal in surface-flow constructed wetlands treating dilute agricultural runoff in the lower Yakima Basin, Washington. Ecological Engineering 35:1538-1546.</t>
  </si>
  <si>
    <t>Chávez, V. and S. E. Macdonald. 2010. The influence of canopy patch mosaics on understory plant community composition in boreal mixedwood forest. Forest Ecology and Management 259:1067-1075.</t>
  </si>
  <si>
    <t>Devito, K. J., D. Fitzgerald, A. R. Hill, and R. Aravena. 2000. Nitrate dynamics in relation to lithology and hydrologic flow path in a river riparian zone. Journal of Environmental Quality 29:1075-1084.</t>
  </si>
  <si>
    <t>Harper, K. A. and G. P. Kershaw. 1997. Soil characteristics of 48-year-old borrow pits and vehicle tracks in shrub tundra along the CANOL no 1 pipeline corridor, northwest territories, Canada. Arctic and Alpine Research 29:105-111.</t>
  </si>
  <si>
    <t>Ryan, M. C., R. G. Kachanoski, and R. W. Gillham. 2000. Overwinter soil nitrogen dynamics in seasonally frozen soils. Canadian Journal of Soil Science 80:541-550.</t>
  </si>
  <si>
    <t>Thormann, M. N., S. E. Bayley, and R. S. Currah. 2001. Comparison of decomposition of belowground and aboveground plant litters in peatlands of boreal Alberta, Canada. Canadian Journal of Botany-Revue Canadienne De Botanique 79:9-22.</t>
  </si>
  <si>
    <t>Vitt, D. H., K. Wieder, L. A. Halsey, and M. Turetsky. 2003. Response of Sphagnum fuscum to nitrogen deposition: A case study of ombrogenous peatlands in Alberta, Canada. Bryologist 106:235-245.</t>
  </si>
  <si>
    <t>Wray, H. E. and S. E. Bayley. 2007. Denitrification rates in marsh fringes and fens in two boreal peatlands in Alberta, Canada. Wetlands 27:1036-1045.</t>
  </si>
  <si>
    <t>Banfield, G. E., J. S. Bhatti, H. Jiang, and M. J. Apps. 2002. Variability in regional scale estimates of carbon stocks in boreal forest ecosystems: results from West-Central Alberta. Forest Ecology and Management 169:15-27.</t>
  </si>
  <si>
    <t>Poff, N. L., J. D. Allan, M. B. Bain, J. R. Karr, K. L. Prestegaard, B. D. Richter, R. E. Sparks, and J. C. Stromberg. 1997. The natural flow regime. Bioscience 47:769-784.</t>
  </si>
  <si>
    <t>Szumigalski, A. R. and S. E. Bayley. 1996a. Net above-ground primary production along a bog-rich fen gradient in central Alberta, Canada. Wetlands 16:467-476.</t>
  </si>
  <si>
    <t>Szumigalski, A. R. and S. E. Bayley. 1996b. Decomposition along a bog to rich fen gradient is central Alberta, Canada. Canadian Journal of Botany-Revue Canadienne De Botanique 74:573-581.</t>
  </si>
  <si>
    <t>Road density is an index of fishing pressure as well as potential impacts from increased sediment (Schiefer &amp; Immell 2012), toxic stormwater runoff, reduced fish access, and channel form changes.</t>
  </si>
  <si>
    <t>Chambers, P. A., S. Brown, J. M. Culp, R. B. Lowell, and A. Pietroniro. 2000. Dissolved oxygen decline in ice-covered rivers of northern Alberta and its effects on aquatic biota. Journal of Aquatic Ecosystem Stress and Recovery 8:27-38.</t>
  </si>
  <si>
    <t>Hanson, M. A., B. R. Herwig, K. D. Zimmer, J. Fieberg, S. R. Vaughn, R. G. Wright, and J. A. Younk. 2012. Comparing Effects of Lake- and Watershed-Scale Influences on Communities of Aquatic Invertebrates in Shallow Lakes. Plos One 7.</t>
  </si>
  <si>
    <t>Jones, T. A. and L. D. Daniels. 2008. Dynamics of large woody debris in small streams disturbed by the 2001 Dogrib fire in the Alberta foothills. Forest Ecology and Management 256:1751-1759.</t>
  </si>
  <si>
    <t>Meding, M. E. and L. J. Jackson. 2003. Biotic, chemical, and morphometric factors contributing to winter anoxia in prairie lakes. Limnology and Oceanography 48:1633-1642.</t>
  </si>
  <si>
    <t>Paszkowski, C. A. and W. M. Tonn. 2000. Community concordance between the fish and aquatic birds of lakes in northern Alberta, Canada: the relative importance of environmental and biotic factors. Freshwater Biology 43:421-437.</t>
  </si>
  <si>
    <t>Rago, P. J. and J. G. Wiener. 1986. Does pH affect fish species richness when lake area is considered? Transactions of the American Fisheries Society 115:438-447.</t>
  </si>
  <si>
    <t>Rahel, F. J. 1984. Factors structuring fish assemblages along a bog lake successional gradient. Ecology:1276-1289.</t>
  </si>
  <si>
    <t>Schiefer, E. and R. Immell. 2012. Land use impacts on lake sedimentation in the Central Rocky Mountain Foothills. Streamline 15:18-23.</t>
  </si>
  <si>
    <t>If water containing toxic substances enters the wetland, the wetland has much less capacity to support aquatic invertebrates, and assemblages of those will be less diverse. Many substances are acutely lethal to invertebrates, while others impact invertebrates by altering their microhabitats or food sources (e.g., Leung et al. 2003, Hadwin et al. 2006, Parsons et al. 2010, Lavoie et al.2011). Some toxic hydrocarbons may be more bioavailable in moss-dominated wetlands (bogs and some fens) than in those dominated by vascular plants (Rezanezhad et al. 2012).</t>
  </si>
  <si>
    <r>
      <t xml:space="preserve">Unless impounded (e.g., by beaver), flowing water in this region does not support amphibian populations (Stevens et al. 2007).  Pools that remain isolated from other surface waters even during high water provide amphibians with the most protection from predatory fish. </t>
    </r>
    <r>
      <rPr>
        <i/>
        <sz val="10"/>
        <rFont val="Arial Narrow"/>
        <family val="2"/>
        <scheme val="minor"/>
      </rPr>
      <t>In calculations, is excluded automatically (cell goes blank) if wetland never has surface water during an average year or is &lt;0.01 ha.</t>
    </r>
  </si>
  <si>
    <t>Fahrig, L., J. H. Pedlar, S. E. Pope, P. D. Taylor, and J. F. Wegner. 1995. Effect of road traffic on amphibian density. Biological Conservation 73:177-182.</t>
  </si>
  <si>
    <t>Hersikorn, B. D. and J. E. G. Smits. 2011. Compromised metamorphosis and thyroid hormone changes in wood frogs (Lithobates sylvaticus) raised on reclaimed wetlands on the Athabasca oil sands. Environmental Pollution 159:596-601.</t>
  </si>
  <si>
    <t>Mader, H. J. 1984. Animal habitat isolation by roads and agricultural fields. Biological Conservation 29:81-96.</t>
  </si>
  <si>
    <t>Schank, C. M. M., C. A. Paszkowski, W. M. Tonn, and G. J. Scrimgeour. 2011. Stocked trout do not significantly affect wood frog populations in boreal foothills lakes. Canadian Journal of Fisheries and Aquatic Sciences 68:1790-1801.</t>
  </si>
  <si>
    <r>
      <t>Stevens, C. E., C. A. Paszkowski, and A. L. Foote. 2007. Beaver (</t>
    </r>
    <r>
      <rPr>
        <i/>
        <sz val="10"/>
        <rFont val="Arial Narrow"/>
        <family val="2"/>
        <scheme val="minor"/>
      </rPr>
      <t>Castor canadensis</t>
    </r>
    <r>
      <rPr>
        <sz val="10"/>
        <rFont val="Arial Narrow"/>
        <family val="2"/>
        <scheme val="minor"/>
      </rPr>
      <t>) as a surrogate species for conserving anuran amphibians on boreal streams in Alberta, Canada. Biological Conservation 134:1-13.</t>
    </r>
  </si>
  <si>
    <r>
      <t>Wipfli, M. S. and J. Musslewhite. 2004. Density of red alder (</t>
    </r>
    <r>
      <rPr>
        <i/>
        <sz val="10"/>
        <rFont val="Arial Narrow"/>
        <family val="2"/>
        <scheme val="minor"/>
      </rPr>
      <t>Alnus rubra</t>
    </r>
    <r>
      <rPr>
        <sz val="10"/>
        <rFont val="Arial Narrow"/>
        <family val="2"/>
        <scheme val="minor"/>
      </rPr>
      <t>) in headwaters influences invertebrate and detritus subsidies to downstream fish habitats in Alaska. Hydrobiologia 520:153-163.</t>
    </r>
  </si>
  <si>
    <t>Waterbirds prefer landscapes where multiple wetlands are present in close proximity (Naugle et al. 2000).  This is partly so that if birds are disturbed in one area, they can fly to alternate sites that serve as refuge and which may provide different but complementary water regimes and foods. Nest density is often greater where a larger proportion of the surrounding landscape is wetlands (Arnold 2007).  Wetland bird richness in northern Alberta is associated with landscape condition within 1 km more strongly than with condition measured at some greater or lesser distances (Rooney &amp; Bayley 2011a).</t>
  </si>
  <si>
    <r>
      <t xml:space="preserve">At least in the short term, open water areas created by beaver dams provide excellent nesting and foraging habitat for several waterbird species (Hood &amp; Bayley 2008, Bromley &amp; Hood 2013) but not necessarily all (Kuczynski &amp; Paszkowski 2010, Kuczynski et al. 2012).  </t>
    </r>
    <r>
      <rPr>
        <i/>
        <sz val="10"/>
        <rFont val="Arial Narrow"/>
        <family val="2"/>
      </rPr>
      <t>In calculations, is excluded automatically (cell goes blank) if wetland never has surface water during an average year.</t>
    </r>
  </si>
  <si>
    <t>Humans visiting wetlands commonly bring dogs, which potentially harass waterbirds.  Even the simple presence of people on foot or in ATVs will cause many waterbirds to take flight (Burger 1981; Klein et al. 1995; Burger &amp; Gochfeld 1998).  Although some species may habituate to frequent disturbance more readily than others, repeated intrusions drain the energy of many waterbirds.  This is especially damaging during cold weather, or when birds (especially shorebirds) are stopping briefly to feed during long migrations.  Despite this, Found et al. (2008) found no adverse relationship between some nesting Alberta waterbirds and potential recreational disturbance.  Loons and herons were an exception.  Horned grebes also tend to avoid nesting in ponds with human structures nearby, especially if riparian vegetation is sparse (Kuczynski et al. 2012).</t>
  </si>
  <si>
    <t>Bolenbaugh, J. R., D. G. Krementz, and S. E. Lehnen. 2011. Secretive marsh bird species co-occurrences and habitat associations across the midwest, USA. Journal of Fish and Wildlife Management 2:49-60.</t>
  </si>
  <si>
    <t>Ducks Unlimited Canada (DUC) / Shell Canada. 2014. Biodiversity Values in Alberta Boreal Wetlands. Ranking Vertebrate Biodiversity in Boreal Wetland Habitats of Alberta using the Enhanced Wetland Classification System – Version 2. Ducks Unlimited Canada (DUC), Edmonton, AB.</t>
  </si>
  <si>
    <t>Fontaine, A. J. and M. D. Heckbert. 2010. 2008 Survey of Trumpeter Swans (Cygnus buccinator) in the Lesser Slave Area, Alberta. Alberta Species at Risk Report No. 133. Alberta Environment and Sustainable Resource Development, Fish and Wildlife Division, Edmonton, AB.</t>
  </si>
  <si>
    <t>Found, C., S. M. Webb, and M. S. Boyce. 2008. Selection of lake habitats by waterbirds in the boreal transition zone of northeastern Alberta. Canadian Journal of Zoology-Revue Canadienne De Zoologie 86:277-285.</t>
  </si>
  <si>
    <t>Fournier, M. A. and J. E. Hines. 2001. Breeding ecology of sympatric greater and lesser scaup (Aythya marila and Aythya affinis) in the Subarctic Northwest Territories. Arctic 54:444-456.</t>
  </si>
  <si>
    <t>Hebert, C. E., C. Weseloh, S. MacMillan, D. Campbell, and W. Nordstrom. 2011. Metals and polycyclic aromatic hydrocarbons in colonial waterbird eggs from Lake Athabasca and the Peace-Athabasca delta, Canada. Environmental Toxicology and Chemistry 30:1178-1183.</t>
  </si>
  <si>
    <t>Kuczynski, E. C. and C. A. Paszkowski. 2010. Food-web relations of the Horned Grebe (Podiceps auritus) on constructed ponds in the Peace Parkland, Canada. Wetlands 30:853-863.</t>
  </si>
  <si>
    <t>Kuczynski, E. C., C. A. Paszkowski, and B. A. Gingras. 2012. Horned Grebe habitat use of constructed wetlands in Alberta, Canada. Journal of Wildlife Management 76:1694-1702.</t>
  </si>
  <si>
    <t>Rooney, R. C. and S. E. Bayley. 2011a. Relative influence of local- and landscape-level habitat quality on aquatic plant diversity in shallow open-water wetlands in Alberta's boreal zone: direct and indirect effects. Landscape Ecology 26:1023-1034.</t>
  </si>
  <si>
    <t>Schummer, M., J. Palframan, E. McNaughton, T. Barney, and S. Petrie. 2012. Comparisons of bird, aquatic macroinvertebrate, and plant communities among dredged ponds and natural wetland habitats at Long Point, Lake Erie, ON. Wetlands 32:945-953.</t>
  </si>
  <si>
    <t>Thormann, M. N. and S. E. Bayley. 1997a. Aboveground net primary production along a bog-fen-marsh gradient in southern boreal Alberta, Canada. Ecoscience 4:374-384.</t>
  </si>
  <si>
    <t>Thormann, M. N. and S. E. Bayley. 1997b. Aboveground plant production and nutrient content of the vegetation in six peatlands in Alberta, Canada. Plant Ecology 131:1-16.</t>
  </si>
  <si>
    <t>Thormann, M. N. and S. E. Bayley. 1997c. Decomposition along a moderate-rich fen-marsh peatland gradient in boreal Alberta, Canada. Wetlands 17:123-137.</t>
  </si>
  <si>
    <t>Thormann, M. N. and S. E. Bayley. 1997d. Response of aboveground net primary plant production to nitrogen and phosphorus fertilization in peatlands in southern boreal Alberta, Canada. Wetlands 17:502-512.</t>
  </si>
  <si>
    <t>Timoney, K. P. and R. A. Ronconi. 2010. Annual bird mortality in the bitumen tailings ponds in northeastern Alberta, Canada. Wilson Journal of Ornithology 122:569-576.</t>
  </si>
  <si>
    <t xml:space="preserve">Traffic poses a hazard to songbirds and mammals that attempt to cross roads (Forman et al. 2002, Clevenger et al. 2003, Massey et al. 2008, Minor &amp; Urban 2010, Tremblay &amp; St. Clair 2009. 2011, and see reviews by Fahrig &amp; Rytwinski 2009, Benitez-Lopez et al. 2010). Roadsides also may channel the movements of predators. Noise from heavy traffic interferes with bird reproduction because some birds cannot hear singing of prospective mates (Wood &amp; Yezerinac 2006, Slabbekoorn &amp; Ripmeester 2008, Barber et al. 2010) and road noise can restrict habitat use by bats (Schaub et al. 2008). Grizzly bears avoid habitat within 0.5 km from highways; Waller and Servheen 2005, McLellen and Shackleton 1988). In a study examining the spatial patterns and factors influencing small terrestrial vertebrate road-kill aggregations in the Bow River Valley of Alberta, Canada, mammal and bird road-kill indices were consistently higher on low volume parkway roads than on the high-speed, high volume highways (Clevenger et al. 2003).   </t>
  </si>
  <si>
    <t xml:space="preserve">High nest predation occurs on the edges of residential areas because jays and ravens are more abundant there (Saab 1999), as well as in clearcut openings, edges, and interior forest, where squirrels are a common nest predator [De Santo &amp; Willson 2001]. Human settlements are accompanied by an increase in refuse, whether it be illegally dumped trash, recklessly contained household garbage, or well-intended compost piles. These serve as a food for ravens that prey extensively on native songbirds, frogs, and other wildlife (Chace &amp; Walsh 2006). Populations of predatory crows and ravens have been shown to increase up to at least 0.5 mile from new urban areas (Oneal &amp; Rotenberry 2009). </t>
  </si>
  <si>
    <t>The total proportion of the land that is natural land cover, as well as its proximity, can affect songbird and mammal richness in wetlands. In Ohio, migrant songbirds had the strongest positive correlation with natural land cover near streams when it was measured within ~820 ft of streams, rather than in areas closer or farther. Some migrant songbirds were much less likely to occur where there were many buildings within that distance of streams (Pennington 2008). However, one study found that migrant bird abundance was statistically unrelated to either percent urbanized land or percent forest cover within 0.6 mile (Rodewald &amp; Mathews 2005).  High nest predation was found in clearcut openings and edges where squirrels were a common nest predator throughout. [De Santo &amp; Willson 2001]. Younger forests that develop after clearcutting often contain mixed alder-conifer stands which provide significantly higher understory biomass than in pure conifer forests. Many songbirds and mammals occur only in larger tracts of natural land cover. Fragmentation of wooded riparian areas by residential development or clearcuts can, over the long term, reduce the diversity of songbirds nesting in the remaining patches (e.g., Smith &amp; Wachob 2006). Breeding wetland birds sometimes do persist in small disturbed wetlands as long as much larger undisturbed wetlands nearby remain productive (e.g., Vermaat et al. 2008). Ideally, no clearing should result in a forest being fragmented into an isolate smaller than about 100 acres or narrower than 150 feet, and definitely not smaller than 2 acres or narrower than 100 feet (Donnelly &amp; Marzluff 2004, 2006).Theoretical and limited empirical data suggest that 30% or more forest cover across a large area is the threshold value above which landscapes might provide sufficient habitat and connectivity for many forest species, allowing those species' populations to survive even in small remaining patches (Andren 1994). Minimum patch sizes required for breeding by those forest songbirds (e.g., brown Creeper) which may be the most sensitive to forest fragmentation in the Pacific Northwest may be about 25 acres (Donnelly &amp; Marzluff 2004, 2006; Poulin et al. 2008). However, a study in British Columbia found patch size had little to do with the abundance or diversity of birds in patches of old growth forest (Schieck et al. 1995).</t>
  </si>
  <si>
    <t xml:space="preserve">Larger wetlands are used disproportionately by some species of nesting wetland-dependent songbirds. Smaller identical wetlands of equal cumulative area probably support lower numbers and cumulative richness of songbirds and mammals, unless they are close together and connected with corridors of undeveloped land.  However, for predicting bird diversity, some evidence from peatlands (Calmé and Desrochers 2000) suggests that wetland size may be less important than microhabitat heterogeneity (which is represented by other  indicators). </t>
  </si>
  <si>
    <t>Betts, M. G., G. J. Forbes, and A. W. Diamond. 2007. Thresholds in songbird occurrence in relation to landscape structure. Conservation Biology 21:1046-1058.</t>
  </si>
  <si>
    <t>Chetkiewicz, C. L. B. and M. S. Boyce. 2009. Use of resource selection functions to identify conservation corridors. Journal of Applied Ecology 46:1036-1047.</t>
  </si>
  <si>
    <t>Gentes, M.-L., A. McNabb, C. Waldner, and J. E. G. Smits. 2007. Increased thyroid hormone levels in tree swallows (Tachycineta bicolor) on reclaimed wetlands of the athabasca oil sands. Archives of Environmental Contamination and Toxicology 53:287-292.</t>
  </si>
  <si>
    <t>Hannon, S. J., C. A. Paszkowski, S. Boutin, J. DeGroot, S. E. Macdonald, M. Wheatley, and B. R. Eaton. 2002. Abundance and species composition of amphibians, small mammals, and songbirds in riparian forest buffer strips of varying widths in the boreal mixedwood of Alberta. Canadian Journal of Forest Research-Revue Canadienne De Recherche Forestiere 32:1784-1800.</t>
  </si>
  <si>
    <t>Hawkins, B. A., R. Field, H. V. Cornell, D. J. Currie, J.-F. Guégan, D. M. Kaufman, J. T. Kerr, G. G. Mittelbach, T. Oberdorff, and E. M. O'Brien. 2003. Energy, water, and broad-scale geographic patterns of species richness. Ecology 84:3105-3117.</t>
  </si>
  <si>
    <t>Hobson, K. A. and J. Schieck. 1999. Changes in bird communities in boreal mixedwood forest: Harvest and wildfire effects over 30 years. Ecological Applications 9:849-863.</t>
  </si>
  <si>
    <t>Machtans, C. S. and P. B. Latour. 2003. Boreal forest songbird communities of the Liard Valley, northwest territories, Canada. The Condor 105:27-44.</t>
  </si>
  <si>
    <t>Robichaud, I., M. A. Villard, and C. S. Machtans. 2002. Effects of forest regeneration on songbird movements in a managed forest landscape of Alberta, Canada. Landscape Ecology 17:247-262.</t>
  </si>
  <si>
    <t>Schieck, J., M. Nietfeid, and J. B. Stelfox. 1995. Differences in bird species richness and abundance among three successional stages of aspen-dominated boreal forests. Canadian Journal of Zoology 73:1417-1431.</t>
  </si>
  <si>
    <t>Szumigalski, A. R. and S. E. Bayley. 1997. Net aboveground primary production along a peatland gradient in central Alberta in relation to environmental factors. Ecoscience 4:385-393.</t>
  </si>
  <si>
    <t>Tigner, D. J. 2012. Measuring Wildlife Response to Seismic Lines to Inform Land Use Planning Decisions in Northwest Canada. Master's Thesis. University of Alberta, Edmonton, AB.</t>
  </si>
  <si>
    <t>Waller, J. S. and C. Servheen. 2005. Effects of transportation infrastructure on grizzly bears in northwestern Montana. Journal of Wildlife Management 69:985-1000.</t>
  </si>
  <si>
    <t>Wells, C. M. 2014. The Hydrology and Geochemistry of a Saline Spring Fen Peatland in the Athabasca Oil Sands Region of Alberta. Master's Thesis. University of Waterloo, Waterloo, ON.</t>
  </si>
  <si>
    <t>Invasive plants that can reduce wetland plant diversity are most prevalent where wetlands or their tributaries are adjoined by agricultural lands and other nutrient sources rather than by forest or other perennial cover (Hychka et al. 2007).</t>
  </si>
  <si>
    <t xml:space="preserve">Non-native plants that can reduce native plant richness tend to be more prevalent closer to population centers because many have been introduced intentionally or unintentionally by humans (Reichard &amp; White 2001a, b). </t>
  </si>
  <si>
    <t>Although urbanization typically reduces the diversity of plants in the forest understory, plant community composition in a Wisconsin study was better explained by the amount of surrounding forest than by environmental factors within the studied forests (Rogers et al. 2009). In Ontario, forested wetlands with the most plant species were those with the largest areas and the largest proportion of upland forest within ~ 800 ft of the wetlands (Houlahan et al. 2006). In Alberta's boreal region, areas of intermediate land cover disturbance (not unbroken wilderness) appear to support the most native plant species per unit area (Mayor 2014).</t>
  </si>
  <si>
    <r>
      <t xml:space="preserve">Open water supports fewer plant species than land, so a large proportion of open water in a wetland implies lower overall plant richness in most cases (Raab &amp; Bayley 2012), although at least a little open water is important to support aquatic species. </t>
    </r>
    <r>
      <rPr>
        <i/>
        <sz val="10"/>
        <rFont val="Arial Narrow"/>
        <family val="2"/>
      </rPr>
      <t>In calculations, is excluded automatically (cell goes blank) if wetland never has surface water during an average year.  Also is excluded automatically if wetland has no ponded water or is &lt;0.01 ha.</t>
    </r>
  </si>
  <si>
    <r>
      <t xml:space="preserve">Wetlands with wider vegetated areas are more likely to contain more plant species and rarer and more sensitive plants, as well as being more insulated from some upland disturbances (Raab &amp; Bayley 2012, Rooney &amp; Bayley 2011a, b). </t>
    </r>
    <r>
      <rPr>
        <i/>
        <sz val="10"/>
        <rFont val="Arial Narrow"/>
        <family val="2"/>
      </rPr>
      <t>In calculations, is excluded automatically (cell goes blank) if wetland never has surface water during an average year or if wetland lacks open water or is &lt;0.01 ha.</t>
    </r>
  </si>
  <si>
    <t>Different plant species occur under different moisture regimes, which correlate with different elevations (Šamonil et al. 2010), so a greater diversity of elevations (i.e., complex microtopography) often supports a wider variety of wetland plants (Benscoter &amp; Vitt 2008). Adding small ridges and furrows to constructed depressional wetlands was found in one study to increase their percent cover of obligate wetland species (Alsfeld et al. 2009). Wetlands with more varied topography (e.g., more hummocks) tend to have greater plant species richness because this created different flood frequencies within the wetland (Pollack et al. 1998).</t>
  </si>
  <si>
    <t>Invasion by non-native species typically results in (or at least, is accompanied by) a reduction in native plant species richness (e.g., Vujnovik et al. 2002). In other regions, a change of only 4 inches in mean water level or a change of only 3 cm in the degree of fluctuation may cause a shift from native to non-native species (Magee &amp; Kentula 2005).</t>
  </si>
  <si>
    <t xml:space="preserve">Alberta wetlands surrounded by natural land cover are more likely to support diverse native plant assemblages (Raab &amp; Bayley 2012, Rooney &amp; Bayley 2011a,b, 2012a, b; Wilson et al. 2013).  Lichens and mosses have been affected by edge-induced microclimate changes extending at least 50 ft into forested areas (Hylander et al. 2002, Boudreault et al. 2008) and as far as ~150 ft from the forest edge (Baldwin &amp; Bradfield 2005). </t>
  </si>
  <si>
    <t>Herbicides, salts, and other pollutants can alter the composition and sometimes the diversity of the plant community within a wetland (e.g., Rooney 2012c). Pollinators are extremely sensitive to some commonly used pesticides.</t>
  </si>
  <si>
    <t>Bork, E. W. and A. M. Burkinshaw. 2009. Cool-Season Floodplain Meadow Responses to Shrub Encroachment in Alberta. Rangeland Ecology &amp; Management 62:44-52.</t>
  </si>
  <si>
    <t>Forrest, A. 2010. Created Stormwater Wetlands as Wetland Compensation and a Floristic Quality Approach to Wetland Condition Assessment in Central Alberta. Master's Thesis. University of Alberta, Edmonton, AB.</t>
  </si>
  <si>
    <t>Gignac, L. D., D. Desmarais, and G. Beaudoin. 1994. Impact of a dirt road on surface-water and sphagnum chemistry and sphagnum growth on a peatland in northern Alberta, Canada. Comptes Rendus De L Academie Des Sciences Serie Iii-Sciences De La Vie-Life Sciences 317:943-953.</t>
  </si>
  <si>
    <t>Hychka, K. C., D. H. Wardrop, and R. P. Brooks. 2007. Enhancing a landscape assessment with intensive data: a case study in the Upper Juniata watershed. Wetlands 27:446-461.</t>
  </si>
  <si>
    <t>Lesack, L. F. W., P. Marsh, and R. E. Hecky. 1998. Spatial and temporal dynamics of major solute chemistry among Mackenzie Delta lakes. Limnology and Oceanography 43:1530-1543.</t>
  </si>
  <si>
    <t>Martell, K. A., A. L. Foote, and S. G. Cumming. 2006. Riparian disturbance due to beavers (Castor canadensis) in Alberta's boreal mixedwood forests: Implications for forest management. Ecoscience 13:164-171.</t>
  </si>
  <si>
    <t>Mayor, S. J., J. F. Cahill Jr, F. He, P. Sólymos, and S. Boutin. 2012. Regional boreal biodiversity peaks at intermediate human disturbance. Nature communications 3:1142.</t>
  </si>
  <si>
    <t>McClellan, M. H., T. Brock, and J. F. Baichtal. 2003. Calcareous fens in southeast Alaska. US Department of Agriculture, Forest Service, Pacific Northwest Research Station, Portland, OR.</t>
  </si>
  <si>
    <t>Ogbebo, F. E., M. S. Evans, R. B. Brua, and J. J. Keating. 2009. Limnological features and models of chlorophyll-a in 30 lakes located in the lower Mackenzie River basin, Northwest Territories, Canada. Journal of Limnology 68:336-351.</t>
  </si>
  <si>
    <t>Pavelsky, T. M. and L. C. Smith. 2009. Remote sensing of suspended sediment concentration, flow velocity, and lake recharge in the Peace-Athabasca Delta, Canada. Water Resources Research 45.</t>
  </si>
  <si>
    <t>Raab, D. and S. E. Bayley. 2012. A vegetation-based Index of Biotic Integrity to assess marsh reclamation success in the Alberta oil sands, Canada. Ecological Indicators 15:43-51.</t>
  </si>
  <si>
    <t>Reichard, S. H. and P. White. 2001a. Horticulture as a pathway of invasive plant introductions in the United States. Most invasive plants have been introduced for horticultural use by nurseries, botanical gardens, and individuals. Bioscience 51:103-113.</t>
  </si>
  <si>
    <t>Reichard, S. H. and P. White. 2001b. Horticultural introductions of invasive plant species: a North American perspective. Pages 161-170 in J. A. McNeely, editor. The Great Reshuffling. Human dimensions of invasive species. International Union for Conservation of Nature (IUCN), Gland, Switzerland.</t>
  </si>
  <si>
    <t>Rooney, R. C. and S. E. Bayley. 2011b. Setting reclamation targets and evaluating progress: Submersed aquatic vegetation in natural and post-oil sands mining wetlands in Alberta, Canada. Ecological Engineering 37:569-579.</t>
  </si>
  <si>
    <t>Rooney, R. and S. Bayley. 2012a. Development and testing of an index of biotic integrity based on submersed and floating vegetation and its application to assess reclamation wetlands in Alberta’s oil sands area, Canada. Environmental Monitoring and Assessment 184:749-761.</t>
  </si>
  <si>
    <t>Rooney, R. C. and S. E. Bayley. 2012b. Community congruence of plants, invertebrates and birds in natural and constructed shallow open-water wetlands: Do we need to monitor multiple assemblages? Ecological Indicators 20:42-50.</t>
  </si>
  <si>
    <t>Rooney, R. C. and S. E. Bayley. 2012c. Development and testing of an index of biotic integrity based on submersed and floating vegetation and its application to assess reclamation wetlands in Alberta's oil sands area, Canada. Environmental Monitoring and Assessment 184:749-761.</t>
  </si>
  <si>
    <t>Safford, H. D. and S. P. Harrison. 2001. Grazing and substrate interact to affect native vs. exotic diversity in roadside grasslands. Ecological Applications 11:1112-1122.</t>
  </si>
  <si>
    <t>Schmidt, W. 1989. Plant dispersal by motor cars. Vegetatio 70:147–152.</t>
  </si>
  <si>
    <t>Sokal, M. A., R. I. Hall, and B. B. Wolfe. 2010. The role of flooding on inter‐annual and seasonal variability of lake water chemistry, phytoplankton diatom communities and macrophyte biomass in the Slave River Delta (Northwest Territories, Canada). Ecohydrology 3:41-54.</t>
  </si>
  <si>
    <t>Trant, A. J., T. B. Herman, and S. V. Good-Avila. 2010. Effects of anthropogenic disturbance on the reproductive ecology and pollination service of Plymouth gentian (Sabatia kennedyana Fern.), a lakeshore plant species at risk. Plant Ecology 210:241-252.</t>
  </si>
  <si>
    <t>Turetsky, M. R. and S. Ripley. 2005. Decomposition in extreme-rich fens of boreal Alberta, Canada. Soil Science Society of America Journal 69:1856-1860.</t>
  </si>
  <si>
    <t>Vujnovic, K., R. W. Wein, and M. R. T. Dale. 2002. Predicting plant species diversity in response to disturbance magnitude in grassland remnants of central Alberta. Canadian Journal of Botany-Revue Canadienne De Botanique 80:504-511.</t>
  </si>
  <si>
    <t>Whitehouse, H. E. and S. E. Bayley. 2005. Vegetation patterns and biodiversity of peatland plant communities surrounding mid-boreal wetland ponds in Alberta, Canada. Canadian Journal of Botany 83:621-637.</t>
  </si>
  <si>
    <t>Wilson, M. J., S. E. Bayley, and R. C. Rooney. 2013. A plant‐based index of biological integrity in permanent marsh wetlands yields consistent scores in dry and wet years. Aquatic Conservation: Marine and Freshwater Ecosystems 23:698-709.</t>
  </si>
  <si>
    <t>Wolfe, B. B., T. L. Karst-Riddoch, S. R. Vardy, M. D. Falcone, R. I. Hall, and T. W. D. Edwards. 2005. Impacts of climate and river flooding on the hydro-ecology of a floodplain basin, Peace-Athabasca Delta, Canada since AD 1700. Quaternary Research 64:147-162.</t>
  </si>
  <si>
    <t>DeMars, C., D. Leowinata, C. Thiessen, and S. Boutin. 2011. Assessing Spatial Factors Affecting Predation Risk to Boreal Caribou Calves: Implications for Management. University of Alberta and Ministry of Natural Resource, Edmonton, AB.</t>
  </si>
  <si>
    <t>Dunford, J. S., P. D. McLoughlin, F. Dalerum, and S. Boutin. 2006. Lichen abundance in the peatlands of northern Alberta: Implications for boreal caribou. Ecoscience 13:469-474.</t>
  </si>
  <si>
    <t>Dyer, S. J., J. P. O'Neill, S. M. Wasel, and S. Boutin. 2001. Avoidance of industrial development by woodland caribou. The Journal of Wildlife Management:531-542.</t>
  </si>
  <si>
    <t>Ferguson, S. H. and P. C. Elkie. 2005. Use of lake areas in winter by woodland caribou. Northeastern Naturalist 12:45-66.</t>
  </si>
  <si>
    <t>Gunn, A. 2004. Boreal Caribou Habitat and Land Use Planning in the Deh Cho Region, Northwest Territories. Department of Resources, Wildlife, and Economic Development, Government of the Northwest Territories, Fort Smith, NT.</t>
  </si>
  <si>
    <t>Klein, D. R. 1982. Fire, lichens, and caribou. Journal of Range Management 35:390-395.</t>
  </si>
  <si>
    <t>Latham, A. D. M., M. C. Latham, M. S. Boyce, and S. Boutin. 2011b. Movement responses by wolves to industrial linear features and their effect on woodland caribou in northeastern Alberta. Ecological Applications 21:2854-2865.</t>
  </si>
  <si>
    <t>McLoughlin, P. D., J. S. Dunford, and S. Boutin. 2005. Relating predation mortality to broad‐scale habitat selection. Journal of Animal Ecology 74:701-707.</t>
  </si>
  <si>
    <t>Schneider, R. R., B. Wynes, S. Wasel, E. Dzus, and H. Hiltz. 2000. Habitat use by caribou in northern Alberta, Canada. Rangifer 20:43-50.</t>
  </si>
  <si>
    <t>Smith, K. G., E. J. Ficht, D. Hobson, T. C. Sorensen, and D. Hervieux. 2000. Winter distribution of woodland caribou in relation to clear-cut logging in west-central Alberta. Canadian Journal of Zoology 78:1433-1440.</t>
  </si>
  <si>
    <t>TDS and/or Conductivity</t>
  </si>
  <si>
    <t>Woody Cover by Height</t>
  </si>
  <si>
    <t xml:space="preserve"> Exclude moss growing on trees or rocks. [INV, OE, PH]</t>
  </si>
  <si>
    <t>Few or none that meet these criteria.</t>
  </si>
  <si>
    <t>Do not include N-fixing algae or lichens. Select only the first true statement. [INV, OE, PH]</t>
  </si>
  <si>
    <t xml:space="preserve">Despite potential increases in water retention due to post-fire compression of peat, fire generally causes a reduction in the water storage capacity of peatlands.  That is due partly to decreased evapotranspiration (Thompson &amp; Waddington 2013).  </t>
  </si>
  <si>
    <t>Considerable amounts of water can be stored below the land surface in peat and coarse-textured substrates. However, very little new runoff can be stored if the substrates are already saturated or remain frozen for much of the year, e.g., permafrost. Peat tends to be saturated much of the time. In many wetlands with coarse-textured substrate, groundwater discharge dominates thus keeping those soils saturated much of the time and thus limiting the capacity to store additional water. At any rate the uppermost soil layer is not necessarily a strong indicator of underlying surficial geologic structure, which exerts greater influence on water storage (Devito et al. 2005), but is impossible to assess rapidly.</t>
  </si>
  <si>
    <t xml:space="preserve">AVERAGE(PondPct4, Gradient4, Thruflo4, Girreg4, Constric4, VwidthAbs4) </t>
  </si>
  <si>
    <t>Presence of contaminant sources suggests the potential for long-term harm to fish populations as a result of direct toxicity; sublethal effects (e.g., Jeffries et al. 2008); changes in temperature, ice, and dissolved oxygen (Chambers et al. 2000); and altered food sources. If water containing toxic substances enters a wetland, the wetland has much less capacity to support fish, or fish may be unsafe to consume. Resident fish are especially prone to bioaccumulation of locally-sourced metals (e.g., Deniseger et al. 1990).</t>
  </si>
  <si>
    <t xml:space="preserve">Many invertebrate groups (e.g., snails, isopods, lumbricid worms) cannot tolerate acidic conditions of bogs, and invertebrate richness generally tends to be greater in fens and marshes (Holmquist et al. 2011), especially those fens and marshes that contain persistently flooded areas.  Water levels in marshes tend to fluctuate more than those in fens (which are fed by more stable groundwater sources), and fluctuating water levels usually make nutrients more available to aquatic food chains.  Marshes along lakes and rivers tend to have water longer into the growing season than other marshes and can support high abundance and diversity of invertebrates, except where suspended silt reduces aquatic plant biomass. Productivity of herbaceous vegetation (potentially an indicator of invertebrate productivity and richness) is generally higher in marshes than in fens and is especially greater than in bogs (Szumigalski &amp; Bayley 1996a, b; Szumigalski et al.1996; Thormann &amp; Bayley 1997a, b, c, d).  However, in northeastern Alberta, peat-dominated "muskeg" lakes (usually fens) are more productive than "sinkhole" or "Canadian Shield" lakes (usually marshes) because they tend to occur on calcareous rather than granitic or limestone bedrock and have more carbon and nitrate (Moser et al. 1998). Regardless, bogs and fens may not differ significantly from each other with regard to invertebrate faunas (Cannings &amp; Cannings 1994). On a per-surface-area basis, deciduous trees often support higher levels of insect biomass than conifers, at least among nocturnal flying insects (Ober and Hayes 2008). Dragonflies seemed to respond to the habitat's form and structure more than to its acidity or nutrient levels. </t>
  </si>
  <si>
    <t>Larval amphibians (tadpoles) in Alberta are very sensitive to hydrocarbons and many other toxins, e.g., Pollett &amp; Bendell-Young 2000, Hersikorn &amp; Smits 2011.  Tiger salamanders were harmed by concentrations of 75 and 250 mu g/L atrazine, an herbicide commonly applied near Alberta wetlands (Larson et al 1998).  High levels of some substances from livestock use and wastewater effluent can harm amphibian populations and reduce amphibian diversity, e.g., Schmutzer et al. 2008).</t>
  </si>
  <si>
    <t>Fire Break (FB)</t>
  </si>
  <si>
    <t>ABWRET-a Score</t>
  </si>
  <si>
    <t>Bradshaw, C. J. A., D. M. Hebert, A. B. Rippin, and S. Boutin. 1995. Winter peatland habitat selection by woodland caribou in northeastern Alberta. Canadian Journal of Zoology 73:1567-1574.</t>
  </si>
  <si>
    <t>Fen</t>
  </si>
  <si>
    <t>If intercept is Fen, score =1.  Else =0.</t>
  </si>
  <si>
    <t>If intercept is Fen or Bog or Marsh, score =1.  Else =0.</t>
  </si>
  <si>
    <t>If intercept is Fen or Marsh or Swamp, score =1.  Else =0.</t>
  </si>
  <si>
    <t>Marsh</t>
  </si>
  <si>
    <t>If intercept is Marsh, score =1.  Else =0.</t>
  </si>
  <si>
    <t>SwampMarsh</t>
  </si>
  <si>
    <t>Wet Wooded</t>
  </si>
  <si>
    <t>If intercept is Forested (AAFC = Coniferous Forest, Deciduous Forest, Mixed Forest) OR AGCC= codes 50 through 63, OR wetland class= Swamp, then score =1.  Else =0.</t>
  </si>
  <si>
    <t>Number of different classes that ADJOIN the wetland, including the class of the wetland itself.</t>
  </si>
  <si>
    <t>Number of different wetland classes within 1 km of the intercept.  If no GPS point taken in wetland, buffer from the centroid of the wetland.</t>
  </si>
  <si>
    <r>
      <t xml:space="preserve">1 (yes) or 0 (no).  Does wetland polygon ADJOIN a </t>
    </r>
    <r>
      <rPr>
        <b/>
        <sz val="10"/>
        <rFont val="Arial Narrow"/>
        <family val="2"/>
        <scheme val="minor"/>
      </rPr>
      <t>lake</t>
    </r>
    <r>
      <rPr>
        <sz val="10"/>
        <rFont val="Arial Narrow"/>
        <family val="2"/>
        <scheme val="minor"/>
      </rPr>
      <t xml:space="preserve"> or </t>
    </r>
    <r>
      <rPr>
        <b/>
        <sz val="10"/>
        <rFont val="Arial Narrow"/>
        <family val="2"/>
        <scheme val="minor"/>
      </rPr>
      <t>river</t>
    </r>
    <r>
      <rPr>
        <sz val="10"/>
        <rFont val="Arial Narrow"/>
        <family val="2"/>
        <scheme val="minor"/>
      </rPr>
      <t xml:space="preserve"> polygon?</t>
    </r>
  </si>
  <si>
    <t>1 (yes) or 0 (no). Does wetland include a Groundwater Discharge Area or a Spring?</t>
  </si>
  <si>
    <r>
      <t xml:space="preserve">1 (yes) or 0 (no).  Does wetland polygon ADJOIN a </t>
    </r>
    <r>
      <rPr>
        <b/>
        <sz val="10"/>
        <rFont val="Arial Narrow"/>
        <family val="2"/>
        <scheme val="minor"/>
      </rPr>
      <t>lake</t>
    </r>
    <r>
      <rPr>
        <sz val="10"/>
        <rFont val="Arial Narrow"/>
        <family val="2"/>
        <scheme val="minor"/>
      </rPr>
      <t xml:space="preserve"> polygon, or wetland class= Open Water and wetland is &gt;8 ha.</t>
    </r>
  </si>
  <si>
    <t>If wetland is Marsh, divide its Area by that of all wetlands within 1 km (including this wetland) that are classified as Marsh.  If wetland is not Marsh, enter NULL.</t>
  </si>
  <si>
    <t>If wetland is Fen or Marsh or Swamp, divide its Area by that of all wetlands within 1 km (including this wetland) that are classified as Fen or Marsh or Swamp.  If wetland is neither Fen or Marsh or Swamp, enter NULL.</t>
  </si>
  <si>
    <r>
      <rPr>
        <b/>
        <sz val="10"/>
        <rFont val="Arial Narrow"/>
        <family val="2"/>
        <scheme val="minor"/>
      </rPr>
      <t>Number</t>
    </r>
    <r>
      <rPr>
        <sz val="10"/>
        <rFont val="Arial Narrow"/>
        <family val="2"/>
        <scheme val="minor"/>
      </rPr>
      <t xml:space="preserve"> of adjoining wetland polygons that are classified as Open Water (including the wetland itself if it is classified as Open Water), divided by the number of adjoining wetland polygons.</t>
    </r>
  </si>
  <si>
    <t xml:space="preserve"> for the Invertebrate Habitat function the raw value is converted to a score as follows: &lt;1%=0.2;  1%-5%=0.6; 6-30%=0.8, 31-70%=1; 71-99%=0.4; &gt;99%=0.  From Alberta Merged Wetland Inventory map layer.</t>
  </si>
  <si>
    <t>for the Invertebrate Habitat function the raw value is converted to a score as follows: &lt;1%=0;  1%-5%=0.4; 6-30%=0.8, 31-70%=1; 71-99%=0.6; &gt;99%=0.2.  From Alberta Merged Wetland Inventory map layer.</t>
  </si>
  <si>
    <t xml:space="preserve">If the wetland is not classified as Open Water, sum its area plus the area of adjoining wetland polygons that are not classified as Open Water. </t>
  </si>
  <si>
    <t>FireBreak</t>
  </si>
  <si>
    <t>If NonFuel in this layer or if wetland layer says Open Water, then =1.  Else =0.</t>
  </si>
  <si>
    <t>LinearImpact</t>
  </si>
  <si>
    <t>In saline wetlands, phosphorus often complexes with calcium.  It then precipitates and that facilitates retention.  Also, wetlands with moss cover and moderate to high conductivity (such as rich fens) retain phosphorus effectively (Prepas et al. 2001).  In calculations, the concentration of TDS is divided by 1000 and/or the conductivity measurement is divided by 1000, and the greater of the two becomes the indicator score.  If the result of the division exceeds 1, it is converted to 1.</t>
  </si>
  <si>
    <t>F69</t>
  </si>
  <si>
    <t>Distance to Tailings Pond</t>
  </si>
  <si>
    <t>The distance between the AA and the nearest industrial (e.g., tailings) pond in which waterbirds could land and be exposed to contaminants is:</t>
  </si>
  <si>
    <t>Mark ALL of the following that apply to this AA:</t>
  </si>
  <si>
    <t>Sustained Scientific Use: Plants, animals, or water in the AA have been monitored for &gt;2 years, unrelated to any regulatory requirements, and data are available to the public.  Or the AA is part of an area that has been designated by an agency or institution as a benchmark, reference, or status-trends monitoring area.</t>
  </si>
  <si>
    <t>None of the above, or no information for any.</t>
  </si>
  <si>
    <t>Plants or Animals of Conservation Concern</t>
  </si>
  <si>
    <t>One or more of the rare fish species was detected within the AA.</t>
  </si>
  <si>
    <t>One or more of the rare amphibian species was detected within the AA.</t>
  </si>
  <si>
    <t>One or more of the rare waterbird species was detected within the AA.</t>
  </si>
  <si>
    <t>One or more of the rare songbird or mammal species was detected within the AA.</t>
  </si>
  <si>
    <t>None of the above, or no data.</t>
  </si>
  <si>
    <t>Prior Investment in the Wetland</t>
  </si>
  <si>
    <t>F67</t>
  </si>
  <si>
    <t>F68</t>
  </si>
  <si>
    <t>Carbon from marshes and fens is often more biodegradable (and thus more exportable and valuable to food chains over a wider area) than bog and forested wetland carbon (Szumigalski &amp; Bayley 1996b, D’Amore et al. 2010). The same may be true of carbon from riparian shrub/forest wetlands, and their connectivity to other water bodies is usually greater, potentially leading to greater export.  In particular, leaf litter from deciduous shrubs and trees tends to break down and cycle in receiving waters more rapidly than that of coniferous trees and shrubs. Bogs usually have the largest amounts of carbon in storage (as peat), but connectivity to other water bodies is generally less than other wetland types, thus limiting export..  Bogs, poor fens, and moderate-rich fens tend to fix carbon more readily than more fertile wetlands (marshes) (Szumigalski &amp; Bayley 1996a, Glenn et al. 2006). Aquatic beds (submerged macrophytes) produce modest amounts of carbon which is in continual contact with water.</t>
  </si>
  <si>
    <t>Wettype11</t>
  </si>
  <si>
    <t>Linear</t>
  </si>
  <si>
    <t>Firebreak</t>
  </si>
  <si>
    <t>Tymstra, C.; Bryce, R.W.; Wotton, B.M.; Taylor, S.W.; Armitage, O.B. 2010. Development and Structure of Prometheus: the Canadian Wildland Fire Growth Simulation Model. Nat. Resour. Can., Can. For. Serv., North. For. Cent., Edmonton, AB.
Inf. Rep. NOR-X-417.</t>
  </si>
  <si>
    <t>From Tymstra et al. 2012</t>
  </si>
  <si>
    <t>Capacity to resist ignition by wildfire, thus limiting wildfire spread.</t>
  </si>
  <si>
    <t>RareSBM</t>
  </si>
  <si>
    <t>RareWB</t>
  </si>
  <si>
    <t>RareAM</t>
  </si>
  <si>
    <t>RareFish</t>
  </si>
  <si>
    <t>RarePlant2</t>
  </si>
  <si>
    <r>
      <t>Cott, P. A., B. A. Zajdlik, K. J. Bourassa, M. Lange, and A. M. Gordon. 2010. Effects of Forest Fire on Young-of-the-year Northern Pike,</t>
    </r>
    <r>
      <rPr>
        <i/>
        <sz val="10"/>
        <rFont val="Arial Narrow"/>
        <family val="2"/>
      </rPr>
      <t xml:space="preserve"> Esox lucius,</t>
    </r>
    <r>
      <rPr>
        <sz val="10"/>
        <rFont val="Arial Narrow"/>
        <family val="2"/>
      </rPr>
      <t xml:space="preserve"> in the Northwest Territories. Canadian Field-Naturalist 124:104-112.</t>
    </r>
  </si>
  <si>
    <t>1 (yes) or 0 (no).  Layer from AEP 2010, minimum resolvable unit is 0.02 ha.</t>
  </si>
  <si>
    <t>1 (yes) or 0 (no) based on flood hazard (floodways and flood fringes) from AEP River Forecast Section and merged with lotic riparian area layer (AEP 2011, 0.02 ha minimum revolvable unit).</t>
  </si>
  <si>
    <t>Hallock, R.J. and L.L. Hallock (ed.), 1993. Detailed Study of Irrigation Drainage in and near Wildlife Management Areas, West-CentralNevada, 1987-90. Part B. Effect on Biota in Stillwater and Fernley Wildlife Management Areas and other Nearby Wetlands. US Geological Survey, Water Resources Investigations Report 92-4024B.</t>
  </si>
  <si>
    <r>
      <t>TDS is: [</t>
    </r>
    <r>
      <rPr>
        <i/>
        <sz val="10"/>
        <rFont val="Arial Narrow"/>
        <family val="2"/>
      </rPr>
      <t xml:space="preserve">enter the reading </t>
    </r>
    <r>
      <rPr>
        <b/>
        <i/>
        <sz val="10"/>
        <rFont val="Arial Narrow"/>
        <family val="2"/>
      </rPr>
      <t xml:space="preserve">in ppm </t>
    </r>
    <r>
      <rPr>
        <i/>
        <sz val="10"/>
        <rFont val="Arial Narrow"/>
        <family val="2"/>
      </rPr>
      <t>or mg/L in the column to the right if measured, or answer next row</t>
    </r>
    <r>
      <rPr>
        <sz val="10"/>
        <rFont val="Arial Narrow"/>
        <family val="2"/>
      </rPr>
      <t>]:</t>
    </r>
  </si>
  <si>
    <t>Kerekes, J. and J.R. Nursall, 1966. Eutrophication and senescence in a group of Prairie-Parkland Lakes in Alberta, Canada. Verhandlungen der Internationalen Vereinigung fur theoretische und angewandte Limnologie, 16: 65-73.</t>
  </si>
  <si>
    <t>Van Sickle, J.. and S. V. Gregory. 1990. Modeling inputs of large woody debris to streams from falling trees. Canadian Journal of Forest Research 20:1593-1601.</t>
  </si>
  <si>
    <t>Waite, I. R., S. Sobieszczyk, K. D. Carpenter, A. J. Arnsberg, H. M. Johnson, C. A. Hughes, M. J. Sarantou, and F. A. Rinella. 2008. Effects of Urbanization on Stream Ecosystems in the Willamette River Basin and Surrounding Area,Oregon and Washington: U.S. Geological Survey Scientific Investigations Report 2006–5101–D., U.S. Geological Survey, Portland, OR.</t>
  </si>
  <si>
    <r>
      <t xml:space="preserve">Fewer resident fish thrive in nutrient-poor acidic ponds. Lakes and wetlands that are naturally acidic tend to have lower aquatic productivity and fewer fish species compared to non-acidic wetlands of the same size (Rahel 1984, Rago &amp; Wiener 1986).  However, as pond size increases and ponds begin to resemble lakes, alkalinity often increases and consequently the ability to support a wider array of aquatic animals. Even where surrounded by bog vegetation and acidic soils with high DOC (Dissolved Organic Carbon) concentrations, many of these lakes are not acidic, especially when located low in a watershed (Eilers et al. 1993). </t>
    </r>
    <r>
      <rPr>
        <i/>
        <sz val="10"/>
        <rFont val="Arial Narrow"/>
        <family val="2"/>
      </rPr>
      <t>In calculations, is excluded automatically (cell goes blank) if wetland is &lt;0.01 ha.  If acidic (pH &lt;4) or extremely basic (pH&gt;9) water is present, the  indicator score is set to zero, but otherwise the indicator is ignored.</t>
    </r>
  </si>
  <si>
    <t>Most native fish species in this region have low tolerance for highly saline waters.  If wetland is saline or brackish (TDS greater than about 2000 ppm, Mount et al. 1997), the score for this indicator is 0.  Also, very low TDS (&lt;20 ppm) or conductivity (&lt;30 µS/cm) results in an indicator score of 0 because it indicates relatively infertile waters that can impair productivity of some native fish species. Intermediate values are ignored in the calculations and do not reduce the score.</t>
  </si>
  <si>
    <r>
      <t xml:space="preserve">When non-acidic ponds are available, ducks prefer to nest in those rather than acidic lakes and wetlands (Epners et al. 2010).  </t>
    </r>
    <r>
      <rPr>
        <i/>
        <sz val="10"/>
        <rFont val="Arial Narrow"/>
        <family val="2"/>
      </rPr>
      <t xml:space="preserve">In calculations is scored 0 if pH is less than 5 or water is tea-colored, otherwise is excluded from calculations (cell goes blank automatically). </t>
    </r>
  </si>
  <si>
    <t xml:space="preserve">Presence of contaminant sources suggests the potential for long-term harm to waterbird populations as a result of direct toxicity; sublethal effects (e.g., reduced reproductive success as a result of bioaccumulation of toxins in foods, Hebert et al. 2011) and altered food sources. </t>
  </si>
  <si>
    <t>In northern Alberta, wastewater ponds are believed to result in an annual mortality of 458 to 5,029 birds (Timoney &amp; Ronconi 2010).</t>
  </si>
  <si>
    <t>HazPond</t>
  </si>
  <si>
    <t>AVERAGE(Dist2DevCrop, HazPond, BuffNatPct13, Core1_13, Core2_13, BMP_13, ToxSource13)</t>
  </si>
  <si>
    <t>Linear Impact Index</t>
  </si>
  <si>
    <t>Indicator Abbreviation</t>
  </si>
  <si>
    <t xml:space="preserve">Indicator Abbreviation   </t>
  </si>
  <si>
    <t xml:space="preserve">Indicator Abbreviation    </t>
  </si>
  <si>
    <t>Because of their relative rarity, these species contribute more to regional biodiversity than ones with broader habitat tolerances.</t>
  </si>
  <si>
    <r>
      <t xml:space="preserve">Herbaceous rather than woody vegetation is the most attractive nesting cover for most species of waterbirds (Bolenbaugh et al. 2011, Kuczynski et al. 2012, DUC 2014), partly because it provides food as well as cover.  Trees near water edges discourage use of those areas by some waterbird species (Thompson et al. 2012), probably because it potentially conceals or provides a perch for predators such as eagles and falcons (Shepherd &amp; Lank 2004, Sprague et al. 2008). </t>
    </r>
    <r>
      <rPr>
        <i/>
        <sz val="10"/>
        <rFont val="Arial Narrow"/>
        <family val="2"/>
      </rPr>
      <t xml:space="preserve"> In calculations, is scored 0 automatically if trees occupy &gt;50% of the wetland. Otherwise, this indicator is ignored (goes blank).</t>
    </r>
  </si>
  <si>
    <r>
      <t xml:space="preserve">Woody vegetation provides vertical structure that enables more individuals and species to inhabit a wetland.  It also provides shelter from weather and cover from predators.  A wider diversity of cover types supports a wider variety of wetand-dependent songbird and mammal species. </t>
    </r>
    <r>
      <rPr>
        <i/>
        <sz val="10"/>
        <rFont val="Arial Narrow"/>
        <family val="2"/>
        <scheme val="minor"/>
      </rPr>
      <t xml:space="preserve"> In calculations, the score is the percentage of the potential number of categories (6) comprising more than 5% of the wetland.</t>
    </r>
  </si>
  <si>
    <r>
      <t xml:space="preserve">Deciduous forests, because of their less acidic soils and more open canopies, often support greater plant richness than coniferous forests.  Larger-diameter stands sometime indicate more mature soils which support more native plant species than younger stands with comparable light conditions. </t>
    </r>
    <r>
      <rPr>
        <i/>
        <sz val="10"/>
        <rFont val="Arial Narrow"/>
        <family val="2"/>
      </rPr>
      <t>In calculations, is excluded automatically (cell goes blank) if trees occupy &lt;5% of the vegetated part of the AA. Otherwise, score is based on the number of categories and a weighted average that favors larger deciduous trees.</t>
    </r>
  </si>
  <si>
    <r>
      <t>Dzus, E. 2001. Status of the Woodland Caribou (</t>
    </r>
    <r>
      <rPr>
        <i/>
        <sz val="10"/>
        <rFont val="Arial Narrow"/>
        <family val="2"/>
      </rPr>
      <t>Rangifer tarandus caribou</t>
    </r>
    <r>
      <rPr>
        <sz val="10"/>
        <rFont val="Arial Narrow"/>
        <family val="2"/>
      </rPr>
      <t>) in Alberta. Alberta Wildlife Status Report No. 30. Alberta Environment and Sustainable Resource Development, Edmonton, AB.</t>
    </r>
  </si>
  <si>
    <t>Stuart-Smith, A. K., C. J. A. Bradshaw, S. Boutin, D. M. Hebert, and A. B. Rippin. 1997. Woodland caribou relative to landscape patterns in northeastern Alberta. Journal of Wildlife Management 61:622-633.</t>
  </si>
  <si>
    <r>
      <t xml:space="preserve">IF((RareSBM=1),10, IF((OR(CaribouRange=1, CaribouFound=1)),10, </t>
    </r>
    <r>
      <rPr>
        <b/>
        <sz val="10"/>
        <rFont val="Arial Narrow"/>
        <family val="2"/>
      </rPr>
      <t>ELSE</t>
    </r>
    <r>
      <rPr>
        <sz val="10"/>
        <rFont val="Arial Narrow"/>
        <family val="2"/>
      </rPr>
      <t>: 10*MAX(CaribouFound, AVERAGE(UniqClass, HabStrucS, CfixS,  LscapeS, StressS))</t>
    </r>
  </si>
  <si>
    <t>CaribouRange</t>
  </si>
  <si>
    <t>CaribouFound</t>
  </si>
  <si>
    <t>AEP "Caribou Range" layer  Yes=1.  No=0.</t>
  </si>
  <si>
    <r>
      <t>Bakker, V. and K. Hastings. 2002. Den trees used by northern flying squirrels (</t>
    </r>
    <r>
      <rPr>
        <i/>
        <sz val="10"/>
        <rFont val="Arial Narrow"/>
        <family val="2"/>
        <scheme val="minor"/>
      </rPr>
      <t>Glaucomys sabrinus</t>
    </r>
    <r>
      <rPr>
        <sz val="10"/>
        <rFont val="Arial Narrow"/>
        <family val="2"/>
        <scheme val="minor"/>
      </rPr>
      <t>) in southeastern Alaska. Canadian Journal of Zoology 80:1623-1633.</t>
    </r>
  </si>
  <si>
    <r>
      <t>Latham, A. D. M., M. C. Latham, and M. S. Boyce. 2011a. Habitat selection and spatial relationships of black bears (</t>
    </r>
    <r>
      <rPr>
        <i/>
        <sz val="10"/>
        <rFont val="Arial Narrow"/>
        <family val="2"/>
      </rPr>
      <t>Ursus americanus</t>
    </r>
    <r>
      <rPr>
        <sz val="10"/>
        <rFont val="Arial Narrow"/>
        <family val="2"/>
      </rPr>
      <t>) with woodland caribou (</t>
    </r>
    <r>
      <rPr>
        <i/>
        <sz val="10"/>
        <rFont val="Arial Narrow"/>
        <family val="2"/>
      </rPr>
      <t>Rangifer tarandus caribou</t>
    </r>
    <r>
      <rPr>
        <sz val="10"/>
        <rFont val="Arial Narrow"/>
        <family val="2"/>
      </rPr>
      <t>) in northeastern Alberta. Canadian Journal of Zoology 89:267-277.</t>
    </r>
  </si>
  <si>
    <t>Reid, D. G., T. E. Code, A. C. H. Reid, and S. M. Herrero. 1994. Spacing, movements, and habitat selection of the river otter in boreal Alberta. Canadian Journal of Zoology 72:1314-1324.</t>
  </si>
  <si>
    <t>was not measured but surface water is NOT tea-colored. Enter "1" in column to the right.</t>
  </si>
  <si>
    <t>was not measured, and plants that indicate saline conditions are absent or in trace amounts. Enter "1" in column to the right.</t>
  </si>
  <si>
    <t>was not measured, but plants that indicate saline conditions are present. Enter "1" in column to the right.</t>
  </si>
  <si>
    <t>Peat, present to 40 cm depth or greater.</t>
  </si>
  <si>
    <t>Organic or organic muck, but becomes mineral before reaching 40 cm depth.</t>
  </si>
  <si>
    <t>Tributary Inflow</t>
  </si>
  <si>
    <t>[AM, INV, NR, PH, SBM, WB]</t>
  </si>
  <si>
    <t>[POL, SBM]</t>
  </si>
  <si>
    <t>Do not include wetlands created by beaver dams except for the part where former uplands were flooded. Determine this using historical aerial photography, old maps, soil maps, or permit files as available [ NR, OE, PH ]</t>
  </si>
  <si>
    <t>[HU]</t>
  </si>
  <si>
    <t>Fish from connected waters can access at least part of the AA during one or more days annually, or are otherwise known to be present in the AA at least temporarily. If true, enter "1" in next column.  If untrue or unlikely, enter "0".</t>
  </si>
  <si>
    <t>At some time of the year, mats of algae and/or duckweed cover &gt;50% of the AA's otherwise-unshaded water surface, or blanket &gt;50% of the underwater substrate.  If true, enter "1" in next column.  If untrue or unlikely, enter "0".</t>
  </si>
  <si>
    <r>
      <t xml:space="preserve">Excessive human traffic and free-roaming pets can harm native amphibians directly (collecting and predation) and indirectly (habitat alteration), so measures to reduce such impacts are given credit.  </t>
    </r>
    <r>
      <rPr>
        <i/>
        <sz val="10"/>
        <rFont val="Arial Narrow"/>
        <family val="2"/>
        <scheme val="minor"/>
      </rPr>
      <t>In calculations, is excluded automatically (cell goes blank) if last choice in F62 was chosen AND first choice in F63 was chosen.</t>
    </r>
  </si>
  <si>
    <r>
      <t xml:space="preserve">Fringe wetlands adjoin expanses of open water that are visually appealing as well as providing opportunity for fishing and water sports.  </t>
    </r>
    <r>
      <rPr>
        <i/>
        <sz val="10"/>
        <rFont val="Arial Narrow"/>
        <family val="2"/>
      </rPr>
      <t>If wetland is not a fringe wetland, then ignored in calculations rather than being counted as a negative. Also ignored if F42 indicates an unsightly growth of algae or duckweed is dominant.</t>
    </r>
  </si>
  <si>
    <r>
      <t xml:space="preserve">The expanses of open water that characterise lakes are visually appealing as well as providing opportunity for fishing and water sports. </t>
    </r>
    <r>
      <rPr>
        <i/>
        <sz val="10"/>
        <rFont val="Arial Narrow"/>
        <family val="2"/>
      </rPr>
      <t>If wetland is not part of a lake, then ignored in calculations rather than being counted as a negative. Also ignored if F42 indicates an unsightly growth of algae or duckweed is dominant.</t>
    </r>
  </si>
  <si>
    <r>
      <t xml:space="preserve">Open water areas, especially if ponded, are visually appealing as well as providing opportunity for fishing and water sports. </t>
    </r>
    <r>
      <rPr>
        <i/>
        <sz val="10"/>
        <rFont val="Arial Narrow"/>
        <family val="2"/>
      </rPr>
      <t>In calculations, is excluded automatically (cell goes blank) if wetland never has surface water during an average year.  Also is excluded automatically if wetland has no ponded water or is &lt;0.01 ha..  Because the simple presence (rather than amount) of open water matters most, the largest jump in the score occurs when at least a little open water is present.  Also ignored if F42 indicates an unsightly growth of algae or duckweed is dominant.</t>
    </r>
  </si>
  <si>
    <r>
      <t xml:space="preserve">Such features and practices minimize damage to plants and wildlife and thus help sustain the natural features that attract people to wetlands. </t>
    </r>
    <r>
      <rPr>
        <i/>
        <sz val="10"/>
        <rFont val="Arial Narrow"/>
        <family val="2"/>
      </rPr>
      <t>In calculations, is excluded automatically (cell goes blank) if last choice in F62 was chosen AND first choice in F63 was chosen.</t>
    </r>
  </si>
  <si>
    <t>Non-regulatory Investment: The AA is part of or contiguous to a wetland on which public or private organizational funds were spent to preserve, create, restore, enhance, the wetland (excluding mitigation wetlands).</t>
  </si>
  <si>
    <t>One or more of the rare plant species was detected within the AA.</t>
  </si>
  <si>
    <t>Include visits by foot, canoe, kayak, or any non-motorized mode. Exclude visits that are not likely to continue and/or that are not an annual occurrence, e.g., by construction or monitoring crews. [AM, PH, HU, SBM,  WB]</t>
  </si>
  <si>
    <t>"Low impact" means adherence to Best Management Practices such as those defined by certification groups. Evidence of these consumptive uses may consist of direct observation, or presence of physical evidence (e.g., recently cut stumps, fishing lures, shell cases), or might be obtained from communication with the land owner or manager. [HU]</t>
  </si>
  <si>
    <t>If unknown, assume this is true if there is an inhabited structure within the specified distance and the neighborhood is known to not be connected to a municipal drinking water system (e.g., is outside a densely settled area). [HU]</t>
  </si>
  <si>
    <t>[PH, HU]</t>
  </si>
  <si>
    <t>[Fire]</t>
  </si>
  <si>
    <t>The 1 hectare and 1% thresholds represent the minimum cumulative area of that type within the vegetated AA, i.e., add up the multiple patches. [INV, PH, SBM, WC]</t>
  </si>
  <si>
    <t>If parts of the AA are flat but others are highly irregular, base your answer on which condition predominates in the parts of the AA that lack persistent water. [AM, INV, NR, PH, POL, PR, SBM, SR, WS]</t>
  </si>
  <si>
    <t>Inclusions are slightly elevated "islands" or "pockets" dominated by upland vegetation and soils. Do not count as inclusions the elevated roots of trees or logs unless supported by a mound of soil meeting the size threshold.  Upland inclusions may sometimes be created by fill. [AM, NR, SBM]</t>
  </si>
  <si>
    <t>Do not include duff (loose organic surface material, e.g., dead plant leaves and stems). If texture varies greatly, base your answer on which texture predominates in the parts of the AA that lack persistent water. [ NR, OE, PH, PR, SFS, WS]</t>
  </si>
  <si>
    <t>This addresses needs of many migratory sandpipers, plovers, and related species, but not Wilson's snipe. [WB]</t>
  </si>
  <si>
    <t>[INV, PH, POL]</t>
  </si>
  <si>
    <t>coniferous trees (including tamarack) taller than 3 m.</t>
  </si>
  <si>
    <t>deciduous trees taller than 3 m.</t>
  </si>
  <si>
    <t>deciduous shrubs or trees 1-3 m tall not directly below the canopy of trees &gt;3 m (e.g., deciduous saplings).</t>
  </si>
  <si>
    <t>deciduous shrubs or trees &lt;1 m tall (e.g., deciduous seedlings).</t>
  </si>
  <si>
    <t>Several (&gt;5 if AA is &gt;5 hectares, less for smaller AAs).</t>
  </si>
  <si>
    <t>coniferous, 1-9 cm diameter and &gt;1 m tall.</t>
  </si>
  <si>
    <t>broad-leaved deciduous 1-9 cm diameter and &gt;1 m tall.</t>
  </si>
  <si>
    <t>coniferous, 10-19 cm diameter.</t>
  </si>
  <si>
    <t>broad-leaved deciduous 10-19 cm diameter.</t>
  </si>
  <si>
    <t>coniferous, 20-40 cm diameter.</t>
  </si>
  <si>
    <t>broad-leaved deciduous 20-40 cm diameter.</t>
  </si>
  <si>
    <t>coniferous, &gt;40 cm diameter.</t>
  </si>
  <si>
    <t>broad-leaved deciduous &gt;40 cm diameter.</t>
  </si>
  <si>
    <t>&lt;1% or none.</t>
  </si>
  <si>
    <t>&lt;5% of the ground cover, or none.</t>
  </si>
  <si>
    <t>5-25% of the ground cover.</t>
  </si>
  <si>
    <t>25-50% of the ground cover.</t>
  </si>
  <si>
    <t>50-95% of the ground cover.</t>
  </si>
  <si>
    <t>&gt;95% of the ground cover.</t>
  </si>
  <si>
    <t>Other conditions.</t>
  </si>
  <si>
    <t>Intermediate.</t>
  </si>
  <si>
    <t>Several (extensive micro-topography).</t>
  </si>
  <si>
    <t>Few or none.</t>
  </si>
  <si>
    <t>Loamy: includes loam, sandy loam.</t>
  </si>
  <si>
    <t>Peat, but becomes mineral before reaching 40 cm depth.</t>
  </si>
  <si>
    <t>During any 2 consecutive weeks of the growing season, the extent of mudflats, bare unshaded saturated areas not covered by thatch, and unshaded waters shallower than 6 cm is:  [include also any area that immediately adjoins the AA].</t>
  </si>
  <si>
    <t>&lt;5% of the vegetated AA.</t>
  </si>
  <si>
    <t>&lt;0.01 hectare and &lt;1% of the herbaceous cover (excluding mosses).</t>
  </si>
  <si>
    <t>1-30% of the herbaceous cover.</t>
  </si>
  <si>
    <t>30-60% of the herbaceous cover.</t>
  </si>
  <si>
    <t>60-90% of the herbaceous cover.</t>
  </si>
  <si>
    <t>&gt;90% of the herbaceous cover.</t>
  </si>
  <si>
    <t>some (but &lt;5%) of the upland edge.</t>
  </si>
  <si>
    <t>5-50% of the upland edge.</t>
  </si>
  <si>
    <t>most (&gt;50%) of the upland edge.</t>
  </si>
  <si>
    <t>1-5% of the AA.</t>
  </si>
  <si>
    <t>5-25% of the AA.</t>
  </si>
  <si>
    <t>25-50% of the AA.</t>
  </si>
  <si>
    <t>50-95% of the AA.</t>
  </si>
  <si>
    <t>&gt;95% of the AA.</t>
  </si>
  <si>
    <t>5-25% of the water is shaded.</t>
  </si>
  <si>
    <t>25-50% of the water is shaded.</t>
  </si>
  <si>
    <t>50-75% of the water is shaded.</t>
  </si>
  <si>
    <t>&gt;75% of the water is shaded.</t>
  </si>
  <si>
    <t>&lt;10 cm deep (but &gt;0).</t>
  </si>
  <si>
    <t>10 - 50 cm deep.</t>
  </si>
  <si>
    <t>0.5 - 1 m deep.</t>
  </si>
  <si>
    <t>1 - 2 m deep.</t>
  </si>
  <si>
    <t>5-30% of the water.</t>
  </si>
  <si>
    <t>30-70% of the water.</t>
  </si>
  <si>
    <t>70-99% of the water.</t>
  </si>
  <si>
    <t>was not measured, and surface water is tea-colored. Enter "1" in column to the right.</t>
  </si>
  <si>
    <r>
      <t xml:space="preserve">bumps into tree trunks and/or shrub stems and follows a fairly </t>
    </r>
    <r>
      <rPr>
        <b/>
        <sz val="10"/>
        <rFont val="Arial Narrow"/>
        <family val="2"/>
      </rPr>
      <t>indirect</t>
    </r>
    <r>
      <rPr>
        <sz val="10"/>
        <rFont val="Arial Narrow"/>
        <family val="2"/>
      </rPr>
      <t xml:space="preserve"> path from entrance to exit (meandering, multi-branched, or braided).</t>
    </r>
  </si>
  <si>
    <t>persistent (&gt;9 months/year, including times when frozen).</t>
  </si>
  <si>
    <t>seasonal (14 days to 9 months/year, not necessarily consecutive, including times when frozen).</t>
  </si>
  <si>
    <t>temporary (&lt;14 days, not necessarily consecutive, but must be unfrozen).</t>
  </si>
  <si>
    <t>yes, but time of origin unknown.</t>
  </si>
  <si>
    <t>burned within past 5 years.</t>
  </si>
  <si>
    <t>burned 6-10 years ago.</t>
  </si>
  <si>
    <t>burned 11-30 years ago.</t>
  </si>
  <si>
    <t>easily visible.</t>
  </si>
  <si>
    <t>somewhat visible.</t>
  </si>
  <si>
    <t>barely or not visible.</t>
  </si>
  <si>
    <t>&lt;5% and no inhabited building is within 100 m of the AA.</t>
  </si>
  <si>
    <t>&lt;5% and inhabited building is within 100 m of the AA.</t>
  </si>
  <si>
    <t>5-50% and no inhabited building is within 100 m of the AA.</t>
  </si>
  <si>
    <t>5-50% and inhabited building is within 100 m of the AA.</t>
  </si>
  <si>
    <t>Low-impact commercial timber harvest (e.g., selective thinning).</t>
  </si>
  <si>
    <t>Grazing by livestock.</t>
  </si>
  <si>
    <r>
      <t>Harvesting of native plants, native hay, or mushrooms (observed or known,</t>
    </r>
    <r>
      <rPr>
        <b/>
        <sz val="10"/>
        <rFont val="Arial Narrow"/>
        <family val="2"/>
      </rPr>
      <t xml:space="preserve"> not </t>
    </r>
    <r>
      <rPr>
        <sz val="10"/>
        <rFont val="Arial Narrow"/>
        <family val="2"/>
      </rPr>
      <t>assumed).</t>
    </r>
  </si>
  <si>
    <t>Hunting (observed or known, not assumed).</t>
  </si>
  <si>
    <t>Furbearer trapping.</t>
  </si>
  <si>
    <t>Fishing (observed or known, not assumed).</t>
  </si>
  <si>
    <t>No evidence of any of the above.</t>
  </si>
  <si>
    <t xml:space="preserve">Annual precipitation minus evapotranspiration. Based on Canadian Forest Service average precip and ET during growing season 1971-2000, minimum resolution of 1 km2. </t>
  </si>
  <si>
    <t>Wetland Vegetated Area (in hectares)</t>
  </si>
  <si>
    <r>
      <t xml:space="preserve">Distance to any polygon whose ABMI=code 1200  </t>
    </r>
    <r>
      <rPr>
        <u/>
        <sz val="10"/>
        <rFont val="Arial Narrow"/>
        <family val="2"/>
        <scheme val="minor"/>
      </rPr>
      <t>OR</t>
    </r>
    <r>
      <rPr>
        <sz val="10"/>
        <rFont val="Arial Narrow"/>
        <family val="2"/>
        <scheme val="minor"/>
      </rPr>
      <t xml:space="preserve"> their AAFC= Annual Crops, Exposed, Built-up </t>
    </r>
    <r>
      <rPr>
        <u/>
        <sz val="10"/>
        <rFont val="Arial Narrow"/>
        <family val="2"/>
        <scheme val="minor"/>
      </rPr>
      <t>OR</t>
    </r>
    <r>
      <rPr>
        <sz val="10"/>
        <rFont val="Arial Narrow"/>
        <family val="2"/>
        <scheme val="minor"/>
      </rPr>
      <t xml:space="preserve"> their AGCC= Urban (12) or Commercial and Industrial (13).  If none within 1 km buffer, report as </t>
    </r>
    <r>
      <rPr>
        <b/>
        <sz val="10"/>
        <rFont val="Arial Narrow"/>
        <family val="2"/>
        <scheme val="minor"/>
      </rPr>
      <t xml:space="preserve">1.00. </t>
    </r>
  </si>
  <si>
    <r>
      <t xml:space="preserve"> If none within 1 km buffer, report as </t>
    </r>
    <r>
      <rPr>
        <b/>
        <sz val="10"/>
        <rFont val="Arial Narrow"/>
        <family val="2"/>
        <scheme val="minor"/>
      </rPr>
      <t>1.00.</t>
    </r>
  </si>
  <si>
    <t>If none within 1 km buffer, report as 0.  See list for included NATURAL COVER classes (AAFC &amp; AGCC).</t>
  </si>
  <si>
    <t>1 (yes) or 0 (no).</t>
  </si>
  <si>
    <t>coded 0 if no roads within 1km.</t>
  </si>
  <si>
    <t>Measured within 100m radius of Wetland Centroid.</t>
  </si>
  <si>
    <t>If none within 1 km buffer, report as 0.  See bottom of list for included classes (AAFC &amp; AGCC).</t>
  </si>
  <si>
    <t>Join the wetland's polygon with all adjoining wetland polygons.  Then measure the outer perimeter and area of that joined polygon.  Divide the perimeter (in m) by 2 times the square root of:   the area (in square m) times pi (3.14).</t>
  </si>
  <si>
    <r>
      <t xml:space="preserve">Measure distance to any polygon whose ABMI=code 1200  </t>
    </r>
    <r>
      <rPr>
        <u/>
        <sz val="10"/>
        <rFont val="Arial Narrow"/>
        <family val="2"/>
        <scheme val="minor"/>
      </rPr>
      <t>OR</t>
    </r>
    <r>
      <rPr>
        <sz val="10"/>
        <rFont val="Arial Narrow"/>
        <family val="2"/>
        <scheme val="minor"/>
      </rPr>
      <t xml:space="preserve"> their AAFC= Built-up </t>
    </r>
    <r>
      <rPr>
        <u/>
        <sz val="10"/>
        <rFont val="Arial Narrow"/>
        <family val="2"/>
        <scheme val="minor"/>
      </rPr>
      <t>OR</t>
    </r>
    <r>
      <rPr>
        <sz val="10"/>
        <rFont val="Arial Narrow"/>
        <family val="2"/>
        <scheme val="minor"/>
      </rPr>
      <t xml:space="preserve"> their AGCC= Urban (12) or Commercial and Industrial (13).  If none within 1 km buffer, report as </t>
    </r>
    <r>
      <rPr>
        <b/>
        <sz val="10"/>
        <rFont val="Arial Narrow"/>
        <family val="2"/>
        <scheme val="minor"/>
      </rPr>
      <t>1.00.</t>
    </r>
  </si>
  <si>
    <t>Fen, Bog, or Marsh</t>
  </si>
  <si>
    <t>Fen, Marsh, or Swamp</t>
  </si>
  <si>
    <t>Distance to the Nearest Land Cover Classified as Industrial (Measured from Wetland Edge).</t>
  </si>
  <si>
    <t>Caribou Found</t>
  </si>
  <si>
    <t>Caribou Range</t>
  </si>
  <si>
    <t>MarshArea/ Marsh Area Within 1k</t>
  </si>
  <si>
    <t>% Natural Cover Within 1km</t>
  </si>
  <si>
    <t>Road Density Within 1km Buffer</t>
  </si>
  <si>
    <t>Density of Weighted Linear Features Within 1 km</t>
  </si>
  <si>
    <t>Fen or Marsh or Wet Wooded Area/ All Fen, Marsh, and Wet Wooded Within 1k</t>
  </si>
  <si>
    <t>Fish                     Habitat</t>
  </si>
  <si>
    <t>Infiltration or Evapotranspiration Capacity of Wetland [INFILT]</t>
  </si>
  <si>
    <t>Although many aquatic invertebrate species tolerate extremes of pH, species richness tends to be greatest where pH is circumneutral.</t>
  </si>
  <si>
    <r>
      <t>Conductivity is  [</t>
    </r>
    <r>
      <rPr>
        <i/>
        <sz val="10"/>
        <rFont val="Arial Narrow"/>
        <family val="2"/>
      </rPr>
      <t xml:space="preserve">enter the reading </t>
    </r>
    <r>
      <rPr>
        <b/>
        <i/>
        <sz val="10"/>
        <rFont val="Arial Narrow"/>
        <family val="2"/>
      </rPr>
      <t xml:space="preserve">in µS/cm </t>
    </r>
    <r>
      <rPr>
        <i/>
        <sz val="10"/>
        <rFont val="Arial Narrow"/>
        <family val="2"/>
      </rPr>
      <t>in the column to the right</t>
    </r>
    <r>
      <rPr>
        <sz val="10"/>
        <rFont val="Arial Narrow"/>
        <family val="2"/>
      </rPr>
      <t>]:</t>
    </r>
  </si>
  <si>
    <t>Native Plant         &amp;          Pollinator Habitat</t>
  </si>
  <si>
    <t>Fire                 Barrier</t>
  </si>
  <si>
    <t>Songbird, Raptor &amp; Mammal Habitat</t>
  </si>
  <si>
    <t>Benscoter, B. W., D. H. Vitt, et al. 2005. Association of postfire peat accumulation and microtopography in boreal bogs. Canadian Journal of Forest Research 35(9): 2188-2193.</t>
  </si>
  <si>
    <t>AEP</t>
  </si>
  <si>
    <t>FISH</t>
  </si>
  <si>
    <t>Arctic Lamprey</t>
  </si>
  <si>
    <t>Prickly Sculpin</t>
  </si>
  <si>
    <t>Deepwater Sculpin</t>
  </si>
  <si>
    <t>Lake Sturgeon</t>
  </si>
  <si>
    <t>Shortjaw Cisco</t>
  </si>
  <si>
    <t>Pygmy Whitefish</t>
  </si>
  <si>
    <t>Round Whitefish</t>
  </si>
  <si>
    <t>Brassy Minnow</t>
  </si>
  <si>
    <t>River Shiner</t>
  </si>
  <si>
    <t>Northern Squawfish</t>
  </si>
  <si>
    <t>Silver Redhorse</t>
  </si>
  <si>
    <t>Logperch</t>
  </si>
  <si>
    <t>AMPHIBIANS</t>
  </si>
  <si>
    <t>Long-toed Salamander</t>
  </si>
  <si>
    <t>Western Toad</t>
  </si>
  <si>
    <t>Canadian Toad</t>
  </si>
  <si>
    <t>Northern Leopard Frog</t>
  </si>
  <si>
    <t>MAMMALS</t>
  </si>
  <si>
    <t>Long-legged Myotis</t>
  </si>
  <si>
    <t>Northern Myotis</t>
  </si>
  <si>
    <t>Silver-haired Bat</t>
  </si>
  <si>
    <t>Red Bat</t>
  </si>
  <si>
    <t>Hoary Bat</t>
  </si>
  <si>
    <t>Taiga Vole</t>
  </si>
  <si>
    <t>Prairie Vole</t>
  </si>
  <si>
    <t>Grizzly Bear</t>
  </si>
  <si>
    <t>Wolverine</t>
  </si>
  <si>
    <t>Woodland Caribou</t>
  </si>
  <si>
    <t>Wood Bison</t>
  </si>
  <si>
    <t>Hooded Merganser</t>
  </si>
  <si>
    <t>Red-breasted Merganser</t>
  </si>
  <si>
    <t>Red-throated Loon</t>
  </si>
  <si>
    <t>Pacific Loon</t>
  </si>
  <si>
    <t>Virginia Rail</t>
  </si>
  <si>
    <t>Semipalmated Plover</t>
  </si>
  <si>
    <t>Piping Plover</t>
  </si>
  <si>
    <t>Mew Gull (colonies)</t>
  </si>
  <si>
    <t>Caspian Tern (colonies)</t>
  </si>
  <si>
    <t>Arctic Tern (colonies)</t>
  </si>
  <si>
    <t>Great-crested Flycatcher</t>
  </si>
  <si>
    <t>Gray-cheeked Thrush</t>
  </si>
  <si>
    <t>Sprague's Pipit</t>
  </si>
  <si>
    <t>Richardson caribou radiotracking layer: frequency (percentage)</t>
  </si>
  <si>
    <t>WetVegArea + OWarea</t>
  </si>
  <si>
    <r>
      <t xml:space="preserve">Sum of areas of </t>
    </r>
    <r>
      <rPr>
        <b/>
        <sz val="10"/>
        <rFont val="Arial Narrow"/>
        <family val="2"/>
        <scheme val="minor"/>
      </rPr>
      <t xml:space="preserve">adjoining </t>
    </r>
    <r>
      <rPr>
        <sz val="10"/>
        <rFont val="Arial Narrow"/>
        <family val="2"/>
        <scheme val="minor"/>
      </rPr>
      <t>wetland polygons that are classified as Open Water, plus area of the AA polygon if it is Open Water.</t>
    </r>
  </si>
  <si>
    <t>RWVAU</t>
  </si>
  <si>
    <t>OF52</t>
  </si>
  <si>
    <t>OF53</t>
  </si>
  <si>
    <t>OF54</t>
  </si>
  <si>
    <t>OF55</t>
  </si>
  <si>
    <t>OF56</t>
  </si>
  <si>
    <r>
      <t xml:space="preserve">At least a small amount of woody cover enhances plant diversity within a wetland, but more often, too much implies that shading of the understory by a woody plant canopy will limit the diversity of herbaceous plants. Plant diversity is often greater without the shading and nutrient-competitive effects of trees (Hanley &amp; Brady 1997).  Intermediate levels of canopy closure usually support the most plant species (e.g., Halpern &amp; Spies 1995, Chavez &amp; Macdonald 2010, Chipman &amp; Johnson 2002). Shrubs contribute to onsite plant diversity, but are generally less diverse than herbaceous plants. Shrubs shade out herbaceous plants, with effects being more noticeable above ~35% shrub cover (Bork &amp; Burkinshaw 2009).  Shrubs also compete for nutrients. One Alberta study found understory plant diversity was greatest at about 64% shrub overstory (Bork &amp; Burkinshaw 2009). Pollinating insects are often abundant in short (&lt;1 m) evergreen shrubs because those have the most flowers.  Sparse shrub cover sometimes indicates overgrazing by deer, which reduces plant diversity (Allombert et al. 2005). Such damage to shrubs and ground cover occurs in places where fragmentation of forests has created deer densities of more than about 1 per 25 acres (Thiemann et al. 2009, Martin et al. 2010).   </t>
    </r>
    <r>
      <rPr>
        <i/>
        <sz val="10"/>
        <rFont val="Arial Narrow"/>
        <family val="2"/>
      </rPr>
      <t>In calculations, if coniferous cover taller than 1 m was coded 5, the indicator score is set to 0. If coniferous cover taller than 1 m was coded 4, the indicator score is set to 0.2. Otherwise, the indicator score is the number of classes with other conditions, divided by 6 (the potential number of classes).</t>
    </r>
  </si>
  <si>
    <t>Function Raw Scores (ABWRET-A)</t>
  </si>
  <si>
    <t>for the Amphibian Habitat function the raw value is converted to a score as follows: &lt;1%=0.2;  1%-99%=1.0; &gt;99%=0.  From Alberta Merged Wetland Inventory map layer.</t>
  </si>
  <si>
    <t>Invasive species comprise 20-50% of the herb cover (or woody cover, if the invasives are woody).</t>
  </si>
  <si>
    <t>Invasive species comprise &gt;50% of the herb cover (or woody cover, if the invasives are woody).</t>
  </si>
  <si>
    <r>
      <t xml:space="preserve">If any items were checked above, then for each row of the table below, you may assign points.  However, if you believe the checked items had </t>
    </r>
    <r>
      <rPr>
        <b/>
        <i/>
        <sz val="10"/>
        <color rgb="FF000000"/>
        <rFont val="Arial Narrow"/>
        <family val="2"/>
      </rPr>
      <t xml:space="preserve">no measurable effect </t>
    </r>
    <r>
      <rPr>
        <i/>
        <sz val="10"/>
        <color rgb="FF000000"/>
        <rFont val="Arial Narrow"/>
        <family val="2"/>
      </rPr>
      <t xml:space="preserve">on the timing, depth, or volume in any part of the AA, then leave the "0's" for the scores in the following rows.  To estimate effects, contrast the current condition with the condition if the checked items never occurred or were no longer present. </t>
    </r>
  </si>
  <si>
    <r>
      <t xml:space="preserve">Excessive Sediment Loading </t>
    </r>
    <r>
      <rPr>
        <b/>
        <i/>
        <sz val="12"/>
        <color rgb="FF000000"/>
        <rFont val="Arial"/>
        <family val="2"/>
      </rPr>
      <t>from Contributing Area</t>
    </r>
  </si>
  <si>
    <r>
      <t xml:space="preserve">* </t>
    </r>
    <r>
      <rPr>
        <b/>
        <sz val="10"/>
        <color rgb="FF000000"/>
        <rFont val="Arial Narrow"/>
        <family val="2"/>
      </rPr>
      <t>high</t>
    </r>
    <r>
      <rPr>
        <sz val="10"/>
        <color rgb="FF000000"/>
        <rFont val="Arial Narrow"/>
        <family val="2"/>
      </rPr>
      <t xml:space="preserve">-intensity= extensive off-road vehicle use, plowing, grading, excavation, erosion with or without veg removal; </t>
    </r>
    <r>
      <rPr>
        <b/>
        <sz val="10"/>
        <color rgb="FF000000"/>
        <rFont val="Arial Narrow"/>
        <family val="2"/>
      </rPr>
      <t xml:space="preserve"> low</t>
    </r>
    <r>
      <rPr>
        <sz val="10"/>
        <color rgb="FF000000"/>
        <rFont val="Arial Narrow"/>
        <family val="2"/>
      </rPr>
      <t>-intensity= veg removal only with little or no apparent erosion or disturbance of soil or sediment</t>
    </r>
  </si>
  <si>
    <r>
      <t xml:space="preserve">Soil or Sediment Alteration </t>
    </r>
    <r>
      <rPr>
        <b/>
        <i/>
        <sz val="12"/>
        <color rgb="FF000000"/>
        <rFont val="Arial"/>
        <family val="2"/>
      </rPr>
      <t>Within the Assessment Area</t>
    </r>
  </si>
  <si>
    <t>Leave Column Blank</t>
  </si>
  <si>
    <t>Normalized Score (ABWRET_A)  Based on 102 Calibration Sites</t>
  </si>
  <si>
    <t>Wetland as a % of Its Contributing Area (Catchment)</t>
  </si>
  <si>
    <t>Follow the key below and mark the ONE row that best describes MOST of the AA:</t>
  </si>
  <si>
    <t>A1</t>
  </si>
  <si>
    <t>A2</t>
  </si>
  <si>
    <t>no types other than the predominant one in F1 meet the stated conditions.</t>
  </si>
  <si>
    <t>B1</t>
  </si>
  <si>
    <t>B2</t>
  </si>
  <si>
    <t>Interspersion of Tall and Short Vegetation</t>
  </si>
  <si>
    <t>% Never With Surface Water</t>
  </si>
  <si>
    <t xml:space="preserve">Springs are known to be present within the AA, or if groundwater levels have been monitored, that has demonstrated that groundwater primarily discharges to the wetland for longer periods during the year than periods when the wetland recharges the groundwater. 
</t>
  </si>
  <si>
    <t>Percent of Buffer with Perennial Vegetation</t>
  </si>
  <si>
    <t>Type1</t>
  </si>
  <si>
    <t>WetPctCA1</t>
  </si>
  <si>
    <t>AVERAGE(Gwater7, GWDspring, WclassDom7)</t>
  </si>
  <si>
    <t>WetPctCA2</t>
  </si>
  <si>
    <t>Final Score (A, B, C, D)</t>
  </si>
  <si>
    <t>WetPctCA3</t>
  </si>
  <si>
    <t xml:space="preserve">Nitrate Removal &amp;  Retention </t>
  </si>
  <si>
    <t>HerbWoodMix4</t>
  </si>
  <si>
    <t xml:space="preserve">Tree roots can extend the subsurface zone of denitrification by oxidizing deeper subsurface areas, as well as retaining drifting snow which helps sustain soil moisture necessary for denitrification. Trees also take up and temporarily retain nitrate, as well as adding carbon to the soil, which promotes denitrification. </t>
  </si>
  <si>
    <t>Coniferous (mainly evergreen) vegetation limits denitirication by fostering acidic soil conditions and limiting light penetration (and thus soil temperature) in spring (Hennon et al. 2010, Chavez &amp; Macdonald 2010).</t>
  </si>
  <si>
    <t>Part or all of the AA resulted from human actions that persistently expanded a naturally occurring wetland or created a wetland where there previously was none (e.g., by excavation, impoundment):</t>
  </si>
  <si>
    <t>WoodType6</t>
  </si>
  <si>
    <t>WoodyPct8</t>
  </si>
  <si>
    <t>The distribution of several wetland invertebrate species is limited largely to springs and seeps, so their presence is especially important to regional biodiversity.</t>
  </si>
  <si>
    <t>Springs and other groundwater discharge areas help sustain low flows and maintain stream temperatures important to fish.</t>
  </si>
  <si>
    <t>Offsite Habitat Support [LscapeAm]</t>
  </si>
  <si>
    <t>Frogs, snakes, and aquatic salamanders frequently use multiple wetlands in close proximity, such that wetlands located within landscapes with a high proportion of wetland cover are more likely to cumulatively meet the needs of these species, especially for dispersal to alternative breeding sites during years of drought. One amphibian study found that the amount of available habitat within a given radius of a patch was more successful at predicting successful amphibian immigration than distance to nearest patch of suitable habitat (Bender 2003).   Bogs are excluded because of their generally lower use by most amphibian species.</t>
  </si>
  <si>
    <t>Reduced Risk of Stressors and Fish Predation [StressA]</t>
  </si>
  <si>
    <t>AVERAGE(1-Sub0Days, WetArea, RipFloodpl, OutDura10, Depth10, IsoDry10, OWpct10)</t>
  </si>
  <si>
    <t>UniqMarshShallowOW</t>
  </si>
  <si>
    <t>If wetland was classified Marsh or Shallow Open Water, divide its Area by that of all wetlands within 1 km (including this wetland) that are classified as that.  If wetland is neither, enter NULL.</t>
  </si>
  <si>
    <t>Private owner who allows public access.</t>
  </si>
  <si>
    <t>Private owner who does not allow access, or access permission unknown.</t>
  </si>
  <si>
    <t>AVERAGE(InterspersPD, WoodyCovPD, HerbWood15, ClassRichIn15, wood2pd, herbdom15, dbhPD, sedgePD, forbsPD)</t>
  </si>
  <si>
    <t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t>
  </si>
  <si>
    <t>AVERAGE [AVERAGE(SatPct7, Shade7), AVERAGE(Depth7, ISOdry7, OpenPonded7)]</t>
  </si>
  <si>
    <t>Within the area described above, and during most of the time when surface water is present, it usually is comprised of: (select one):</t>
  </si>
  <si>
    <t>One depth class covering &gt;90% of the AA’s inundated area (use the classes in the question above).</t>
  </si>
  <si>
    <t>One depth class covering 51-90% of the AA's inundated area.</t>
  </si>
  <si>
    <t>[ MAX(RaptorNest, BioDivZone) + AVERAGE(GrowDD, RipFloodpl, Wettype14, Sedge14, ForbCov14, Beaver14a)] /2</t>
  </si>
  <si>
    <t>Woody vegetation, especially coniferous trees and deciduous shrubs, is capable of facilitating higher loss of water via transpiration (Ambrose &amp; Stirling 2014). This is partly because tree roots penetrate deeper into the water table.  But at the same time, woody vegetation can reduce water loss via shading, increased infiltration, and buffering of evaporative air currents (Brummer et al. 2012).  For this model, it is presumed the processes described in the first sentence are the more dominant ones in most of this region's wetlands.  Mosses and lichens also can remove substantial amounts of water from wetlands (Brown et al. 2010).  The indicator score assumes that water loss via transpiration is generally greater from trees than from shrubs or woody ground cover, and that water loss via transpiration is generally greater from coniferous than from deciduous vegetation.</t>
  </si>
  <si>
    <t>Open water provides no fuel to support fire combustion and spread.</t>
  </si>
  <si>
    <t>Wetlands with mostly persistent water provide little fuel to support fire combustion and spread.</t>
  </si>
  <si>
    <t>Areas recently burned are less likely in the near term (and possibly in the long term as well) to support the combustion and spread of new fires.</t>
  </si>
  <si>
    <t>Ambrose, S. M. and S. M. Sterling. 2014. Global patterns of annual actual evapotranspiration with land-cover type: knowledge gained from a new observation-based database. Hydrology and Earth System Sciences Discussions 11(10):12103-12135.</t>
  </si>
  <si>
    <t>Brümmer, C., Black, T. A., Jassal, R. S., Grant, N. J., Spittlehouse, D. L., Chen, B., and Bourque, C. P. A.  2012. How climate and vegetation type influence evapotranspiration and water use efficiency in Canadian forest, peatland and grassland ecosystems. Agricultural and Forest Meteorology 153: 14-30.</t>
  </si>
  <si>
    <t>Chow, V.T. (ed.). 1964. Handbook of Applied Hydrology.  New York, McGraw-Hill, A Compendium of Water Resources Technology.</t>
  </si>
  <si>
    <t>Headwater wetlands that are large relative to the size of their contributing areas are often more able to store or infiltrate the runoff they receive, because they have more storage space and receive proportionately less runoff, other factors being equal.  However, their large size despite having a small contributing area in some cases indicates they are groundwater discharge areas, and as a consequence they may be saturated much of the time and thus have less capacity for storing new runoff.</t>
  </si>
  <si>
    <t>Headwater wetlands that are large relative to the size of their contributing areas are often more able to store the sediment=bound phosphorus they receive, because they have more proportionately more retention space and receive proportionately less phosphorus loading, other factors being equal.</t>
  </si>
  <si>
    <t xml:space="preserve">Headwater wetlands that are large relative to the size of their contributing areas are often more able to store the sediment they receive, because they have more proportionately more storage space and receive proportionately less runoff, other factors being equal.  Sediment deposition can be predicted largely by the ratio of the volume of a storage basin to the volume of runoff entering the basin (Heinemann 1981). </t>
  </si>
  <si>
    <t>Heinemann, H. G. 1981. A new sediment trap efficency curve for small reservoirs. Water Resources Bulletin 17:825-830.</t>
  </si>
  <si>
    <t>Wetland Identifier:</t>
  </si>
  <si>
    <t>Name of Assessor:</t>
  </si>
  <si>
    <t>Name of Company:</t>
  </si>
  <si>
    <t>Legal Land Description(s) of site:</t>
  </si>
  <si>
    <t>Approximate size of the Assessment Area (AA, in hectares)</t>
  </si>
  <si>
    <r>
      <t xml:space="preserve">AA as percent of entire </t>
    </r>
    <r>
      <rPr>
        <b/>
        <sz val="11"/>
        <rFont val="Arial"/>
        <family val="2"/>
      </rPr>
      <t>wetland</t>
    </r>
    <r>
      <rPr>
        <sz val="11"/>
        <rFont val="Arial"/>
        <family val="2"/>
      </rPr>
      <t xml:space="preserve"> (approx.)</t>
    </r>
  </si>
  <si>
    <r>
      <t xml:space="preserve">What percent (approx.) of the </t>
    </r>
    <r>
      <rPr>
        <b/>
        <sz val="11"/>
        <rFont val="Arial"/>
        <family val="2"/>
      </rPr>
      <t>AA</t>
    </r>
    <r>
      <rPr>
        <sz val="11"/>
        <rFont val="Arial"/>
        <family val="2"/>
      </rPr>
      <t xml:space="preserve"> were you able to visit?</t>
    </r>
  </si>
  <si>
    <t>How many wetlands have you assessed previously using this tool (approx.)?</t>
  </si>
  <si>
    <t xml:space="preserve">Have you received formal training in ABWRET-A (Yes or No) </t>
  </si>
  <si>
    <t>Is this assessment done for the purpose of submitting a regulatory application? (Yes or No)</t>
  </si>
  <si>
    <t>Is this assessment related to a compliance incident? (Yes or No)</t>
  </si>
  <si>
    <t>Is this assessment related to a research project, training course, or any other purpose other than a regulatory requirement? (Yes or No). Please specify.</t>
  </si>
  <si>
    <t>Comments :</t>
  </si>
  <si>
    <r>
      <t xml:space="preserve">DIRECTIONS:  </t>
    </r>
    <r>
      <rPr>
        <sz val="12"/>
        <rFont val="Arial Narrow"/>
        <family val="2"/>
      </rPr>
      <t>Walk for no less than 10 minutes from the wetland edge towards its core, in the part of the AA that is proposed for alteration.  If no alteration is proposed, walk in a portion that appears to be most representative of the wetland overall. Walk only where it is safe and legal to do so.  Conduct this assessment only after reading the accompanying Manual and the Explanations column of the data form.  In the Data column, unless indicated otherwise, change the 0 (false) to a 1 (true) for the best choice, or mark "1" for multiple choices where allowed and so indicated.  Answer these questions primarily based on your onsite observations and interpretations. Answering some questions accurately may require conferring with the landowner or other knowledgable persons, and/or reviewing aerial imagery.  Report only the conditions believed to prevail during the majority of the past 5 years, unless requested otherwise.</t>
    </r>
  </si>
  <si>
    <r>
      <t>B</t>
    </r>
    <r>
      <rPr>
        <sz val="10"/>
        <rFont val="Arial Narrow"/>
        <family val="2"/>
      </rPr>
      <t xml:space="preserve">. Moss and/or lichen cover </t>
    </r>
    <r>
      <rPr>
        <b/>
        <sz val="10"/>
        <rFont val="Arial Narrow"/>
        <family val="2"/>
      </rPr>
      <t>less than 25%</t>
    </r>
    <r>
      <rPr>
        <sz val="10"/>
        <rFont val="Arial Narrow"/>
        <family val="2"/>
      </rPr>
      <t xml:space="preserve"> of the ground. Soil is mineral or decomposed organic (muck). Choose between B1 and B2 and mark the choice with a 1 in their adjoining column:</t>
    </r>
  </si>
  <si>
    <r>
      <rPr>
        <b/>
        <sz val="10"/>
        <rFont val="Arial Narrow"/>
        <family val="2"/>
      </rPr>
      <t xml:space="preserve">Note that this question asks you to answer the question using the coding system, differentiating from the usually binary system. 
</t>
    </r>
    <r>
      <rPr>
        <sz val="10"/>
        <rFont val="Arial Narrow"/>
        <family val="2"/>
      </rPr>
      <t xml:space="preserve">
Do not count trees or shrubs if they merely hang into the wetland. They must be rooted in soils that are saturated for several weeks of the growing season. The "vegetated part" should not include floating-leaved or submersed aquatics. [NR, PH, SBM WB, WS]</t>
    </r>
  </si>
  <si>
    <t>coniferous or ericaceous shrubs or trees 1-3 m tall not directly below the canopy of trees.</t>
  </si>
  <si>
    <t>coniferous or ericaceous shrubs or trees &lt;1 m tall not directly below the canopy of taller vegetation.</t>
  </si>
  <si>
    <t>If large-diameter trees overhang (shade) small-diameter ones, visualise a "subcanopy" at the average height of the smaller-dbh trees, to serve as a basis for the minimum 5% canopy requirement in this question. The trees and shrubs need not be wetland species. Diameters are the d.b.h., the diameter of the tree measured at 4.5 ft above the ground. [AM, PH, SBM, WB]</t>
  </si>
  <si>
    <t>Thatch is dead plant material (stems, leaves) resting on the ground surface.  Bare ground that is present under a tree or shrub canopy should be counted. Wetlands with mineral soils and that are heavily shaded or are dominated by annual plant species tend to have more extensive areas that are bare during the early growing season. [NR, OE, PR, SR]</t>
  </si>
  <si>
    <t xml:space="preserve">Few or none (minimal microtopography; &lt;1% of the land has such features, or entire site is always water-covered). </t>
  </si>
  <si>
    <t>[POL, WB]</t>
  </si>
  <si>
    <r>
      <rPr>
        <b/>
        <sz val="10"/>
        <rFont val="Arial Narrow"/>
        <family val="2"/>
      </rPr>
      <t>Forbs</t>
    </r>
    <r>
      <rPr>
        <sz val="10"/>
        <rFont val="Arial Narrow"/>
        <family val="2"/>
      </rPr>
      <t xml:space="preserve"> do </t>
    </r>
    <r>
      <rPr>
        <b/>
        <sz val="10"/>
        <rFont val="Arial Narrow"/>
        <family val="2"/>
      </rPr>
      <t>not</t>
    </r>
    <r>
      <rPr>
        <sz val="10"/>
        <rFont val="Arial Narrow"/>
        <family val="2"/>
      </rPr>
      <t xml:space="preserve"> include grasses, sedges, cattail, or other graminoids.  Although technically a forb, include horsetail (Equisetum) as a graminoid, not a forb. Do not include non-wetland forb species, or floating-leaved aquatic plants. Areal cover (percentage of an area) is not the same as aerial cover (viewed from the air).  [POL]</t>
    </r>
  </si>
  <si>
    <t xml:space="preserve">This is the cumulative area of the AA lacking surface water. [AM, FH, INV, NR, PH, PR, SBM, WB, WC] </t>
  </si>
  <si>
    <t>This is the cumulative area that has surface water. If you are unable to determine the condition at the driest time of year, asking the land owner or neighbors about it will be particularly important. Indicators of persistence may include fish, some dragonfly species, beaver, and muskrat. [FH, INV, NR, PH, PR, SBM, WB]</t>
  </si>
  <si>
    <t>Open water that adjoins the vegetated wetland in a lake, stream, or river during annual low water condition is much wider than the vegetated wetland. Enter "1" if true, "0" if false.</t>
  </si>
  <si>
    <t>This describes the spatial median depth that occurs during most of that time, even if inundation is only seasonal or temporary. If inundation in most but not all of the wetland is brief, the answer will be based on the depth of the most persistently inundated part of the wetland. [ FH, INV, PH, PR, SFS, SR, WC]</t>
  </si>
  <si>
    <t>Nearly all wetlands with surface water have some ponded water. [AM, FH, NR, OE, SR, WB, WC, WS]</t>
  </si>
  <si>
    <t>"Vegetated area" does not include submersed or floating-leaved plants, i.e., aquatic bed. Width may include wooded riparian areas if they have wetland soil or plant indicators. For most sites larger than 10 hectares and with persistent water, measure the width using aerial imagery rather than estimate in the field. Free apps are available for estimating distance through the camera lens of most smartphones. [AM, NR, OE, PH, PR, SBM, SR, WB, WS]</t>
  </si>
  <si>
    <t>The Total Dissolved Solids (TDS) and/or Conductivity in most of the AA's surface water:</t>
  </si>
  <si>
    <t>A channel is an observably incised landform that transports surface water in a downhill direction during some part of a normal year. A larger difference in elevation between the wetland-upland edge and the bottom of the wetland outlet (if any) indicates shorter outflow duration. The frequencies given are only approximate and are for a "normal" year. The connection need not occur during the growing season. [ FH, NR, OE, PR, SFS, SR, WC, WS]</t>
  </si>
  <si>
    <t>Along the wetland-upland edge, the percent of the upland edge (within 3 m of wetland) that is occupied by plant species that are considered invasive (see above) is:</t>
  </si>
  <si>
    <t>is exported more quickly than usual due to ditches or pipes within the AA (or connected to its outlet or within 10 m of the AA's edge) which drain the wetland artificially, or water is pumped out of the AA.</t>
  </si>
  <si>
    <t>Adhere to these criteria strictly -- do not use personal judgment based on fen conditions or other evidence.  Consult topographic maps to detect breaks in slope described here. [AM, FH, INV, NR, PH, SFS, WC, WS]</t>
  </si>
  <si>
    <t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t>
  </si>
  <si>
    <r>
      <rPr>
        <b/>
        <sz val="10"/>
        <rFont val="Arial Narrow"/>
        <family val="2"/>
      </rPr>
      <t>Perennial vegetatio</t>
    </r>
    <r>
      <rPr>
        <sz val="10"/>
        <rFont val="Arial Narrow"/>
        <family val="2"/>
      </rPr>
      <t>n is vegetation that persists from year to year, e.g., not crops that are completely harvested at some point each year.  It may or may not include invasive.species. [AM, INV, PH, SBM, WB]</t>
    </r>
  </si>
  <si>
    <t>Within the 30 m zone described above, the area that is NOT perennial vegetation or water is mostly (mark ONE):</t>
  </si>
  <si>
    <t>New or Expanded Wetland</t>
  </si>
  <si>
    <t>yes, and created or expanded 20 - 100 years ago .</t>
  </si>
  <si>
    <t>yes, and created or expanded 3-20 years ago.</t>
  </si>
  <si>
    <t>yes, and created or expanded within last 3 years.</t>
  </si>
  <si>
    <t>unknown if new or expanded within 20 years or not.</t>
  </si>
  <si>
    <r>
      <t xml:space="preserve">Publicly owned </t>
    </r>
    <r>
      <rPr>
        <b/>
        <sz val="10"/>
        <rFont val="Arial Narrow"/>
        <family val="2"/>
      </rPr>
      <t>resource use</t>
    </r>
    <r>
      <rPr>
        <sz val="10"/>
        <rFont val="Arial Narrow"/>
        <family val="2"/>
      </rPr>
      <t xml:space="preserve"> lands (allowed activities such as timber harvest, mining, or intensive recreation), or unknown.  Includes most Crown Reservations/Notations.</t>
    </r>
  </si>
  <si>
    <r>
      <t>Publicly owned</t>
    </r>
    <r>
      <rPr>
        <b/>
        <sz val="10"/>
        <rFont val="Arial Narrow"/>
        <family val="2"/>
      </rPr>
      <t xml:space="preserve"> conservation</t>
    </r>
    <r>
      <rPr>
        <sz val="10"/>
        <rFont val="Arial Narrow"/>
        <family val="2"/>
      </rPr>
      <t xml:space="preserve"> lands that exclude new timber harvest, roads, mineral extraction, and intensive summer recreation (e.g., off-road vehicles).  Includes most Protected Lands.</t>
    </r>
  </si>
  <si>
    <t>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t>
  </si>
  <si>
    <t>Include visits by foot, canoe, kayak, or ATV. Judge this based on proximity to population centers, roads, trails, accessibility of the wetland to the public, wetland size, usual water depth, other physical hindrances, and physical evidence of human visitation. Exclude visits that are not likely to continue and/or that are not an annual occurrence, e.g., by construction or monitoring crews. [AM, PH, HU, SBM,  WB]</t>
  </si>
  <si>
    <t>50-95%, with or without inhabited building nearby.</t>
  </si>
  <si>
    <t>&gt;95% of the AA with or without inhabited building nearby.</t>
  </si>
  <si>
    <t>Regulatory Investment: The AA is all or part of a mitigation or replacement site used explicitly to offset impacts elsewhere.</t>
  </si>
  <si>
    <t>none of the upland edge (invasives apparently absent).</t>
  </si>
  <si>
    <t>The percent of the AA's vegetated cover that is nitrogen-fixing plants (e.g., alder, baltic (wire) rush, sweetgale, lupine, clover, other legumes) is:</t>
  </si>
  <si>
    <r>
      <rPr>
        <b/>
        <sz val="10"/>
        <rFont val="Arial Narrow"/>
        <family val="2"/>
      </rPr>
      <t xml:space="preserve">B. </t>
    </r>
    <r>
      <rPr>
        <sz val="10"/>
        <rFont val="Arial Narrow"/>
        <family val="2"/>
      </rPr>
      <t xml:space="preserve">Either the vegetation taller than 1m or the vegetation shorter than 1m </t>
    </r>
    <r>
      <rPr>
        <b/>
        <sz val="10"/>
        <rFont val="Arial Narrow"/>
        <family val="2"/>
      </rPr>
      <t>comprise &gt;70%</t>
    </r>
    <r>
      <rPr>
        <sz val="10"/>
        <rFont val="Arial Narrow"/>
        <family val="2"/>
      </rPr>
      <t xml:space="preserve"> of the vegetated part of the AA.  One size class might even be totally absent.  Choose between B1 and B2 and mark the choice with a 1 in the adjoining column:</t>
    </r>
  </si>
  <si>
    <r>
      <t xml:space="preserve">   A1.</t>
    </r>
    <r>
      <rPr>
        <sz val="10"/>
        <rFont val="Arial Narrow"/>
        <family val="2"/>
      </rPr>
      <t xml:space="preserve"> The two height classes are mostly scattered and intermixed throughout the AA.</t>
    </r>
  </si>
  <si>
    <r>
      <t xml:space="preserve">   B1.</t>
    </r>
    <r>
      <rPr>
        <sz val="10"/>
        <rFont val="Arial Narrow"/>
        <family val="2"/>
      </rPr>
      <t xml:space="preserve"> The less prevalent height class is mostly scattered and intermixed within the prevalent one.</t>
    </r>
  </si>
  <si>
    <r>
      <t xml:space="preserve">   B2.</t>
    </r>
    <r>
      <rPr>
        <sz val="10"/>
        <rFont val="Arial Narrow"/>
        <family val="2"/>
      </rPr>
      <t xml:space="preserve"> Not B1.  The less prevalent height class is mostly located apart from the prevalent one, in separate zones or clumps, or is completely absent</t>
    </r>
  </si>
  <si>
    <r>
      <rPr>
        <b/>
        <sz val="10"/>
        <rFont val="Arial Narrow"/>
        <family val="2"/>
      </rPr>
      <t>A.</t>
    </r>
    <r>
      <rPr>
        <sz val="10"/>
        <rFont val="Arial Narrow"/>
        <family val="2"/>
      </rPr>
      <t xml:space="preserve"> Neither the vegetation taller than 1m nor the vegetation shorter than that comprise &gt;70% of the vegetated part of the AA. </t>
    </r>
    <r>
      <rPr>
        <b/>
        <sz val="10"/>
        <rFont val="Arial Narrow"/>
        <family val="2"/>
      </rPr>
      <t>They each comprise 30-70%</t>
    </r>
    <r>
      <rPr>
        <sz val="10"/>
        <rFont val="Arial Narrow"/>
        <family val="2"/>
      </rPr>
      <t>.  If false, go to B below.  Otherwise choose between A1 and A2 and mark the choice with a 1 in the adjoining column:</t>
    </r>
  </si>
  <si>
    <r>
      <rPr>
        <b/>
        <sz val="10"/>
        <rFont val="Arial Narrow"/>
        <family val="2"/>
      </rPr>
      <t>A.</t>
    </r>
    <r>
      <rPr>
        <sz val="10"/>
        <rFont val="Times New Roman"/>
        <family val="1"/>
      </rPr>
      <t xml:space="preserve"> </t>
    </r>
    <r>
      <rPr>
        <sz val="10"/>
        <rFont val="Arial Narrow"/>
        <family val="2"/>
      </rPr>
      <t xml:space="preserve">Moss and/or lichen cover </t>
    </r>
    <r>
      <rPr>
        <b/>
        <sz val="10"/>
        <rFont val="Arial Narrow"/>
        <family val="2"/>
      </rPr>
      <t>more than 25%</t>
    </r>
    <r>
      <rPr>
        <sz val="10"/>
        <rFont val="Arial Narrow"/>
        <family val="2"/>
      </rPr>
      <t xml:space="preserve"> of the ground. Substrate is mostly undecomposed peat. Choose between A1 and A2 and mark the choice with a 1 in their adjoining column. Otherwise go to B below.</t>
    </r>
  </si>
  <si>
    <r>
      <t xml:space="preserve">   B1.</t>
    </r>
    <r>
      <rPr>
        <sz val="10"/>
        <rFont val="Arial Narrow"/>
        <family val="2"/>
      </rPr>
      <t xml:space="preserve"> Trees and shrubs taller than 1 m comprise </t>
    </r>
    <r>
      <rPr>
        <b/>
        <sz val="10"/>
        <rFont val="Arial Narrow"/>
        <family val="2"/>
      </rPr>
      <t>more than</t>
    </r>
    <r>
      <rPr>
        <sz val="10"/>
        <rFont val="Arial Narrow"/>
        <family val="2"/>
      </rPr>
      <t xml:space="preserve"> 25% of the vegetated cover. Surface water is mostly absent or inundates the vegetation only seasonally (e.g., snowmelt pools or floodplain).  Often in riparian settings, abandoned beaver flowages.</t>
    </r>
  </si>
  <si>
    <t xml:space="preserve">Includes species at risk or that may be at risk. Species status can be searched for in your area using ACIMS (Alberta Conservation Information Management System) for plants, FWMIS (Fish and Wildlife Management Information System) for wildlife, or using the general status search on the Fish and Wildlife website for the Province.
[FR, AM, WB, SBM, PH]
</t>
  </si>
  <si>
    <r>
      <t xml:space="preserve">Does the AA comprise an entire wetland that is smaller than 0.01 hectare? </t>
    </r>
    <r>
      <rPr>
        <sz val="12"/>
        <rFont val="Arial Narrow"/>
        <family val="2"/>
      </rPr>
      <t xml:space="preserve"> If so, enter "1" in column D and </t>
    </r>
    <r>
      <rPr>
        <b/>
        <sz val="12"/>
        <rFont val="Arial Narrow"/>
        <family val="2"/>
      </rPr>
      <t>SKIP TO F45</t>
    </r>
    <r>
      <rPr>
        <sz val="12"/>
        <rFont val="Arial Narrow"/>
        <family val="2"/>
      </rPr>
      <t xml:space="preserve"> (Beaver).</t>
    </r>
  </si>
  <si>
    <t>AVERAGE(Constric6, OutDura6, RipFloodpl, WoodType6)</t>
  </si>
  <si>
    <t>Data Form F.  ABWRET-A. version 1.0 for the Boreal and Foothills Natural Regions of Alberta</t>
  </si>
  <si>
    <t>Data Form S (Stressors).  ABWRET-A version 1.0 for the Boreal and Foothills Natural Regions of Alberta</t>
  </si>
  <si>
    <t>In aerial ("ducks eye") view, the maximum annual cover of herbaceous vegetation (excluding moss) that is not under shrubs or trees is:</t>
  </si>
  <si>
    <r>
      <t xml:space="preserve">&lt;5% of the vegetated part of the AA or &lt;0.01 hectare (whichever is less).  Mark "1" here and </t>
    </r>
    <r>
      <rPr>
        <b/>
        <sz val="11"/>
        <rFont val="Arial Narrow"/>
        <family val="2"/>
      </rPr>
      <t>SKIP to F20</t>
    </r>
    <r>
      <rPr>
        <b/>
        <sz val="10"/>
        <rFont val="Arial Narrow"/>
        <family val="2"/>
      </rPr>
      <t xml:space="preserve"> </t>
    </r>
    <r>
      <rPr>
        <sz val="10"/>
        <rFont val="Arial Narrow"/>
        <family val="2"/>
      </rPr>
      <t>(Invasive Plant Cover).</t>
    </r>
  </si>
  <si>
    <r>
      <t xml:space="preserve">&gt;95% of the vegetated AA. </t>
    </r>
    <r>
      <rPr>
        <b/>
        <sz val="11"/>
        <rFont val="Arial Narrow"/>
        <family val="2"/>
      </rPr>
      <t xml:space="preserve">SKIP to F20 </t>
    </r>
    <r>
      <rPr>
        <sz val="10"/>
        <rFont val="Arial Narrow"/>
        <family val="2"/>
      </rPr>
      <t>(Invasive Plant Cover).</t>
    </r>
  </si>
  <si>
    <r>
      <t>&gt;99% of the AA never contains surface water, except perhaps for water flowing in channels and/or in pools that occupy &lt;1% of the AA.</t>
    </r>
    <r>
      <rPr>
        <sz val="11"/>
        <rFont val="Arial Narrow"/>
        <family val="2"/>
      </rPr>
      <t xml:space="preserve"> </t>
    </r>
    <r>
      <rPr>
        <b/>
        <sz val="11"/>
        <rFont val="Arial Narrow"/>
        <family val="2"/>
      </rPr>
      <t>SKIP to F48</t>
    </r>
    <r>
      <rPr>
        <sz val="10"/>
        <rFont val="Arial Narrow"/>
        <family val="2"/>
      </rPr>
      <t xml:space="preserve"> (Channel Connection &amp; Outflow Duration).</t>
    </r>
  </si>
  <si>
    <r>
      <t xml:space="preserve">&lt;0.01 hectare and &lt;1% of the AA.  </t>
    </r>
    <r>
      <rPr>
        <b/>
        <sz val="11"/>
        <rFont val="Arial Narrow"/>
        <family val="2"/>
      </rPr>
      <t>SKIP to F27</t>
    </r>
    <r>
      <rPr>
        <sz val="10"/>
        <rFont val="Arial Narrow"/>
        <family val="2"/>
      </rPr>
      <t xml:space="preserve"> (% Flooded Only Seasonally).</t>
    </r>
  </si>
  <si>
    <r>
      <t xml:space="preserve">None, or &lt;0.01 hectare and &lt;1% of the AA. Nearly all water is flowing.  Enter "1" and </t>
    </r>
    <r>
      <rPr>
        <b/>
        <sz val="11"/>
        <rFont val="Arial Narrow"/>
        <family val="2"/>
      </rPr>
      <t>SKIP to F43</t>
    </r>
    <r>
      <rPr>
        <b/>
        <sz val="10"/>
        <rFont val="Arial Narrow"/>
        <family val="2"/>
      </rPr>
      <t xml:space="preserve"> </t>
    </r>
    <r>
      <rPr>
        <sz val="10"/>
        <rFont val="Arial Narrow"/>
        <family val="2"/>
      </rPr>
      <t>(pH measurement).</t>
    </r>
  </si>
  <si>
    <r>
      <t>None, or &lt;1% of the AA and largest pool occupies &lt;0.01 hectares.  Enter "1" and</t>
    </r>
    <r>
      <rPr>
        <sz val="11"/>
        <rFont val="Arial Narrow"/>
        <family val="2"/>
      </rPr>
      <t xml:space="preserve"> </t>
    </r>
    <r>
      <rPr>
        <b/>
        <sz val="11"/>
        <rFont val="Arial Narrow"/>
        <family val="2"/>
      </rPr>
      <t>SKIP to F41</t>
    </r>
    <r>
      <rPr>
        <b/>
        <sz val="10"/>
        <rFont val="Arial Narrow"/>
        <family val="2"/>
      </rPr>
      <t xml:space="preserve"> </t>
    </r>
    <r>
      <rPr>
        <sz val="10"/>
        <rFont val="Arial Narrow"/>
        <family val="2"/>
      </rPr>
      <t>(Floating Algae &amp; Duckweed).</t>
    </r>
  </si>
  <si>
    <r>
      <t xml:space="preserve">1-5% of the ponded water.  Enter "1" and </t>
    </r>
    <r>
      <rPr>
        <b/>
        <sz val="11"/>
        <rFont val="Arial Narrow"/>
        <family val="2"/>
      </rPr>
      <t>SKIP to F41</t>
    </r>
    <r>
      <rPr>
        <b/>
        <sz val="10"/>
        <rFont val="Arial Narrow"/>
        <family val="2"/>
      </rPr>
      <t>.</t>
    </r>
  </si>
  <si>
    <r>
      <t xml:space="preserve">None, or &lt;0.01 hectare and &lt;1% of the AA. </t>
    </r>
    <r>
      <rPr>
        <sz val="11"/>
        <rFont val="Arial Narrow"/>
        <family val="2"/>
      </rPr>
      <t xml:space="preserve"> </t>
    </r>
    <r>
      <rPr>
        <b/>
        <sz val="11"/>
        <rFont val="Arial Narrow"/>
        <family val="2"/>
      </rPr>
      <t>SKIP to F38</t>
    </r>
    <r>
      <rPr>
        <b/>
        <sz val="10"/>
        <rFont val="Arial Narrow"/>
        <family val="2"/>
      </rPr>
      <t xml:space="preserve"> </t>
    </r>
    <r>
      <rPr>
        <sz val="10"/>
        <rFont val="Arial Narrow"/>
        <family val="2"/>
      </rPr>
      <t>(Open Water - Minimum Depth)</t>
    </r>
    <r>
      <rPr>
        <b/>
        <sz val="10"/>
        <rFont val="Arial Narrow"/>
        <family val="2"/>
      </rPr>
      <t>.</t>
    </r>
  </si>
  <si>
    <r>
      <t xml:space="preserve">none -- but maps show a stream or other water body that is downslope from the AA and within a distance that is less than the AA's length.  If so, mark "1" here and </t>
    </r>
    <r>
      <rPr>
        <b/>
        <sz val="11"/>
        <rFont val="Arial Narrow"/>
        <family val="2"/>
      </rPr>
      <t>SKIP TO F50</t>
    </r>
    <r>
      <rPr>
        <b/>
        <sz val="10"/>
        <rFont val="Arial Narrow"/>
        <family val="2"/>
      </rPr>
      <t xml:space="preserve"> </t>
    </r>
    <r>
      <rPr>
        <sz val="10"/>
        <rFont val="Arial Narrow"/>
        <family val="2"/>
      </rPr>
      <t xml:space="preserve">(Groundwater). </t>
    </r>
  </si>
  <si>
    <r>
      <t xml:space="preserve">no surface water flows out of the wetland except possibly during extreme events (&lt;once per 10 years). Or, water flows only into a wetland, ditch, or lake that lacks an outlet.  If so, mark "1" here and </t>
    </r>
    <r>
      <rPr>
        <b/>
        <sz val="11"/>
        <rFont val="Arial Narrow"/>
        <family val="2"/>
      </rPr>
      <t>SKIP TO F50</t>
    </r>
    <r>
      <rPr>
        <b/>
        <sz val="10"/>
        <rFont val="Arial Narrow"/>
        <family val="2"/>
      </rPr>
      <t xml:space="preserve"> </t>
    </r>
    <r>
      <rPr>
        <sz val="10"/>
        <rFont val="Arial Narrow"/>
        <family val="2"/>
      </rPr>
      <t xml:space="preserve">(Groundwater). </t>
    </r>
  </si>
  <si>
    <r>
      <t xml:space="preserve">&gt;90%, or the AA does not adjoin any upland </t>
    </r>
    <r>
      <rPr>
        <sz val="11"/>
        <rFont val="Arial Narrow"/>
        <family val="2"/>
      </rPr>
      <t xml:space="preserve"> </t>
    </r>
    <r>
      <rPr>
        <b/>
        <sz val="11"/>
        <rFont val="Arial Narrow"/>
        <family val="2"/>
      </rPr>
      <t>SKIP to F54</t>
    </r>
    <r>
      <rPr>
        <b/>
        <sz val="10"/>
        <rFont val="Arial Narrow"/>
        <family val="2"/>
      </rPr>
      <t xml:space="preserve"> </t>
    </r>
    <r>
      <rPr>
        <sz val="10"/>
        <rFont val="Arial Narrow"/>
        <family val="2"/>
      </rPr>
      <t>(Cliffs).</t>
    </r>
  </si>
  <si>
    <r>
      <t xml:space="preserve">&lt;5%.  If F62 was answered "&gt;95%", </t>
    </r>
    <r>
      <rPr>
        <b/>
        <sz val="11"/>
        <rFont val="Arial Narrow"/>
        <family val="2"/>
      </rPr>
      <t xml:space="preserve">SKIP to F64 </t>
    </r>
    <r>
      <rPr>
        <sz val="10"/>
        <rFont val="Arial Narrow"/>
        <family val="2"/>
      </rPr>
      <t>(Consumptive Uses).</t>
    </r>
  </si>
  <si>
    <t>Listing the species you find is encouraged but optional. [ PH, POL]</t>
  </si>
  <si>
    <t>If the AA has no upland edge, or upland edge is &lt;10% of AA's perimeter, then answer for the portion of the upland closest to the wetland.  Listing the species you find is encouraged but optional.   [PH]</t>
  </si>
  <si>
    <r>
      <t xml:space="preserve">   A2. </t>
    </r>
    <r>
      <rPr>
        <sz val="10"/>
        <rFont val="Arial Narrow"/>
        <family val="2"/>
      </rPr>
      <t>Not A1.  The two height classes are mostly in separate zones or bands, or in proportionately large clumps.</t>
    </r>
  </si>
  <si>
    <t xml:space="preserve"> [FH, INV, NR, OE, PH, SBM, SFS, WB, WC]. 
</t>
  </si>
  <si>
    <t>&lt;1%, or catchment size unknown due to stormwater pipes that collect water from an indeterminate area.</t>
  </si>
  <si>
    <t>1-10%</t>
  </si>
  <si>
    <t>10-100%</t>
  </si>
  <si>
    <t xml:space="preserve">&gt;100% (wetland is larger than its catchment (e.g., wetland is isolated by dikes with no input channels, is fed entirely by groundwater, or is a raised bog). </t>
  </si>
  <si>
    <t>Wetlands in headwater positions have generally smaller catchments and thus are likely to have more capacity to store water than wetlands of equal size located at lower elevations in the catchment.</t>
  </si>
  <si>
    <t>Open water may have floating aquatic vegetation provided it does not usually extend above the water surface. [AM, FH, HU, INV, NR, OE, PH, PR, SBM, SFS, SR, WB, WC, WS]</t>
  </si>
  <si>
    <t>OpenPonded2a</t>
  </si>
  <si>
    <t>AVERAGE(WetArea, SeasPct1, AVERAGE(WetPctCA1, ElevPctileHUC8),Fluctua1)</t>
  </si>
  <si>
    <t>[AVERAGE(1-GWDspring, Type1, Groundw1) + AVERAGE(1-Sub0Days, SoilTex1) + AVERAGE(1-PPET, WindSumm, WetPerim2Area, OpenPct1) + AVERAGE(WetVegArea, Burn1, AllWoody1)] / 4</t>
  </si>
  <si>
    <t>Springs and groundwater discharge areas often occur in wetlands and help sustain low flow in streams.</t>
  </si>
  <si>
    <t>Gracz, M.B., M.F., Moffett, D.I. Siegel, and P.H. Glaser. 2015. Analyzing peatland discharge to streams in an Alaskan watershed: An integration of end-member mixing analysis and a water balance approach. Journal of Hydrology 530:667-676.</t>
  </si>
  <si>
    <r>
      <t xml:space="preserve">IF((OutNone + OutNone1&gt;0),0, </t>
    </r>
    <r>
      <rPr>
        <b/>
        <sz val="10"/>
        <rFont val="Arial Narrow"/>
        <family val="2"/>
      </rPr>
      <t>ELSE</t>
    </r>
    <r>
      <rPr>
        <sz val="10"/>
        <rFont val="Arial Narrow"/>
        <family val="2"/>
      </rPr>
      <t>: 10*AVERAGE(SHADE,  GWin, OUT)</t>
    </r>
  </si>
  <si>
    <t>Wetlands located relatively high in local catchments are more capable of influencing water temperature in streams located in headwaters because their contribution of water to the stream is often proportionately greater that is the case in lowlands where river flow often overwhelms the contribution of wetlands.</t>
  </si>
  <si>
    <t>Discharging groundwater in most cases is cooler than receiving surface waters, and fens are groundwater discharge areas. The weights assigned to the wetland types reflect the likelihood of there being discharging groundwater, which is usually cooler than surface water so helps maintain or reduce surface water temperature.</t>
  </si>
  <si>
    <r>
      <t xml:space="preserve">Shade from vegetation and other features is an important factor in cooling surface water and runoff before it reaches water bodies farther downstream (e.g., Rounds 2007).   Vegetation removal by cut lines, power lines, roads, or clear cuts, especially when accompanied by soil compaction, can increase temperature of soil and associated water (Hayhoe &amp; Tarnokai 1993).  A study of many Seattle-area wetlands found that summertime temperatures ranged higher in wetlands that were characterized by relatively large open pools that lacked shade (Reinelt &amp; Horner 1990). </t>
    </r>
    <r>
      <rPr>
        <i/>
        <sz val="10"/>
        <rFont val="Arial Narrow"/>
        <family val="2"/>
      </rPr>
      <t>In calculations, is excluded automatically (cell goes blank) if wetland never has surface water during an average year or if water is present only seasonally.</t>
    </r>
  </si>
  <si>
    <t>[ AVERAGE(OpenWpct3, Interspers3, WetVegArea) + AVERAGE(1-Sub0Days, Persis3, Lake3, VegWabs3, ThruFlo3, Constric3, Gradient3, Gcover3, Girreg3, SoilAlt3) + WetPctCA3 ] / 3</t>
  </si>
  <si>
    <t>AVERAGE(1-Sub0Days, GrowDD, 1-Aspect, HerbWoodMix4,Gcover4)</t>
  </si>
  <si>
    <t>AVERAGE(SoilTex4, SoilDisturb4, OWpct4, Wettype4, WoodyPct4, NewWet)</t>
  </si>
  <si>
    <r>
      <t xml:space="preserve">see above.  </t>
    </r>
    <r>
      <rPr>
        <i/>
        <sz val="10"/>
        <rFont val="Arial Narrow"/>
        <family val="2"/>
        <scheme val="minor"/>
      </rPr>
      <t>The score is the number of other types divided by 3 (the maximum potential number of types).</t>
    </r>
  </si>
  <si>
    <r>
      <t xml:space="preserve">On a per-surface-area basis, deciduous trees and shrubs often support higher levels of insect biomass than conifers, at least among nocturnal flying insects (Ober and Hayes 2008). </t>
    </r>
    <r>
      <rPr>
        <i/>
        <sz val="10"/>
        <rFont val="Arial Narrow"/>
        <family val="2"/>
        <scheme val="minor"/>
      </rPr>
      <t xml:space="preserve"> In calculations, shorter woody vegetation is also assumed to provide less habitat structure for invertebrates than tall woody vegetation.</t>
    </r>
  </si>
  <si>
    <r>
      <t xml:space="preserve">Dynamic water levels in wetlands with outlets usually imply more productive wetlands (Nicholson 1995). However, if water level fluctuations are too severe (e.g., greater than plant height) production of organic matter can diminish. Also, more stable water levels in wetlands may benefit aquatic invertebrates in regions where many streams are prone to sudden fluctuations from melting snow and storms. </t>
    </r>
    <r>
      <rPr>
        <i/>
        <sz val="10"/>
        <rFont val="Arial Narrow"/>
        <family val="2"/>
        <scheme val="minor"/>
      </rPr>
      <t>In calculations, is excluded automatically (cell goes blank) if wetland never has surface water during an average year, or if none of it floods only seasonally.</t>
    </r>
  </si>
  <si>
    <r>
      <t>Up to perhaps 500 ppm TDS (conductivity of ~800 uS/cm), wetlands with higher conductivity (moderate salinity) support greater abundance and sometimes greater diversity of aquatic invertebrates. This may be due partly to their having greater concentrations of dissolved organic matter (Curtis &amp; Adams 1995).  However, one study found that when TDS increased from 270 to 1170 ppm, both coontail (</t>
    </r>
    <r>
      <rPr>
        <i/>
        <sz val="10"/>
        <rFont val="Arial Narrow"/>
        <family val="2"/>
        <scheme val="minor"/>
      </rPr>
      <t>Ceratophyllus demersum</t>
    </r>
    <r>
      <rPr>
        <sz val="10"/>
        <rFont val="Arial Narrow"/>
        <family val="2"/>
        <scheme val="minor"/>
      </rPr>
      <t xml:space="preserve">) and cattails nearly disappeared and other substantial changes occurred in wetland plant communities that support aquatic invertebrates (Hallock and Hallock 1992). Productivity of many freshwater algae declines when TDS exceeds about 1400 ppm (Kerekes and Nursall 1966).  Effects depend on the specific ions that contribute to TDS.  </t>
    </r>
    <r>
      <rPr>
        <i/>
        <sz val="10"/>
        <rFont val="Arial Narrow"/>
        <family val="2"/>
        <scheme val="minor"/>
      </rPr>
      <t>In calculations, the score increases proportionately from 13 to 500 ppm TDS (or conductivity of 20 to 800 uS/cm), but if higher or lower than that range, the score is set at 0.</t>
    </r>
    <r>
      <rPr>
        <sz val="10"/>
        <rFont val="Arial Narrow"/>
        <family val="2"/>
        <scheme val="minor"/>
      </rPr>
      <t xml:space="preserve">
.</t>
    </r>
  </si>
  <si>
    <t xml:space="preserve">Life histories of most invertebrates are closely linked to specific thermal and light (seasonality) conditions as those interact with specific hydrologic patterns. Abnormal patterns of inundation to which invertebrate communities are not adapted may reduce populations of many intolerant invertebrate species, thus diminishing local biodiversity. </t>
  </si>
  <si>
    <t>AVERAGE(Girreg8, Groundw8, GWDspring, SatPct8, PermWpct8, SeasPct8, Beaver8)</t>
  </si>
  <si>
    <t>If a wetland contains marsh and/or shallow water but those types (which may be the most important class for invertebrates) are scarce in the surrounding area, the contribution to local biodiversity of marsh-associated invertebrate species is likely to be greater.</t>
  </si>
  <si>
    <t>Upland vegetation provides emergence sites and nutrients for aquatic invertebrates, so a high ratio of upland perimeter to wetland area is beneficial.</t>
  </si>
  <si>
    <t>Vegetation structure provides vertical and horizontal complexity which increases the number of ecological niches and thus supports greater wetland invertebrate diversity.</t>
  </si>
  <si>
    <t>CUbuffPctNat8</t>
  </si>
  <si>
    <t>Most springs and other groundwater discharge areas help sustain low flows and maintain stream temperatures important to fish.</t>
  </si>
  <si>
    <r>
      <t xml:space="preserve">IF((AllSat1&gt;0),[blank],IF((SmallAA=1), [blank], </t>
    </r>
    <r>
      <rPr>
        <b/>
        <sz val="10"/>
        <rFont val="Arial Narrow"/>
        <family val="2"/>
      </rPr>
      <t>ELSE</t>
    </r>
    <r>
      <rPr>
        <sz val="10"/>
        <rFont val="Arial Narrow"/>
        <family val="2"/>
      </rPr>
      <t>: AVERAGE(Interspers10, ThruFlo10, Depth10, DepthEven10, Shade10, WoodAbove10)</t>
    </r>
  </si>
  <si>
    <t>The weights for the importance of the various classes to amphibians are from an in-depth, species-by-species database analysis performed by Ducks Unlimited, Canada using the Alberta Wetland Classification.</t>
  </si>
  <si>
    <t xml:space="preserve">AVERAGE(GrowDD, GWDspring, GroundW11, Beaver11, Salin11, Gradient11, SatPct11, Fluctu11)  </t>
  </si>
  <si>
    <t>If a wetland contains marsh or open water but those classes (which are most important to waterbirds) are scarce in the surrounding area, the contribution of waterbird species (that associate with those classes) to local biodiversity is likely to be greater.</t>
  </si>
  <si>
    <t>AEP known or projected distribution of this species.</t>
  </si>
  <si>
    <r>
      <t xml:space="preserve">The number of bird and mammal species using a wetland is greater if more wetland types are present within the wetland. </t>
    </r>
    <r>
      <rPr>
        <i/>
        <sz val="10"/>
        <rFont val="Arial Narrow"/>
        <family val="2"/>
        <scheme val="minor"/>
      </rPr>
      <t>The score is the number of other types divided by 3 (the maximum possible number of types).</t>
    </r>
  </si>
  <si>
    <t>Awade, M. and J. P. Metzger. 2008. Using gap-crossing capacity to evaluate functional connectivity of two Atlantic Rainforest birds and their response to fragmentation. Austral Ecology 33:863 - 871.</t>
  </si>
  <si>
    <t>AVERAGE(Dist2DevCrop,1-RdDens1k, Dist2Rd, DistPop, 1-Linear, Dist2Industrial, Core14a, Core14b, BMP_14, ToxSource14)</t>
  </si>
  <si>
    <t>Dist2Industrial</t>
  </si>
  <si>
    <t>Distance to Industrial</t>
  </si>
  <si>
    <t>Noise and traffic associated with well rigs and industrial facilities is detrimental to some sensitive wildlife species.</t>
  </si>
  <si>
    <t>Many species (most notably caribou) are highly sensitve to habitat fragmentation. For example, American marten avoid open and wide seismic lines, but not narrow and recovered lines. Occupancy of forest habitat at the home range scale also declines with increasing seismic line density (Tigner 2010). Seismic lines with vegetation heights less than 1.4 metres also facilitate movement by caribou predators.This index gave more weight to linear clearings that are more permanent landscape features (paved roads) than to revegetating cutlines and similar.</t>
  </si>
  <si>
    <r>
      <t xml:space="preserve">Plant species richness within a wetland can be expected to correlate strongly with the number of wetland classes that are present because different plant species have different requirements. </t>
    </r>
    <r>
      <rPr>
        <i/>
        <sz val="10"/>
        <rFont val="Arial Narrow"/>
        <family val="2"/>
      </rPr>
      <t>The score is the number of other types divided by 3 (the maximum potential number of types).</t>
    </r>
  </si>
  <si>
    <r>
      <t xml:space="preserve">Trampling of native vegetation by recreationists can decrease seed germination and increase vulnerability to invasion by more tolerant invasive plants and ultimately reduce native plant richness.  These and other Best Management Practices (BMPs) potentially reduce such damage.  </t>
    </r>
    <r>
      <rPr>
        <i/>
        <sz val="10"/>
        <rFont val="Arial Narrow"/>
        <family val="2"/>
      </rPr>
      <t>In calculations, is excluded automatically (cell goes blank) if last choice in F59 was chosen AND first choice in F60 was chosen.</t>
    </r>
  </si>
  <si>
    <t>The germination of many plant species is triggered by the interaction of water conditions and season (light). Homogenization or alteration of the natural water regime can thus encourage invasive species at the expense of native flora. Inundation at aberrant times of the year can reduce native plant diversity because most native species have evolved in close synchronization with natural seasonal water regimes. Monthly timing of first soil moistening may be more important than duration of moist period before inundation and length of inundation., for determining the number of plants and number of species that germinate (Bliss &amp; Zedler 1997). Any development that involves increasing the area of lawn or impervious surface is likely to increase runoff amount and concentrate it within shorter time periods, i.e. “pulses” “flashiness” (Booth &amp; Jackson 1997, Booth et al. 2002, DeGasperi et al. 2009). This has been shown to make wetlands more susceptible to invasion by non-native plants (Magee &amp; Kentula 2005). However, one study found that forested wetlands in developed landscapes had community composition and structure similar to those in undeveloped landscapes, with number of exotic species being no greater (Ehrenfeld 2005).</t>
  </si>
  <si>
    <t>IF((RarePlant2=1),10, 10*AVERAGE(UniqClass, AVERAGE(Vstruc, Vspace, CfixV, Vscape, StressV))</t>
  </si>
  <si>
    <t>see OF7</t>
  </si>
  <si>
    <t>Within the AA, wildfire risk maps indicate low propensity to sustain fire.</t>
  </si>
  <si>
    <t>PermWpct15</t>
  </si>
  <si>
    <t xml:space="preserve">People are naturally drawn to larger areas of protected lands. </t>
  </si>
  <si>
    <t>Large expanses of open water are visually appealing as well as providing opportunity for water sports.</t>
  </si>
  <si>
    <r>
      <t>Life histories of resident fish are closely synchronized to natural hydrologic patterns. Wetlands where that has been disrupted will have lower capacity to support resident fish.</t>
    </r>
    <r>
      <rPr>
        <strike/>
        <sz val="10"/>
        <color rgb="FF0070C0"/>
        <rFont val="Arial Narrow"/>
        <family val="2"/>
      </rPr>
      <t/>
    </r>
  </si>
  <si>
    <r>
      <t xml:space="preserve">IF((OutNone + OutNone1&gt;0), 0, </t>
    </r>
    <r>
      <rPr>
        <b/>
        <sz val="10"/>
        <rFont val="Arial Narrow"/>
        <family val="2"/>
      </rPr>
      <t>ELSE</t>
    </r>
    <r>
      <rPr>
        <sz val="10"/>
        <rFont val="Arial Narrow"/>
        <family val="2"/>
      </rPr>
      <t>: 10*AVERAGE(CStock, LabileC, OutC)</t>
    </r>
  </si>
  <si>
    <r>
      <t xml:space="preserve">IF((OutNone + OutNone1&gt;0),0, </t>
    </r>
    <r>
      <rPr>
        <b/>
        <sz val="10"/>
        <rFont val="Arial Narrow"/>
        <family val="2"/>
      </rPr>
      <t>ELSE</t>
    </r>
    <r>
      <rPr>
        <sz val="10"/>
        <rFont val="Arial Narrow"/>
        <family val="2"/>
      </rPr>
      <t>: 10*[AVERAGE(GWDspring, Groundw2_, Wettype2, Soil2_) + AVERAGE(Sub0Days, PPET, 1-WindSumm, 1-WetPerim2Area, OpenPonded2, 1-WetVegArea) + AVERAGE(WetPctHUC8, ElevPctileHUC8, RipFloodpl)  + AVERAGE(Depth2_, OutDur2_)] / 4</t>
    </r>
  </si>
  <si>
    <t>10 * [2*AVERAGE(OutDura, STORE) + AVERAGE(INFILT, RESIST)] /3]</t>
  </si>
  <si>
    <t>Wind increases the evaporative loss of water from wetlands, creating more space for storage of additional runoff.  A 5-mile-per-hour wind can increase still-air evapotranspiration by 20 percent; a 15-mile-per-hour wind can increase still-air evapotranspiration by 50 percent (Chow 1964).  Wind also facilitates transpiration loss of water from vegetation by introducing heat energy into an area and removing vaporized moisture more quickly.</t>
  </si>
  <si>
    <t>Because they typically have a large component of Sphagnum mosses, both bogs and fens have high cation exchange capacity and thus high potential for retaining phosphorus, at least temporarily (Rippy &amp; Nelson 2007).  In boreal landscapes, rich fens retain more phosphorus than do bogs (Prepas et al. 2001) but most bogs lack outlets so may also be highly retentive. In marshes, more P is retained (temporarily) in wetland plants than in soils, whereas in fens, more P is retained in soils than in plants (Bayley &amp; Mehwort 2004).</t>
  </si>
  <si>
    <t xml:space="preserve">Marshes tend to retain or remove nitrogen (Bedford et al. 1999). Floodplain wetlands are notably effective for removing N via denitrification (Clilverd et al. 2008).  In boreal landscapes, rich fens usually retain more nitrate than do bogs (Prepas et al. 2001) due in part to mycorrhizal assemblages that enable vegetation to take up scarce nutrients in these nutrient-poor ecosystems (Thormann et al.2001).  N concentrations in some fen soils were found to be less than in marsh soils (Bayley &amp; Mehwort 2004), suggesting fens might be more effective even than marshes at removing N, as was found by Wray &amp; Bayley (2007). Although bogs, being typically nitrogen-poor (Heilman 1966), would seem able to rapidly take up much of the nitrate that reaches them (D’Amore et al. 2010, Vitt et al. 2003), their acidic conditions may inhibit nitrification and the removal of nitrate via denitrification (Pinay et al. 2003).  Thus, bogs tend to cycle nitrogen internally and remove only limited amounts of added N (Li &amp; Vitt 1997, Bayley &amp; Mewhort 2004) but if they lack outlets, as they typically do, retention will be high.  Mosses that are more prevalent in bogs and fens than in marshes have less capacity to take up apparently available N than do vascular plants (Heijmans et al. 2002, Berendse et al. 2001). Mosses also appear to inhibit generation of nitrous oxide, at least when relatively dry (Wray &amp; Bayley 2007).  Forested wetlands, especially those with an alder component or on slopes, may have less capacity to remove N via denitrification and may actually add nitrate via N fixation (Fellman &amp; D’Amore 2007). </t>
  </si>
  <si>
    <r>
      <t>Productivity of most amphibian species is greater in fresh rather than saline water, and some species are absent from high-conductivity waters (Browne et al. 2009).  Wood frog eggs and hatchlings are harmed when salt concentrations exceed 4500 mg/L (Langhans et al. 2009, Petranka et al. 2010), or perhaps as little as 78 mg/L (Sanzo &amp; Hecnar 2006).</t>
    </r>
    <r>
      <rPr>
        <i/>
        <sz val="10"/>
        <rFont val="Arial Narrow"/>
        <family val="2"/>
        <scheme val="minor"/>
      </rPr>
      <t xml:space="preserve"> If wetland is very saline or very dilute the score for this indicator is 0.  Otherwise it increases within increasing conductivity orTDS, up to a threshold of 1000 mg/L or 1000 µS/cm.</t>
    </r>
  </si>
  <si>
    <t>&gt;3 yrs ago</t>
  </si>
  <si>
    <t>[ AVERAGE(SoilTex3, Salin3) + AVERAGE(Wettype3, SatPct3, Algae3, Fluctu3, DomDepth3) ] / 2</t>
  </si>
  <si>
    <r>
      <t xml:space="preserve">IF((OutNone + OutNone1&gt;0),10, </t>
    </r>
    <r>
      <rPr>
        <b/>
        <sz val="10"/>
        <rFont val="Arial Narrow"/>
        <family val="2"/>
      </rPr>
      <t>ELSE</t>
    </r>
    <r>
      <rPr>
        <sz val="10"/>
        <rFont val="Arial Narrow"/>
        <family val="2"/>
      </rPr>
      <t>: 10*AVERAGE(ADSORB, SEDTRAP, OUT)</t>
    </r>
  </si>
  <si>
    <r>
      <t xml:space="preserve">   A1.</t>
    </r>
    <r>
      <rPr>
        <sz val="10"/>
        <rFont val="Arial Narrow"/>
        <family val="2"/>
      </rPr>
      <t xml:space="preserve"> Surface water is usually absent or, if present, pH is typically &lt;4.5 and conductivity is &lt;100 </t>
    </r>
    <r>
      <rPr>
        <sz val="10"/>
        <rFont val="Calibri"/>
        <family val="2"/>
      </rPr>
      <t>µ</t>
    </r>
    <r>
      <rPr>
        <sz val="10"/>
        <rFont val="Arial Narrow"/>
        <family val="2"/>
      </rPr>
      <t>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t>
    </r>
  </si>
  <si>
    <r>
      <t xml:space="preserve">   A2</t>
    </r>
    <r>
      <rPr>
        <sz val="10"/>
        <rFont val="Arial Narrow"/>
        <family val="2"/>
      </rPr>
      <t xml:space="preserve">. Not A1. Surface water, if present, has pH typically &gt;4.5 and conductivity is &gt;100 </t>
    </r>
    <r>
      <rPr>
        <sz val="10"/>
        <rFont val="Calibri"/>
        <family val="2"/>
      </rPr>
      <t>µ</t>
    </r>
    <r>
      <rPr>
        <sz val="10"/>
        <rFont val="Arial Narrow"/>
        <family val="2"/>
      </rPr>
      <t>S/cm.  Sedges and/or cottongrass often dominate the ground cover, while ericaceous shrubs and black spruce may also be present. Sometimes at toe of slope or edge of water body. An exit channel is usually present. Wetter than A1, often with many small persistent pools.</t>
    </r>
  </si>
  <si>
    <r>
      <t>Little or no (&lt;5%) </t>
    </r>
    <r>
      <rPr>
        <i/>
        <sz val="10"/>
        <rFont val="Arial Narrow"/>
        <family val="2"/>
      </rPr>
      <t>bare ground </t>
    </r>
    <r>
      <rPr>
        <sz val="10"/>
        <rFont val="Arial Narrow"/>
        <family val="2"/>
      </rPr>
      <t>is visible between erect stems or under canopy anywhere in the vegetated AA. Ground is extensively blanketed by dense thatch, moss, lichens, graminoids with great stem densities, or plants with ground-hugging foliage. </t>
    </r>
  </si>
  <si>
    <r>
      <t xml:space="preserve">Much bare ground (20-50% bare between plants) is visible in places, and those areas comprise </t>
    </r>
    <r>
      <rPr>
        <b/>
        <sz val="10"/>
        <rFont val="Arial Narrow"/>
        <family val="2"/>
      </rPr>
      <t>more than</t>
    </r>
    <r>
      <rPr>
        <sz val="10"/>
        <rFont val="Arial Narrow"/>
        <family val="2"/>
      </rPr>
      <t xml:space="preserve"> 5% of the unflooded parts of the AA. </t>
    </r>
  </si>
  <si>
    <r>
      <t xml:space="preserve">invasive species appear to be </t>
    </r>
    <r>
      <rPr>
        <b/>
        <sz val="10"/>
        <rFont val="Arial Narrow"/>
        <family val="2"/>
      </rPr>
      <t xml:space="preserve">absent </t>
    </r>
    <r>
      <rPr>
        <u/>
        <sz val="10"/>
        <rFont val="Arial Narrow"/>
        <family val="2"/>
      </rPr>
      <t>in</t>
    </r>
    <r>
      <rPr>
        <b/>
        <sz val="10"/>
        <rFont val="Arial Narrow"/>
        <family val="2"/>
      </rPr>
      <t xml:space="preserve"> </t>
    </r>
    <r>
      <rPr>
        <sz val="10"/>
        <rFont val="Arial Narrow"/>
        <family val="2"/>
      </rPr>
      <t>the AA or are present only in trace amount (a few individuals).</t>
    </r>
  </si>
  <si>
    <t>was not measured because no surface water could be found during this visit. Enter "1" in column to the right.</t>
  </si>
  <si>
    <t>[ AVERAGE[WetVegArea, MAX(ClassRichIn, ClassRichIn14),Vwidth14] + AVERAGE(WetPerim2Area,  Inclus14) + AVERAGE(SatPct14, PondedOWpct14) + AVERAGE(WoodyPct14,ShrubDiv14, HerbDom14, TreeTypes14, SnagD14, WoodDown14, Cliffs14) + AVERAGE(Interspers14, HerbWoodMix14)] / 5</t>
  </si>
  <si>
    <t>AVERAGE(NatCov1k, ClassRich1k, WetDens1k, CUbuffNatPct14)</t>
  </si>
  <si>
    <t>See OF8 above.</t>
  </si>
  <si>
    <r>
      <t xml:space="preserve">The weights for the importance of the various classes to songbirds, raptors, and mammals are from an in-depth, species-by-species database analysis performed by Ducks Unlimited, Canada (2014). Moderate-rich fen and poor fen tend to have multiple well-developed vegetation strata (Szumigalski et al.1997) and thus are more likely to support multiple songbird and mammal species. The same is true of swamps.  A comparison of 6 boreal forest types (mature deciduous, coniferous, and mixedwood; young forests; wooded bogs; and clearcuts) revealed the greatest songbird richness, and 30% higher abundance, in mixedwood (Machtans &amp; Letour 2003). Raised, treed "islands" within open bogs are favored by woodland caribou, probably because they contain greater biomass of lichens favored as wintertime food (Bradshaw et al. 1995). In contrast, within calving areas, females tend to select poor and rich fens relative to treed bogs and avoid most other land cover types. The risk of calf mortality has been found to be generally higher in landscapes with high proportions of hardwood swamp.  At the local scale, increasing selection of rich fens also equated to an increasing risk of calf mortality. The increased use of riskier habitats, such as rich fens, by caribou at calving may partially account for the higher reported predation rates of caribou during the spring (Demars et al. 2011). In general, females select calving areas in landscape mosaics comprised of high proportions of poor fens, rich fens and upland conifer, which contrasts with winter ranges dominated by treed bogs. </t>
    </r>
    <r>
      <rPr>
        <i/>
        <sz val="10"/>
        <rFont val="Arial Narrow"/>
        <family val="2"/>
        <scheme val="minor"/>
      </rPr>
      <t>The weights for the importance of the various classes to songbirds and mammals are from an in-depth, species-by-species database analysis performed by Ducks Unlimited, Canada using the Alberta Wetland Classification.</t>
    </r>
  </si>
  <si>
    <r>
      <t xml:space="preserve"> Sedges are favored as forage by many wetland mammals, but mixed assemblages with other herbaceous species are preferable. </t>
    </r>
    <r>
      <rPr>
        <i/>
        <sz val="10"/>
        <rFont val="Arial Narrow"/>
        <family val="2"/>
        <scheme val="minor"/>
      </rPr>
      <t>In calculations, is excluded automatically (cell goes blank) if herbaceous cover is &lt;5% of the vegetated cover.</t>
    </r>
  </si>
  <si>
    <t>AVERAGE(GrowDD, RipFloodpl, InfloPD, SoilTexPD, BeaverPD, GWpd, NfixPD, NewWetPD, FlucPD, Depth15)</t>
  </si>
  <si>
    <r>
      <t xml:space="preserve">IF((AllSat1&gt;0),[blank],IF((SmallAA=1),[blank], </t>
    </r>
    <r>
      <rPr>
        <b/>
        <sz val="10"/>
        <rFont val="Arial Narrow"/>
        <family val="2"/>
      </rPr>
      <t>ELSE</t>
    </r>
    <r>
      <rPr>
        <sz val="10"/>
        <rFont val="Arial Narrow"/>
        <family val="2"/>
      </rPr>
      <t>: (AVERAGE(WetVegArea, WidthPD, PondedOWpctPD, PersisPD) + AVERAGE(DownedWood15, Snags15, GirregPD, Rock15) ] /2</t>
    </r>
  </si>
  <si>
    <t>AVERAGE(NatCov1k, WetDens1k, ClassRich1k,  BuffLUpd, NatVegCApd)</t>
  </si>
  <si>
    <t>[ Invasives + AVERAGE(Dist2DevCrop, 1-RdDens1k, Dist2Road, DistPop, Core1pd, Core2pd, BMPsoils20, WeedSourcePD, AltTime20, Toxic20, SedDisturb20) ] / 2</t>
  </si>
  <si>
    <t>Sphagnum Moss Extent</t>
  </si>
  <si>
    <t>Preferably, measure this in larger areas of ponded surface water within the AA, or in streams that have passed through (not along) most of the AA. Unless surface water is completely absent, do not dig holes or make depressions in peat in order to provide water for this measurement.  Avoid measuring near roads.  pH of &lt;4.5 usually indicates bog.  pH of &gt;5.5 often indicates marsh or swamp, but also some fens. Fens can be  classified as poor fens (pH&lt;5.5), moderate-rich fens (pH 5.5 - 7), and rich fens (pH&gt;7.0). [AM, FH, INV, OE, WB]</t>
  </si>
  <si>
    <t>See above guidance.  Conductance of &lt;100 µS/cm usually indicates bog or poor fen. 100-250 µS/cm indicates moderate-rich fen, &gt;250 µS/cm indicates rich fen.</t>
  </si>
  <si>
    <r>
      <t>In the last column, place a check mark next to any item in the AA or its CA (contributing area) that is likely to have caused the</t>
    </r>
    <r>
      <rPr>
        <b/>
        <i/>
        <sz val="10"/>
        <color rgb="FF000000"/>
        <rFont val="Arial Narrow"/>
        <family val="2"/>
      </rPr>
      <t xml:space="preserve"> timing, depth, or volume</t>
    </r>
    <r>
      <rPr>
        <i/>
        <sz val="10"/>
        <color rgb="FF000000"/>
        <rFont val="Arial Narrow"/>
        <family val="2"/>
      </rPr>
      <t xml:space="preserve"> of this AA's surface or subsurface water to fall outside the natural range of hydrologic conditions that is usual for this AA's wetland class. </t>
    </r>
  </si>
  <si>
    <t>In the last column, place a check mark next to any item -- occurring in either the wetland or its CA -- that is likely to have accelerated the inputs of contaminants or salts to the AA.</t>
  </si>
  <si>
    <t>In the last column, place a check mark next to any item -- occurring in either the wetland or its CA -- that is likely to have accelerated the inputs of nutrients to the wetland.</t>
  </si>
  <si>
    <t>In the last column, place a check mark next to any item present in the CA that is likely to have elevated the load of waterborne or windborne sediment reaching the wetland from its CA.</t>
  </si>
  <si>
    <t>In the last column, place a check mark next to any item present in the wetland that is likely to have compacted, eroded, or otherwise altered the wetland's soil.  If the AA is a created or restored wetland or pond, exclude those actions.  B22</t>
  </si>
  <si>
    <t>Upland Edge Index</t>
  </si>
  <si>
    <t>Final Category (A, B, C, D)</t>
  </si>
  <si>
    <t>Water Cooling (WC)</t>
  </si>
  <si>
    <t>Sediment Retention &amp; Stabilization (SR)</t>
  </si>
  <si>
    <t>Water Storage &amp; Delay (WS)</t>
  </si>
  <si>
    <t>A study in Alaska found that 55% of the stream flow during a dry period originated from the nearsurface layers of peatlands within a watershed (Gracz et al. 2015). Runoff ratio (the percent of precipitation that contributes to streamflow immediately after storms) is lowest for open peatland areas with thick organic horizons, due partly to the low topographic gradients of such areas.  In contrast, runoff ratio is greater in areas with coarser and more permeable soils, other factors being equal. That is due partly to higher likelihood of groundwater reaching the land surface via seeps (Quinton et al. 2003).</t>
  </si>
  <si>
    <t xml:space="preserve">AVERAGE(OutDur7, RipFloodPl, ElevPctileHUC8) </t>
  </si>
  <si>
    <t>[ AVERAGE(WetVegArea, OpenPonded2, Interspers2) + AVERAGE(1-Sub0Days, SlopeBuffer, Gradient2) + AVERAGE (SeasPct2, Fluc2, DepthC2, WatEdgeSlope2, WidthAbs2, Iso2,ThruFlo2, Constric2, Gcover2, Girreg2,  Burn2, SoilAlt2) + WetPctCA2 ] / 4</t>
  </si>
  <si>
    <r>
      <t xml:space="preserve">IF((OutNone + OutNone1&gt;0),10, </t>
    </r>
    <r>
      <rPr>
        <b/>
        <sz val="10"/>
        <rFont val="Arial Narrow"/>
        <family val="2"/>
      </rPr>
      <t>ELSE</t>
    </r>
    <r>
      <rPr>
        <sz val="10"/>
        <rFont val="Arial Narrow"/>
        <family val="2"/>
      </rPr>
      <t>: 10*AVERAGE(TRAP, OUT)</t>
    </r>
  </si>
  <si>
    <t xml:space="preserve">AVERAGE(WetPerim2Area, SwampMarshPct, Interspers4,  Inclus4, Groundw4, PermWpct4, SatPct4, SeasWpct4, Fluctu4) </t>
  </si>
  <si>
    <r>
      <t xml:space="preserve">IF((OutNone + OutNone1&gt;0),10, </t>
    </r>
    <r>
      <rPr>
        <b/>
        <sz val="10"/>
        <rFont val="Arial Narrow"/>
        <family val="2"/>
      </rPr>
      <t>ELSE</t>
    </r>
    <r>
      <rPr>
        <sz val="10"/>
        <rFont val="Arial Narrow"/>
        <family val="2"/>
      </rPr>
      <t>: 10*AVERAGE(TEMP, CARB, REDOX, DELAY, OUT)</t>
    </r>
  </si>
  <si>
    <r>
      <t xml:space="preserve">Leaf litter from deciduous shrubs and trees tends to break down and cycle in receiving waters more rapidly than that of coniferous trees and shrubs, and leaf litter from trees tends to be carried by wind farther from its source than material from low shrubs and woody ground cover (thus making it more subject to export from a wetland).  </t>
    </r>
    <r>
      <rPr>
        <i/>
        <sz val="10"/>
        <rFont val="Arial Narrow"/>
        <family val="2"/>
        <scheme val="minor"/>
      </rPr>
      <t>In calculations, the classes are weighted in this order if they have &gt;25% cover: deciduous trees&gt; deciduous tall shrubs &gt; coniferous trees&gt; coniferous tall shrubs&gt; deciduous low shrubs&gt; coniferous low shrubs.</t>
    </r>
  </si>
  <si>
    <t>AVERAGE(GrowDD, Wettype6, Gradient6, Interspers6, ThruFlo6, Gcover6, PondedPct6, SeasWpct6, Shade6, Nfixer6)</t>
  </si>
  <si>
    <r>
      <t xml:space="preserve">Waters in burned catchments have more dissolved organic carbon and phosphorus, and slightly more nitrate than in unburned catchments of Alberta (McEachern et al. 2000, Swallow et al. 2009). Some of these conditions can persist for decades post-fire, potentially increasing aquatic productivity. However, such waters are also more acidic and turbid, and those factors can restrain increases in productivity (McEachern et al. 2000). Another study of boreal Alberta lakes found that geology was more influential than burn history (Moser et al. 1998). </t>
    </r>
    <r>
      <rPr>
        <i/>
        <sz val="10"/>
        <rFont val="Arial Narrow"/>
        <family val="2"/>
        <scheme val="minor"/>
      </rPr>
      <t>Is ignored in calculations (cell goes blank) if wetland not burned in last 30 years.</t>
    </r>
  </si>
  <si>
    <t xml:space="preserve">AVERAGE(WetPerim2Area, WetVegArea, MAX(ClassRichIn8, ClassRichIn),OWpct8, HerbDiv8, ThruFlo8, WoodDown8,  Interspers8, VegIntersp8, Burn8, DepthDiv8, AqCov8)  </t>
  </si>
  <si>
    <t>AVERAGE(GrowDD, Conduc8, AVERAGE(Wettype8, Moss8, Stain8), Depth8, Fluc8, Nfixers8, WoodyPct8)</t>
  </si>
  <si>
    <t>AVERAGE(SedCA8, Toxic8, AltTime8, SoilDisturb8, BuffNatPct8, NatCov1k, CUbuffPctNat8)</t>
  </si>
  <si>
    <r>
      <t xml:space="preserve">10*AVERAGE(WetType8, </t>
    </r>
    <r>
      <rPr>
        <sz val="10"/>
        <rFont val="Arial Narrow"/>
        <family val="2"/>
      </rPr>
      <t>UniqMarshShallowOW, AVERAGE(WaterI, HabStrucI, CfixI, StressI))</t>
    </r>
  </si>
  <si>
    <t>[MAX(FishPres, Fish10), AVERAGE(GrowDD, Groundw10, Lake10, Fringe10, Conduc10, Beaver10, Burn10, AcidicPool10)] /2</t>
  </si>
  <si>
    <t xml:space="preserve">AVERAGE(OutDura10, PermWpct10, SatPct10, GWDspring)  </t>
  </si>
  <si>
    <t>AVERAGE(Dist2Road,1-RdDens1k,Toxic10, AltTime10, NatVegCUpct10)</t>
  </si>
  <si>
    <r>
      <t xml:space="preserve">IF((RareFish=1),10, IF((AllSat1=1),0, </t>
    </r>
    <r>
      <rPr>
        <b/>
        <sz val="10"/>
        <rFont val="Arial Narrow"/>
        <family val="2"/>
      </rPr>
      <t>ELSE</t>
    </r>
    <r>
      <rPr>
        <sz val="10"/>
        <rFont val="Arial Narrow"/>
        <family val="2"/>
      </rPr>
      <t>: 10*AVERAGE(Fish10, AVERAGE(CfixF, HabStrucF, Water, AnoxF, StressF)</t>
    </r>
  </si>
  <si>
    <t>AVERAGE(Interspers11, HerbWoodMix11, IsoWet11, AVERAGE(ClassRichIn, WetPerim2Area, OWpct11, Girreg11, Vwidth11, TreeVar11,WoodDown11, WoodAbove11)</t>
  </si>
  <si>
    <t>AVERAGE(UniqFenMarshSwamp, ClassRich1k, WetDens1k_noBog, BuffNatPct11, NatCov1k)</t>
  </si>
  <si>
    <t>AVERAGE(MAX(1-FishPres, Fish11), AVERAGE(WindSumm, Toxic11, 1-RdDens1k, Dist2Rd, Dist2DevCrop, Core1_11, Core2_11, BMP_11)</t>
  </si>
  <si>
    <t>See OF30 above.</t>
  </si>
  <si>
    <t>Most breeding waterbirds are naturally drawn to more productive wetlands, which tend to be marshes and wetlands with extensive aquatic bed vegetation (Thormann &amp; Bayley 1997a, b, Found et al. 2008, DUC 2014).  Many waterbird species, such as trumpeter swan (Fontaine &amp; Heckbert 2010), use ponds surrounded by bogs and fens to a much lesser degree than marshes. The weights for the importance of the various classes to waterbirds are from an in-depth, species-by-species database analysis performed by Ducks Unlimited, Canada.</t>
  </si>
  <si>
    <t>MAX(SBhab13, AVERAGE(WetVegArea,ISOdry13, OWpct13, Interspers13, EmPct13, DepthEven13, ShoreSlope13, TreeForm13, SnagB13, Island13, VwidthAbs13))</t>
  </si>
  <si>
    <t>AVERAGE(Gradient13, Wettype13, AVERAGE(GrowDD, RipFloodpl, Lake13, Fish13, SatPct13, Acidic13, Woody13, Beaver13,  SeasWetPct13, Fluctu13))</t>
  </si>
  <si>
    <r>
      <t xml:space="preserve">AVERAGE(WetDens1k_OW,UndevOpenL1k, OWpct_WB) </t>
    </r>
    <r>
      <rPr>
        <strike/>
        <sz val="10"/>
        <rFont val="Arial Narrow"/>
        <family val="2"/>
      </rPr>
      <t/>
    </r>
  </si>
  <si>
    <r>
      <t xml:space="preserve">IF((MAX(RareWB, IBirdArea, RareBirdUse,TrumSwan)&gt;0),10, </t>
    </r>
    <r>
      <rPr>
        <b/>
        <sz val="10"/>
        <rFont val="Arial Narrow"/>
        <family val="2"/>
      </rPr>
      <t>ELSE</t>
    </r>
    <r>
      <rPr>
        <sz val="10"/>
        <rFont val="Arial Narrow"/>
        <family val="2"/>
      </rPr>
      <t>: 10*AVERAGE(PermWPct13, UniqMarshShallowOW, HabStrucW, CfixW, LscapeW, StressW))</t>
    </r>
  </si>
  <si>
    <t>10*MAX(Firebreak, OWpct, PermWpct15, Burn15)</t>
  </si>
  <si>
    <r>
      <t xml:space="preserve">IF((Algae=1),0, </t>
    </r>
    <r>
      <rPr>
        <b/>
        <sz val="10"/>
        <rFont val="Arial Narrow"/>
        <family val="2"/>
        <scheme val="minor"/>
      </rPr>
      <t>ELSE</t>
    </r>
    <r>
      <rPr>
        <sz val="10"/>
        <rFont val="Arial Narrow"/>
        <family val="2"/>
        <scheme val="minor"/>
      </rPr>
      <t>:  AVERAGE(WetArea, OWarea, Fringe21, Lake21,PondedOWpct21)</t>
    </r>
  </si>
  <si>
    <t>[ AVERAGE(1-Dist2Road, RdDens1k, 1-DistPop, Reserve) ] /2</t>
  </si>
  <si>
    <r>
      <t>AVERAGE(</t>
    </r>
    <r>
      <rPr>
        <sz val="10"/>
        <rFont val="Arial Narrow"/>
        <family val="2"/>
      </rPr>
      <t>WetVegArea, OWpct6, SoilTex6, Moss6, Fluctu6, NewWet6, Burn6, VwidthAbs6)</t>
    </r>
  </si>
  <si>
    <t xml:space="preserve">Normalized Score (ABWRET_A ESub) </t>
  </si>
  <si>
    <t>Function Raw Scores (ABWRET-E)</t>
  </si>
  <si>
    <t>Normalized Function Scores (ABWRET-E):</t>
  </si>
  <si>
    <t>Normalized Score (ABWRET_E)  Based on 102 Calibration Sites</t>
  </si>
  <si>
    <t xml:space="preserve">Normalized Score (ABWRET_E) </t>
  </si>
  <si>
    <t>Function Raw Scores (ABWRET-ESub)</t>
  </si>
  <si>
    <t>Normalized Function Scores (ABWRET-ESub):</t>
  </si>
  <si>
    <t>Normalized Score (ABWRET ESub)  Based on 102 Calibration Sites</t>
  </si>
  <si>
    <t>Site Identifier:</t>
  </si>
  <si>
    <t>Cover Page. Documentation of Wetland Assessment Using ABWRET-A for the Boreal and Foothills Natural Regions of Alberta.(Version 1.0 Sep 2016)</t>
  </si>
  <si>
    <t>IF((RareAM=1),10,10*AVERAGE(SensAm, Wettype11,HabStrucA, CfixA, LscapeAM,StressA)</t>
  </si>
  <si>
    <t>Fill Data Here</t>
  </si>
  <si>
    <r>
      <t xml:space="preserve">If the AA is smaller than 1 ha, mark all </t>
    </r>
    <r>
      <rPr>
        <b/>
        <sz val="10"/>
        <color theme="0"/>
        <rFont val="Arial Narrow"/>
        <family val="2"/>
      </rPr>
      <t>other</t>
    </r>
    <r>
      <rPr>
        <sz val="10"/>
        <color theme="0"/>
        <rFont val="Arial Narrow"/>
        <family val="2"/>
      </rPr>
      <t xml:space="preserve"> types that occupy more than 1% of the vegetated AA.  If the AA is larger than 1 ha, mark all other types which adjoin directly (are contiguous with) the AA and occupy more than 1 ha, as visible from the AA or as interpreted from aerial imagery.  Do not mark again the type marked in F1.</t>
    </r>
  </si>
  <si>
    <r>
      <t xml:space="preserve">Following </t>
    </r>
    <r>
      <rPr>
        <b/>
        <sz val="10"/>
        <color theme="0"/>
        <rFont val="Arial Narrow"/>
        <family val="2"/>
      </rPr>
      <t>EACH</t>
    </r>
    <r>
      <rPr>
        <sz val="10"/>
        <color theme="0"/>
        <rFont val="Arial Narrow"/>
        <family val="2"/>
      </rPr>
      <t xml:space="preserve"> row below, indicate with a number code the percentage of the of the living vegetation in the AA occupied by that feature (</t>
    </r>
    <r>
      <rPr>
        <b/>
        <sz val="10"/>
        <color theme="0"/>
        <rFont val="Arial Narrow"/>
        <family val="2"/>
      </rPr>
      <t>5</t>
    </r>
    <r>
      <rPr>
        <sz val="10"/>
        <color theme="0"/>
        <rFont val="Arial Narrow"/>
        <family val="2"/>
      </rPr>
      <t xml:space="preserve"> if &gt;75%,</t>
    </r>
    <r>
      <rPr>
        <b/>
        <sz val="10"/>
        <color theme="0"/>
        <rFont val="Arial Narrow"/>
        <family val="2"/>
      </rPr>
      <t xml:space="preserve">   4 </t>
    </r>
    <r>
      <rPr>
        <sz val="10"/>
        <color theme="0"/>
        <rFont val="Arial Narrow"/>
        <family val="2"/>
      </rPr>
      <t xml:space="preserve">if 50-75%,   </t>
    </r>
    <r>
      <rPr>
        <b/>
        <sz val="10"/>
        <color theme="0"/>
        <rFont val="Arial Narrow"/>
        <family val="2"/>
      </rPr>
      <t>3</t>
    </r>
    <r>
      <rPr>
        <sz val="10"/>
        <color theme="0"/>
        <rFont val="Arial Narrow"/>
        <family val="2"/>
      </rPr>
      <t xml:space="preserve"> if 25-50%,   </t>
    </r>
    <r>
      <rPr>
        <b/>
        <sz val="10"/>
        <color theme="0"/>
        <rFont val="Arial Narrow"/>
        <family val="2"/>
      </rPr>
      <t>2</t>
    </r>
    <r>
      <rPr>
        <sz val="10"/>
        <color theme="0"/>
        <rFont val="Arial Narrow"/>
        <family val="2"/>
      </rPr>
      <t xml:space="preserve"> if 5-25%,   </t>
    </r>
    <r>
      <rPr>
        <b/>
        <sz val="10"/>
        <color theme="0"/>
        <rFont val="Arial Narrow"/>
        <family val="2"/>
      </rPr>
      <t>1</t>
    </r>
    <r>
      <rPr>
        <sz val="10"/>
        <color theme="0"/>
        <rFont val="Arial Narrow"/>
        <family val="2"/>
      </rPr>
      <t xml:space="preserve"> if &lt;5%, </t>
    </r>
    <r>
      <rPr>
        <b/>
        <sz val="10"/>
        <color theme="0"/>
        <rFont val="Arial Narrow"/>
        <family val="2"/>
      </rPr>
      <t>0</t>
    </r>
    <r>
      <rPr>
        <sz val="10"/>
        <color theme="0"/>
        <rFont val="Arial Narrow"/>
        <family val="2"/>
      </rPr>
      <t xml:space="preserve"> if none).  If the AA has no trees or shrubs, </t>
    </r>
    <r>
      <rPr>
        <b/>
        <sz val="11"/>
        <color theme="0"/>
        <rFont val="Arial Narrow"/>
        <family val="2"/>
      </rPr>
      <t>SKIP to F8</t>
    </r>
    <r>
      <rPr>
        <b/>
        <sz val="10"/>
        <color theme="0"/>
        <rFont val="Arial Narrow"/>
        <family val="2"/>
      </rPr>
      <t>.</t>
    </r>
  </si>
  <si>
    <r>
      <t xml:space="preserve">Mark all the diameter classes of woody plants within the AA, but </t>
    </r>
    <r>
      <rPr>
        <b/>
        <sz val="10"/>
        <color theme="0"/>
        <rFont val="Arial Narrow"/>
        <family val="2"/>
      </rPr>
      <t>only IF</t>
    </r>
    <r>
      <rPr>
        <sz val="10"/>
        <color theme="0"/>
        <rFont val="Arial Narrow"/>
        <family val="2"/>
      </rPr>
      <t xml:space="preserve"> they comprise </t>
    </r>
    <r>
      <rPr>
        <b/>
        <sz val="10"/>
        <color theme="0"/>
        <rFont val="Arial Narrow"/>
        <family val="2"/>
      </rPr>
      <t>&gt;5%</t>
    </r>
    <r>
      <rPr>
        <sz val="10"/>
        <color theme="0"/>
        <rFont val="Arial Narrow"/>
        <family val="2"/>
      </rPr>
      <t xml:space="preserve"> </t>
    </r>
    <r>
      <rPr>
        <b/>
        <sz val="10"/>
        <color theme="0"/>
        <rFont val="Arial Narrow"/>
        <family val="2"/>
      </rPr>
      <t>of the woody canopy</t>
    </r>
    <r>
      <rPr>
        <sz val="10"/>
        <color theme="0"/>
        <rFont val="Arial Narrow"/>
        <family val="2"/>
      </rPr>
      <t xml:space="preserve"> or subcanopy within the AA.  Do not count trees that adjoin but are not within the AA.</t>
    </r>
  </si>
  <si>
    <r>
      <t xml:space="preserve">If trees taller than 3 m comprise &lt;5% of the vegetative cover, </t>
    </r>
    <r>
      <rPr>
        <b/>
        <sz val="11"/>
        <color theme="0"/>
        <rFont val="Arial Narrow"/>
        <family val="2"/>
      </rPr>
      <t>SKIP to F10</t>
    </r>
    <r>
      <rPr>
        <b/>
        <sz val="12"/>
        <color theme="0"/>
        <rFont val="Arial Narrow"/>
        <family val="2"/>
      </rPr>
      <t xml:space="preserve"> </t>
    </r>
    <r>
      <rPr>
        <sz val="10"/>
        <color theme="0"/>
        <rFont val="Arial Narrow"/>
        <family val="2"/>
      </rPr>
      <t xml:space="preserve">(Sphagnum Moss Extent). Otherwise, answer this: The number of downed wood pieces </t>
    </r>
    <r>
      <rPr>
        <b/>
        <sz val="10"/>
        <color theme="0"/>
        <rFont val="Arial Narrow"/>
        <family val="2"/>
      </rPr>
      <t xml:space="preserve">longer than 2 m </t>
    </r>
    <r>
      <rPr>
        <sz val="10"/>
        <color theme="0"/>
        <rFont val="Arial Narrow"/>
        <family val="2"/>
      </rPr>
      <t xml:space="preserve">and with diameter </t>
    </r>
    <r>
      <rPr>
        <b/>
        <sz val="10"/>
        <color theme="0"/>
        <rFont val="Arial Narrow"/>
        <family val="2"/>
      </rPr>
      <t>&gt;5 cm,</t>
    </r>
    <r>
      <rPr>
        <sz val="10"/>
        <color theme="0"/>
        <rFont val="Arial Narrow"/>
        <family val="2"/>
      </rPr>
      <t xml:space="preserve"> and </t>
    </r>
    <r>
      <rPr>
        <b/>
        <sz val="10"/>
        <color theme="0"/>
        <rFont val="Arial Narrow"/>
        <family val="2"/>
      </rPr>
      <t>not persistently submerged</t>
    </r>
    <r>
      <rPr>
        <sz val="10"/>
        <color theme="0"/>
        <rFont val="Arial Narrow"/>
        <family val="2"/>
      </rPr>
      <t>, is:</t>
    </r>
  </si>
  <si>
    <t>If shrubs shorter than 3 m comprise &lt;5% of the vegetative cover, proceed to next question. Otherwise, determine which two native shrub species (&lt;3 m tall) comprise the greatest portion of the native shrub cover. Then choose one of the following:</t>
  </si>
  <si>
    <r>
      <t>The number of large snags (</t>
    </r>
    <r>
      <rPr>
        <b/>
        <sz val="10"/>
        <color theme="0"/>
        <rFont val="Arial Narrow"/>
        <family val="2"/>
      </rPr>
      <t>diameter &gt;20 cm</t>
    </r>
    <r>
      <rPr>
        <sz val="10"/>
        <color theme="0"/>
        <rFont val="Arial Narrow"/>
        <family val="2"/>
      </rPr>
      <t>) in the AA plus adjoining upland area within 10 m of the wetland edge is:</t>
    </r>
  </si>
  <si>
    <r>
      <t xml:space="preserve">The cover of </t>
    </r>
    <r>
      <rPr>
        <b/>
        <sz val="10"/>
        <color theme="0"/>
        <rFont val="Arial Narrow"/>
        <family val="2"/>
      </rPr>
      <t>Sphagnum</t>
    </r>
    <r>
      <rPr>
        <sz val="10"/>
        <color theme="0"/>
        <rFont val="Arial Narrow"/>
        <family val="2"/>
      </rPr>
      <t xml:space="preserve"> moss (or any moss that forms a dense cushion many centimeters thick), including the moss obscured by taller sedges and other plants rooted in it, is:</t>
    </r>
  </si>
  <si>
    <r>
      <t xml:space="preserve">Consider the parts of the AA that lack surface water at the driest time of the growing season.  </t>
    </r>
    <r>
      <rPr>
        <b/>
        <sz val="10"/>
        <color theme="0"/>
        <rFont val="Arial Narrow"/>
        <family val="2"/>
      </rPr>
      <t>Viewed from directly above the ground layer</t>
    </r>
    <r>
      <rPr>
        <sz val="10"/>
        <color theme="0"/>
        <rFont val="Arial Narrow"/>
        <family val="2"/>
      </rPr>
      <t>, the predominant condition in those areas at that time is:</t>
    </r>
  </si>
  <si>
    <r>
      <t xml:space="preserve">Consider the parts of the AA that lack surface water at some time of the year.  The number of hummocks, small pits, raised mounds, upturned trees, animal burrows, gullies, natural levees, microdepressions, and other areas of peat or mineral soil that are </t>
    </r>
    <r>
      <rPr>
        <b/>
        <sz val="10"/>
        <color theme="0"/>
        <rFont val="Arial Narrow"/>
        <family val="2"/>
      </rPr>
      <t>raised or depressed &gt;10 cm</t>
    </r>
    <r>
      <rPr>
        <sz val="10"/>
        <color theme="0"/>
        <rFont val="Arial Narrow"/>
        <family val="2"/>
      </rPr>
      <t xml:space="preserve"> compared to most of the area immediately surrounding them is:</t>
    </r>
  </si>
  <si>
    <r>
      <rPr>
        <b/>
        <sz val="10"/>
        <color theme="0"/>
        <rFont val="Arial Narrow"/>
        <family val="2"/>
      </rPr>
      <t>Within</t>
    </r>
    <r>
      <rPr>
        <sz val="10"/>
        <color theme="0"/>
        <rFont val="Arial Narrow"/>
        <family val="2"/>
      </rPr>
      <t xml:space="preserve"> the AA, inclusions of upland that individually are &gt;100 sq.m. are:</t>
    </r>
  </si>
  <si>
    <r>
      <t>In parts of the AA that lack persistent water, the texture of soil in the uppermost layer is mostly:  [</t>
    </r>
    <r>
      <rPr>
        <i/>
        <sz val="10"/>
        <color theme="0"/>
        <rFont val="Arial Narrow"/>
        <family val="2"/>
      </rPr>
      <t>To determine this, use a trowel to check in at least 3 widely spaced locations, and use the soil texture key in Appendix A of the Manual].</t>
    </r>
  </si>
  <si>
    <r>
      <t xml:space="preserve">The areal cover of </t>
    </r>
    <r>
      <rPr>
        <b/>
        <sz val="10"/>
        <color theme="0"/>
        <rFont val="Arial Narrow"/>
        <family val="2"/>
      </rPr>
      <t xml:space="preserve">forbs </t>
    </r>
    <r>
      <rPr>
        <sz val="10"/>
        <color theme="0"/>
        <rFont val="Arial Narrow"/>
        <family val="2"/>
      </rPr>
      <t>reaches an annual maximum of:</t>
    </r>
  </si>
  <si>
    <r>
      <t>Sedges (</t>
    </r>
    <r>
      <rPr>
        <i/>
        <sz val="10"/>
        <color theme="0"/>
        <rFont val="Arial Narrow"/>
        <family val="2"/>
      </rPr>
      <t>Carex</t>
    </r>
    <r>
      <rPr>
        <sz val="10"/>
        <color theme="0"/>
        <rFont val="Arial Narrow"/>
        <family val="2"/>
      </rPr>
      <t xml:space="preserve"> spp.) and/or cottongrass (</t>
    </r>
    <r>
      <rPr>
        <i/>
        <sz val="10"/>
        <color theme="0"/>
        <rFont val="Arial Narrow"/>
        <family val="2"/>
      </rPr>
      <t>Eriophorum</t>
    </r>
    <r>
      <rPr>
        <sz val="10"/>
        <color theme="0"/>
        <rFont val="Arial Narrow"/>
        <family val="2"/>
      </rPr>
      <t xml:space="preserve"> spp.) occupy:</t>
    </r>
  </si>
  <si>
    <r>
      <t xml:space="preserve">In this region, the more frequent invasive graminoids include smooth brome, several bluegrasses, quackgrass, timothy, alfalfa, reed canarygrass, red fescue, spreading bentgrass.  The more frequent invasive forbs include most thistles and sow-thistles, most clovers, sweetclover, black medick, dandelion, great plantain, hemp-nettle, lamb's-quarters, shepherd's-purse, curly dock, pennycress, wallflower, hawksbeard, tansy, some chickweeds, sticky-willy bedstraw, stickseed, tall buttercup. Select the condition that represents </t>
    </r>
    <r>
      <rPr>
        <b/>
        <sz val="10"/>
        <color theme="0"/>
        <rFont val="Arial Narrow"/>
        <family val="2"/>
      </rPr>
      <t>whichever cover of invasives is greater</t>
    </r>
    <r>
      <rPr>
        <sz val="10"/>
        <color theme="0"/>
        <rFont val="Arial Narrow"/>
        <family val="2"/>
      </rPr>
      <t xml:space="preserve"> -- percent herbaceous that is invasive, or percent woody that is invasive:</t>
    </r>
  </si>
  <si>
    <r>
      <t xml:space="preserve">The percentage of the AA that </t>
    </r>
    <r>
      <rPr>
        <u/>
        <sz val="10"/>
        <color theme="0"/>
        <rFont val="Arial Narrow"/>
        <family val="2"/>
      </rPr>
      <t xml:space="preserve">never </t>
    </r>
    <r>
      <rPr>
        <sz val="10"/>
        <color theme="0"/>
        <rFont val="Arial Narrow"/>
        <family val="2"/>
      </rPr>
      <t>contains</t>
    </r>
    <r>
      <rPr>
        <u/>
        <sz val="10"/>
        <color theme="0"/>
        <rFont val="Arial Narrow"/>
        <family val="2"/>
      </rPr>
      <t xml:space="preserve"> surface</t>
    </r>
    <r>
      <rPr>
        <sz val="10"/>
        <color theme="0"/>
        <rFont val="Arial Narrow"/>
        <family val="2"/>
      </rPr>
      <t xml:space="preserve"> water during an average year (that is, except perhaps for a few hours after snowmelt or rainstorms), but which is still a wetland, is:</t>
    </r>
  </si>
  <si>
    <r>
      <t xml:space="preserve">The percentage of the AA that has </t>
    </r>
    <r>
      <rPr>
        <b/>
        <sz val="10"/>
        <color theme="0"/>
        <rFont val="Arial Narrow"/>
        <family val="2"/>
      </rPr>
      <t>surface</t>
    </r>
    <r>
      <rPr>
        <sz val="10"/>
        <color theme="0"/>
        <rFont val="Arial Narrow"/>
        <family val="2"/>
      </rPr>
      <t xml:space="preserve"> water (either ponded or flowing, either open or obscured by vegetation) during </t>
    </r>
    <r>
      <rPr>
        <b/>
        <sz val="10"/>
        <color theme="0"/>
        <rFont val="Arial Narrow"/>
        <family val="2"/>
      </rPr>
      <t xml:space="preserve">all </t>
    </r>
    <r>
      <rPr>
        <sz val="10"/>
        <color theme="0"/>
        <rFont val="Arial Narrow"/>
        <family val="2"/>
      </rPr>
      <t>of the growing season during most years is:</t>
    </r>
  </si>
  <si>
    <r>
      <t>At mid-day</t>
    </r>
    <r>
      <rPr>
        <sz val="10"/>
        <color theme="0"/>
        <rFont val="Arial Narrow"/>
        <family val="2"/>
      </rPr>
      <t xml:space="preserve"> during the warmest time of year, the area of surface water </t>
    </r>
    <r>
      <rPr>
        <u/>
        <sz val="10"/>
        <color theme="0"/>
        <rFont val="Arial Narrow"/>
        <family val="2"/>
      </rPr>
      <t>within</t>
    </r>
    <r>
      <rPr>
        <sz val="10"/>
        <color theme="0"/>
        <rFont val="Arial Narrow"/>
        <family val="2"/>
      </rPr>
      <t xml:space="preserve"> the AA that is shaded by vegetation and other </t>
    </r>
    <r>
      <rPr>
        <b/>
        <sz val="10"/>
        <color theme="0"/>
        <rFont val="Arial Narrow"/>
        <family val="2"/>
      </rPr>
      <t xml:space="preserve">features that are </t>
    </r>
    <r>
      <rPr>
        <b/>
        <u/>
        <sz val="10"/>
        <color theme="0"/>
        <rFont val="Arial Narrow"/>
        <family val="2"/>
      </rPr>
      <t>within</t>
    </r>
    <r>
      <rPr>
        <sz val="10"/>
        <color theme="0"/>
        <rFont val="Arial Narrow"/>
        <family val="2"/>
      </rPr>
      <t xml:space="preserve"> the AA at that time is:</t>
    </r>
  </si>
  <si>
    <r>
      <t>The percentage of the AA that is covered by unfrozen surface water</t>
    </r>
    <r>
      <rPr>
        <b/>
        <u/>
        <sz val="10"/>
        <color theme="0"/>
        <rFont val="Arial Narrow"/>
        <family val="2"/>
      </rPr>
      <t xml:space="preserve"> only</t>
    </r>
    <r>
      <rPr>
        <sz val="10"/>
        <color theme="0"/>
        <rFont val="Arial Narrow"/>
        <family val="2"/>
      </rPr>
      <t xml:space="preserve"> during the wettest time of the year is:</t>
    </r>
  </si>
  <si>
    <r>
      <t xml:space="preserve">The annual fluctuation in surface water level within </t>
    </r>
    <r>
      <rPr>
        <b/>
        <sz val="10"/>
        <color theme="0"/>
        <rFont val="Arial Narrow"/>
        <family val="2"/>
      </rPr>
      <t>most</t>
    </r>
    <r>
      <rPr>
        <sz val="10"/>
        <color theme="0"/>
        <rFont val="Arial Narrow"/>
        <family val="2"/>
      </rPr>
      <t xml:space="preserve"> of the parts of the AA that contain surface water is:</t>
    </r>
  </si>
  <si>
    <r>
      <t xml:space="preserve">During most of the time when water is present, its depth in </t>
    </r>
    <r>
      <rPr>
        <b/>
        <sz val="10"/>
        <color theme="0"/>
        <rFont val="Arial Narrow"/>
        <family val="2"/>
      </rPr>
      <t>most</t>
    </r>
    <r>
      <rPr>
        <sz val="10"/>
        <color theme="0"/>
        <rFont val="Arial Narrow"/>
        <family val="2"/>
      </rPr>
      <t xml:space="preserve"> of the area is: [</t>
    </r>
    <r>
      <rPr>
        <i/>
        <sz val="10"/>
        <color theme="0"/>
        <rFont val="Arial Narrow"/>
        <family val="2"/>
      </rPr>
      <t>Note: This is not asking for the maximum depth].</t>
    </r>
    <r>
      <rPr>
        <sz val="10"/>
        <color theme="0"/>
        <rFont val="Arial Narrow"/>
        <family val="2"/>
      </rPr>
      <t xml:space="preserve"> If a ponded body of open water that adjoins the AA is larger than 8 ha, include its waters in this estimate, but only those waters within a distance from the AA that is equal to the vegetated AA's width]</t>
    </r>
  </si>
  <si>
    <r>
      <t xml:space="preserve">The percentage of the AA's surface water that is </t>
    </r>
    <r>
      <rPr>
        <b/>
        <sz val="10"/>
        <color theme="0"/>
        <rFont val="Arial Narrow"/>
        <family val="2"/>
      </rPr>
      <t>ponded</t>
    </r>
    <r>
      <rPr>
        <sz val="10"/>
        <color theme="0"/>
        <rFont val="Arial Narrow"/>
        <family val="2"/>
      </rPr>
      <t xml:space="preserve"> (stagnant, or flows so slowly that fine sediment is not held in suspension) </t>
    </r>
    <r>
      <rPr>
        <b/>
        <sz val="10"/>
        <color theme="0"/>
        <rFont val="Arial Narrow"/>
        <family val="2"/>
      </rPr>
      <t>during most of the time it is present</t>
    </r>
    <r>
      <rPr>
        <sz val="10"/>
        <color theme="0"/>
        <rFont val="Arial Narrow"/>
        <family val="2"/>
      </rPr>
      <t xml:space="preserve"> during the growing season, and which is either open or shaded by emergent vegetation, is:</t>
    </r>
  </si>
  <si>
    <r>
      <t xml:space="preserve">During most of the growing season, the largest patch of </t>
    </r>
    <r>
      <rPr>
        <b/>
        <sz val="10"/>
        <color theme="0"/>
        <rFont val="Arial Narrow"/>
        <family val="2"/>
      </rPr>
      <t xml:space="preserve">open </t>
    </r>
    <r>
      <rPr>
        <sz val="10"/>
        <color theme="0"/>
        <rFont val="Arial Narrow"/>
        <family val="2"/>
      </rPr>
      <t xml:space="preserve">water that is </t>
    </r>
    <r>
      <rPr>
        <b/>
        <sz val="10"/>
        <color theme="0"/>
        <rFont val="Arial Narrow"/>
        <family val="2"/>
      </rPr>
      <t>ponded</t>
    </r>
    <r>
      <rPr>
        <sz val="10"/>
        <color theme="0"/>
        <rFont val="Arial Narrow"/>
        <family val="2"/>
      </rPr>
      <t xml:space="preserve"> and is in or bordering the AA is </t>
    </r>
    <r>
      <rPr>
        <b/>
        <sz val="10"/>
        <color theme="0"/>
        <rFont val="Arial Narrow"/>
        <family val="2"/>
      </rPr>
      <t xml:space="preserve">&gt;0.01 hectare </t>
    </r>
    <r>
      <rPr>
        <sz val="10"/>
        <color theme="0"/>
        <rFont val="Arial Narrow"/>
        <family val="2"/>
      </rPr>
      <t>(about 10 m by 10 m)</t>
    </r>
    <r>
      <rPr>
        <b/>
        <sz val="10"/>
        <color theme="0"/>
        <rFont val="Arial Narrow"/>
        <family val="2"/>
      </rPr>
      <t xml:space="preserve"> and mostly deeper than 0.5 m.</t>
    </r>
    <r>
      <rPr>
        <sz val="10"/>
        <color theme="0"/>
        <rFont val="Arial Narrow"/>
        <family val="2"/>
      </rPr>
      <t xml:space="preserve">  If true enter "1" and continue,  If false, enter "0" and </t>
    </r>
    <r>
      <rPr>
        <b/>
        <sz val="11"/>
        <color theme="0"/>
        <rFont val="Arial Narrow"/>
        <family val="2"/>
      </rPr>
      <t>SKIP to F41</t>
    </r>
    <r>
      <rPr>
        <b/>
        <sz val="10"/>
        <color theme="0"/>
        <rFont val="Arial Narrow"/>
        <family val="2"/>
      </rPr>
      <t xml:space="preserve"> </t>
    </r>
    <r>
      <rPr>
        <sz val="10"/>
        <color theme="0"/>
        <rFont val="Arial Narrow"/>
        <family val="2"/>
      </rPr>
      <t>(Floating Algae &amp; Duckweed).</t>
    </r>
  </si>
  <si>
    <r>
      <t xml:space="preserve">In ducks-eye aerial view, the percentage of the ponded water that is </t>
    </r>
    <r>
      <rPr>
        <b/>
        <sz val="10"/>
        <color theme="0"/>
        <rFont val="Arial Narrow"/>
        <family val="2"/>
      </rPr>
      <t>open</t>
    </r>
    <r>
      <rPr>
        <sz val="10"/>
        <color theme="0"/>
        <rFont val="Arial Narrow"/>
        <family val="2"/>
      </rPr>
      <t xml:space="preserve"> (lacking emergent vegetation during most of the growing season, and unhidden by a forest or shrub canopy) is:</t>
    </r>
  </si>
  <si>
    <r>
      <t>At the time during the growing season when the AA's water level is lowest, the average width of vegetated area</t>
    </r>
    <r>
      <rPr>
        <u/>
        <sz val="10"/>
        <color theme="0"/>
        <rFont val="Arial Narrow"/>
        <family val="2"/>
      </rPr>
      <t xml:space="preserve"> </t>
    </r>
    <r>
      <rPr>
        <b/>
        <u/>
        <sz val="10"/>
        <color theme="0"/>
        <rFont val="Arial Narrow"/>
        <family val="2"/>
      </rPr>
      <t xml:space="preserve">in </t>
    </r>
    <r>
      <rPr>
        <u/>
        <sz val="10"/>
        <color theme="0"/>
        <rFont val="Arial Narrow"/>
        <family val="2"/>
      </rPr>
      <t>the AA</t>
    </r>
    <r>
      <rPr>
        <sz val="10"/>
        <color theme="0"/>
        <rFont val="Arial Narrow"/>
        <family val="2"/>
      </rPr>
      <t xml:space="preserve"> that separates adjoining uplands from open water within the AA is:</t>
    </r>
  </si>
  <si>
    <r>
      <t xml:space="preserve">During most of the part of the growing season when water is present, the percentage of the AA's water edge length that is  </t>
    </r>
    <r>
      <rPr>
        <b/>
        <sz val="10"/>
        <color theme="0"/>
        <rFont val="Arial Narrow"/>
        <family val="2"/>
      </rPr>
      <t>nearly flat</t>
    </r>
    <r>
      <rPr>
        <sz val="10"/>
        <color theme="0"/>
        <rFont val="Arial Narrow"/>
        <family val="2"/>
      </rPr>
      <t xml:space="preserve"> (a slope less than about 5% measured within 5 m landward) is:</t>
    </r>
  </si>
  <si>
    <r>
      <t xml:space="preserve">During most of the part of the growing season when water is present, the spatial </t>
    </r>
    <r>
      <rPr>
        <b/>
        <sz val="10"/>
        <color theme="0"/>
        <rFont val="Arial Narrow"/>
        <family val="2"/>
      </rPr>
      <t xml:space="preserve">pattern </t>
    </r>
    <r>
      <rPr>
        <sz val="10"/>
        <color theme="0"/>
        <rFont val="Arial Narrow"/>
        <family val="2"/>
      </rPr>
      <t xml:space="preserve">of robust herbaceous vegetation (e.g., cattail, tall bulrush, buckbean) is </t>
    </r>
    <r>
      <rPr>
        <b/>
        <sz val="10"/>
        <color theme="0"/>
        <rFont val="Arial Narrow"/>
        <family val="2"/>
      </rPr>
      <t>mostly</t>
    </r>
    <r>
      <rPr>
        <sz val="10"/>
        <color theme="0"/>
        <rFont val="Arial Narrow"/>
        <family val="2"/>
      </rPr>
      <t>:</t>
    </r>
  </si>
  <si>
    <r>
      <t>During most of the growing season, the deepest patch of surface water (flowing or ponded) in or directly adjacent to the AA is</t>
    </r>
    <r>
      <rPr>
        <b/>
        <sz val="10"/>
        <color theme="0"/>
        <rFont val="Arial Narrow"/>
        <family val="2"/>
      </rPr>
      <t xml:space="preserve"> mostly deeper than 0.5 m.</t>
    </r>
    <r>
      <rPr>
        <sz val="10"/>
        <color theme="0"/>
        <rFont val="Arial Narrow"/>
        <family val="2"/>
      </rPr>
      <t xml:space="preserve">  If true enter "1" and continue,  If false, enter "0" and </t>
    </r>
    <r>
      <rPr>
        <b/>
        <sz val="11"/>
        <color theme="0"/>
        <rFont val="Arial Narrow"/>
        <family val="2"/>
      </rPr>
      <t xml:space="preserve">SKIP to F41 </t>
    </r>
    <r>
      <rPr>
        <sz val="10"/>
        <color theme="0"/>
        <rFont val="Arial Narrow"/>
        <family val="2"/>
      </rPr>
      <t>(Floating Algae &amp; Duckweed)</t>
    </r>
    <r>
      <rPr>
        <b/>
        <sz val="10"/>
        <color theme="0"/>
        <rFont val="Arial Narrow"/>
        <family val="2"/>
      </rPr>
      <t>.</t>
    </r>
  </si>
  <si>
    <r>
      <t xml:space="preserve">During most of the growing season and in waters deeper than 0.5 m, the cover for fish, aquatic invertebrates, and/or amphibians that is provided NOT by living vegetation, but by </t>
    </r>
    <r>
      <rPr>
        <b/>
        <sz val="10"/>
        <color theme="0"/>
        <rFont val="Arial Narrow"/>
        <family val="2"/>
      </rPr>
      <t>accumulations of dead wood and undercut banks</t>
    </r>
    <r>
      <rPr>
        <sz val="10"/>
        <color theme="0"/>
        <rFont val="Arial Narrow"/>
        <family val="2"/>
      </rPr>
      <t xml:space="preserve"> is:</t>
    </r>
  </si>
  <si>
    <r>
      <t>At least once annually, surface water from a tributary channel that is &gt;100 m long moves into the AA.  Or, surface water from a larger permanent water body that directly adjoins the AA spills into the AA.  If false (no input), enter 0 and</t>
    </r>
    <r>
      <rPr>
        <sz val="11"/>
        <color theme="0"/>
        <rFont val="Arial Narrow"/>
        <family val="2"/>
      </rPr>
      <t xml:space="preserve"> </t>
    </r>
    <r>
      <rPr>
        <b/>
        <sz val="11"/>
        <color theme="0"/>
        <rFont val="Arial Narrow"/>
        <family val="2"/>
      </rPr>
      <t>SKIP to F48</t>
    </r>
    <r>
      <rPr>
        <b/>
        <sz val="10"/>
        <color theme="0"/>
        <rFont val="Arial Narrow"/>
        <family val="2"/>
      </rPr>
      <t xml:space="preserve"> </t>
    </r>
    <r>
      <rPr>
        <sz val="10"/>
        <color theme="0"/>
        <rFont val="Arial Narrow"/>
        <family val="2"/>
      </rPr>
      <t xml:space="preserve">(Channel Connection &amp; Outflow Duration). Otherwise, enter 1 and continue. </t>
    </r>
  </si>
  <si>
    <r>
      <t xml:space="preserve">During its travel through the AA at the time of peak annual flow, water arriving in channels: [select only the ONE encountered by </t>
    </r>
    <r>
      <rPr>
        <b/>
        <sz val="10"/>
        <color theme="0"/>
        <rFont val="Arial Narrow"/>
        <family val="2"/>
      </rPr>
      <t xml:space="preserve">most </t>
    </r>
    <r>
      <rPr>
        <sz val="10"/>
        <color theme="0"/>
        <rFont val="Arial Narrow"/>
        <family val="2"/>
      </rPr>
      <t>of the incoming water].</t>
    </r>
  </si>
  <si>
    <r>
      <t xml:space="preserve">The </t>
    </r>
    <r>
      <rPr>
        <b/>
        <sz val="10"/>
        <color theme="0"/>
        <rFont val="Arial Narrow"/>
        <family val="2"/>
      </rPr>
      <t>most persistent</t>
    </r>
    <r>
      <rPr>
        <sz val="10"/>
        <color theme="0"/>
        <rFont val="Arial Narrow"/>
        <family val="2"/>
      </rPr>
      <t xml:space="preserve"> surface water connection (outlet channel or pipe, ditch, or overbank water exchange) between the AA and the closest larger water body located downslope is: [</t>
    </r>
    <r>
      <rPr>
        <u/>
        <sz val="10"/>
        <color theme="0"/>
        <rFont val="Arial Narrow"/>
        <family val="2"/>
      </rPr>
      <t>Note</t>
    </r>
    <r>
      <rPr>
        <sz val="10"/>
        <color theme="0"/>
        <rFont val="Arial Narrow"/>
        <family val="2"/>
      </rPr>
      <t>: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t>
    </r>
  </si>
  <si>
    <r>
      <t>During major runoff events, in the places where</t>
    </r>
    <r>
      <rPr>
        <b/>
        <sz val="10"/>
        <color theme="0"/>
        <rFont val="Arial Narrow"/>
        <family val="2"/>
      </rPr>
      <t xml:space="preserve"> surface</t>
    </r>
    <r>
      <rPr>
        <sz val="10"/>
        <color theme="0"/>
        <rFont val="Arial Narrow"/>
        <family val="2"/>
      </rPr>
      <t xml:space="preserve"> water exits the AA or connected waters nearby, it:</t>
    </r>
  </si>
  <si>
    <r>
      <t xml:space="preserve">Extending 30 m on all sides from the AA's edge,  the percentage that contains water or </t>
    </r>
    <r>
      <rPr>
        <b/>
        <sz val="10"/>
        <color theme="0"/>
        <rFont val="Arial Narrow"/>
        <family val="2"/>
        <scheme val="minor"/>
      </rPr>
      <t>perennial vegetation</t>
    </r>
    <r>
      <rPr>
        <sz val="10"/>
        <color theme="0"/>
        <rFont val="Arial Narrow"/>
        <family val="2"/>
        <scheme val="minor"/>
      </rPr>
      <t xml:space="preserve"> taller than 10 cm during most of the growing season is:</t>
    </r>
  </si>
  <si>
    <r>
      <t xml:space="preserve">From the best vantage point on public roads, public parking lots, public buildings, or well-defined public trails that intersect, adjoin, or are within 100 m of the wetland, </t>
    </r>
    <r>
      <rPr>
        <b/>
        <sz val="10"/>
        <color theme="0"/>
        <rFont val="Arial Narrow"/>
        <family val="2"/>
      </rPr>
      <t xml:space="preserve">some part </t>
    </r>
    <r>
      <rPr>
        <sz val="10"/>
        <color theme="0"/>
        <rFont val="Arial Narrow"/>
        <family val="2"/>
      </rPr>
      <t>of the AA is (select best case):</t>
    </r>
  </si>
  <si>
    <r>
      <t xml:space="preserve">Assuming access permission was granted, select </t>
    </r>
    <r>
      <rPr>
        <b/>
        <sz val="10"/>
        <color theme="0"/>
        <rFont val="Arial Narrow"/>
        <family val="2"/>
      </rPr>
      <t xml:space="preserve">ALL </t>
    </r>
    <r>
      <rPr>
        <sz val="10"/>
        <color theme="0"/>
        <rFont val="Arial Narrow"/>
        <family val="2"/>
      </rPr>
      <t>statements that are true of the AA as it currently exists:</t>
    </r>
  </si>
  <si>
    <r>
      <t xml:space="preserve">Recent </t>
    </r>
    <r>
      <rPr>
        <b/>
        <sz val="10"/>
        <color theme="0"/>
        <rFont val="Arial Narrow"/>
        <family val="2"/>
      </rPr>
      <t>evidence</t>
    </r>
    <r>
      <rPr>
        <sz val="10"/>
        <color theme="0"/>
        <rFont val="Arial Narrow"/>
        <family val="2"/>
      </rPr>
      <t xml:space="preserve"> was found within the AA of the following potentially-sustainable consumptive uses.  Select all that apply.</t>
    </r>
  </si>
  <si>
    <r>
      <t xml:space="preserve">Estimate the approximate boundaries of the wetland's catchment (CA) from a topographic map.Then adjust those boundaries if necessary based on your field observations of the surrounding terrain, and/or by using procedures described in the ABWRET Manual.  Divide the area of the wetland (not just the AA) by the approximate area of its catchment , </t>
    </r>
    <r>
      <rPr>
        <b/>
        <sz val="10"/>
        <color theme="0"/>
        <rFont val="Arial Narrow"/>
        <family val="2"/>
      </rPr>
      <t>excluding</t>
    </r>
    <r>
      <rPr>
        <sz val="10"/>
        <color theme="0"/>
        <rFont val="Arial Narrow"/>
        <family val="2"/>
      </rPr>
      <t xml:space="preserve"> the area of the wetland itself.  When doing the calculation, if ponded water adjoins the wetland, include that in the wetland's area.  The result is:</t>
    </r>
  </si>
  <si>
    <r>
      <t xml:space="preserve">   B2. </t>
    </r>
    <r>
      <rPr>
        <sz val="10"/>
        <rFont val="Arial Narrow"/>
        <family val="2"/>
      </rPr>
      <t>Not B1.  Tree &amp; tall shrubs taller than 1 m comprise</t>
    </r>
    <r>
      <rPr>
        <b/>
        <sz val="10"/>
        <rFont val="Arial Narrow"/>
        <family val="2"/>
      </rPr>
      <t xml:space="preserve"> less than </t>
    </r>
    <r>
      <rPr>
        <sz val="10"/>
        <rFont val="Arial Narrow"/>
        <family val="2"/>
      </rPr>
      <t>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t>
    </r>
  </si>
  <si>
    <t>Marsh or Shallow Open Water Area/All Marsh &amp; Shallow Open Water Area Within 1k</t>
  </si>
  <si>
    <r>
      <t>Mount, D.R., D.D. Gulley, J.R. Hockett, T.D. Garrison and J.M. Evans. 1997. Statistical models
to predict the toxicity of major ions to</t>
    </r>
    <r>
      <rPr>
        <i/>
        <sz val="10"/>
        <rFont val="Arial Narrow"/>
        <family val="2"/>
      </rPr>
      <t xml:space="preserve"> C. dubia, Daphnia magna</t>
    </r>
    <r>
      <rPr>
        <sz val="10"/>
        <rFont val="Arial Narrow"/>
        <family val="2"/>
      </rPr>
      <t xml:space="preserve"> and </t>
    </r>
    <r>
      <rPr>
        <i/>
        <sz val="10"/>
        <rFont val="Arial Narrow"/>
        <family val="2"/>
      </rPr>
      <t>Pimephales promelas</t>
    </r>
    <r>
      <rPr>
        <sz val="10"/>
        <rFont val="Arial Narrow"/>
        <family val="2"/>
      </rPr>
      <t xml:space="preserve">(fathead minnows). Environ. Toxicol. Chem. 16: 2009-2019. </t>
    </r>
  </si>
  <si>
    <t xml:space="preserve">Date: </t>
  </si>
  <si>
    <t xml:space="preserve">Investigator: test </t>
  </si>
  <si>
    <t>Relative Value</t>
  </si>
  <si>
    <t>0.77-0.86</t>
  </si>
  <si>
    <t>0.87-0.92</t>
  </si>
  <si>
    <t>&lt;0.77</t>
  </si>
  <si>
    <t>0.93 or &gt;</t>
  </si>
  <si>
    <t>Max Score of 102 Calibration Sites</t>
  </si>
  <si>
    <t xml:space="preserve">*The abundance factor is not applied to sites within the 5th and 95th percentiles </t>
  </si>
  <si>
    <t>Percentile</t>
  </si>
  <si>
    <t>05*</t>
  </si>
  <si>
    <t>95*</t>
  </si>
  <si>
    <t>Relative Value (a, b, c, d)</t>
  </si>
  <si>
    <t>Final Relative Value (A, B, C, D)</t>
  </si>
  <si>
    <t>d</t>
  </si>
  <si>
    <t>c</t>
  </si>
  <si>
    <t>b</t>
  </si>
  <si>
    <t>a</t>
  </si>
  <si>
    <t>Relative Value Score Ranges</t>
  </si>
  <si>
    <t>Relative Value Score (ABWRET_a)</t>
  </si>
  <si>
    <t>Relative Value Score (ABWRET-A)</t>
  </si>
  <si>
    <t>Min Score of 102 Calibration Sites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</si>
</sst>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109" x14ac:knownFonts="1">
    <font>
      <sz val="10"/>
      <name val="Times New Roman"/>
    </font>
    <font>
      <sz val="11"/>
      <color theme="1"/>
      <name val="Arial Narrow"/>
      <family val="2"/>
      <scheme val="minor"/>
    </font>
    <font>
      <sz val="11"/>
      <color theme="1"/>
      <name val="Arial Narrow"/>
      <family val="2"/>
      <scheme val="minor"/>
    </font>
    <font>
      <sz val="11"/>
      <color theme="1"/>
      <name val="Arial Narrow"/>
      <family val="2"/>
      <scheme val="minor"/>
    </font>
    <font>
      <sz val="11"/>
      <color theme="1"/>
      <name val="Arial Narrow"/>
      <family val="2"/>
      <scheme val="minor"/>
    </font>
    <font>
      <sz val="10"/>
      <color theme="1"/>
      <name val="Arial Narrow"/>
      <family val="2"/>
    </font>
    <font>
      <sz val="11"/>
      <color theme="1"/>
      <name val="Arial Narrow"/>
      <family val="2"/>
      <scheme val="minor"/>
    </font>
    <font>
      <sz val="11"/>
      <color theme="1"/>
      <name val="Arial Narrow"/>
      <family val="2"/>
      <scheme val="minor"/>
    </font>
    <font>
      <sz val="11"/>
      <color theme="1"/>
      <name val="Arial Narrow"/>
      <family val="2"/>
      <scheme val="minor"/>
    </font>
    <font>
      <sz val="11"/>
      <color theme="1"/>
      <name val="Arial Narrow"/>
      <family val="2"/>
      <scheme val="minor"/>
    </font>
    <font>
      <sz val="11"/>
      <color theme="1"/>
      <name val="Arial Narrow"/>
      <family val="2"/>
      <scheme val="minor"/>
    </font>
    <font>
      <sz val="10"/>
      <color indexed="8"/>
      <name val="Arial Narrow"/>
      <family val="2"/>
    </font>
    <font>
      <sz val="8"/>
      <name val="Times New Roman"/>
      <family val="1"/>
    </font>
    <font>
      <sz val="10"/>
      <name val="Arial"/>
      <family val="2"/>
    </font>
    <font>
      <sz val="10"/>
      <name val="Arial Narrow"/>
      <family val="2"/>
    </font>
    <font>
      <b/>
      <sz val="10"/>
      <name val="Arial Narrow"/>
      <family val="2"/>
    </font>
    <font>
      <u/>
      <sz val="10"/>
      <name val="Arial Narrow"/>
      <family val="2"/>
    </font>
    <font>
      <b/>
      <sz val="12"/>
      <name val="Arial Narrow"/>
      <family val="2"/>
    </font>
    <font>
      <sz val="10"/>
      <name val="Times New Roman"/>
      <family val="1"/>
    </font>
    <font>
      <sz val="12"/>
      <name val="Arial"/>
      <family val="2"/>
    </font>
    <font>
      <i/>
      <sz val="10"/>
      <name val="Arial Narrow"/>
      <family val="2"/>
    </font>
    <font>
      <b/>
      <sz val="16"/>
      <name val="Arial Narrow"/>
      <family val="2"/>
    </font>
    <font>
      <sz val="12"/>
      <name val="Times New Roman"/>
      <family val="1"/>
    </font>
    <font>
      <sz val="11"/>
      <name val="Calibri"/>
      <family val="2"/>
    </font>
    <font>
      <b/>
      <sz val="11"/>
      <name val="Arial Narrow"/>
      <family val="2"/>
    </font>
    <font>
      <b/>
      <sz val="11"/>
      <name val="Arial"/>
      <family val="2"/>
    </font>
    <font>
      <sz val="11"/>
      <name val="Arial"/>
      <family val="2"/>
    </font>
    <font>
      <b/>
      <i/>
      <sz val="11"/>
      <name val="Arial Narrow"/>
      <family val="2"/>
    </font>
    <font>
      <sz val="10"/>
      <color indexed="8"/>
      <name val="Arial Narrow"/>
      <family val="2"/>
    </font>
    <font>
      <sz val="8"/>
      <name val="Times New Roman"/>
      <family val="1"/>
    </font>
    <font>
      <sz val="10"/>
      <name val="Arial Narrow"/>
      <family val="2"/>
    </font>
    <font>
      <sz val="11"/>
      <name val="Arial Narrow"/>
      <family val="2"/>
    </font>
    <font>
      <sz val="10"/>
      <name val="Arial Narrow"/>
      <family val="2"/>
    </font>
    <font>
      <sz val="10"/>
      <name val="Arial Narrow"/>
      <family val="2"/>
    </font>
    <font>
      <i/>
      <sz val="10"/>
      <name val="Arial"/>
      <family val="2"/>
    </font>
    <font>
      <sz val="12"/>
      <name val="Arial Narrow"/>
      <family val="2"/>
    </font>
    <font>
      <b/>
      <sz val="10"/>
      <name val="Arial"/>
      <family val="2"/>
    </font>
    <font>
      <sz val="8"/>
      <name val="Times New Roman"/>
      <family val="1"/>
    </font>
    <font>
      <sz val="18"/>
      <name val="Times New Roman"/>
      <family val="1"/>
    </font>
    <font>
      <b/>
      <i/>
      <sz val="10"/>
      <name val="Arial Narrow"/>
      <family val="2"/>
    </font>
    <font>
      <i/>
      <sz val="10"/>
      <name val="Times New Roman"/>
      <family val="1"/>
    </font>
    <font>
      <b/>
      <sz val="13"/>
      <name val="Arial"/>
      <family val="2"/>
    </font>
    <font>
      <b/>
      <sz val="13"/>
      <name val="Arial Narrow"/>
      <family val="2"/>
    </font>
    <font>
      <b/>
      <sz val="10.5"/>
      <name val="Arial Narrow"/>
      <family val="2"/>
    </font>
    <font>
      <b/>
      <sz val="14"/>
      <name val="Arial"/>
      <family val="2"/>
    </font>
    <font>
      <sz val="10.5"/>
      <name val="Arial Narrow"/>
      <family val="2"/>
    </font>
    <font>
      <sz val="16"/>
      <name val="Arial Narrow"/>
      <family val="2"/>
    </font>
    <font>
      <sz val="10"/>
      <name val="Arial Narrow"/>
      <family val="2"/>
      <scheme val="minor"/>
    </font>
    <font>
      <sz val="10"/>
      <color rgb="FF000000"/>
      <name val="Arial Narrow"/>
      <family val="2"/>
    </font>
    <font>
      <b/>
      <sz val="12"/>
      <name val="Arial Narrow"/>
      <family val="2"/>
      <scheme val="minor"/>
    </font>
    <font>
      <i/>
      <sz val="10"/>
      <name val="Arial Narrow"/>
      <family val="2"/>
      <scheme val="minor"/>
    </font>
    <font>
      <b/>
      <sz val="10"/>
      <name val="Arial Narrow"/>
      <family val="2"/>
      <scheme val="minor"/>
    </font>
    <font>
      <sz val="10.5"/>
      <name val="Arial Narrow"/>
      <family val="2"/>
      <scheme val="minor"/>
    </font>
    <font>
      <sz val="11"/>
      <name val="Arial Narrow"/>
      <family val="2"/>
      <scheme val="minor"/>
    </font>
    <font>
      <sz val="10"/>
      <name val="Arial Narrow"/>
      <family val="2"/>
      <charset val="1"/>
    </font>
    <font>
      <sz val="10"/>
      <name val="Times New Roman"/>
      <family val="1"/>
      <charset val="1"/>
    </font>
    <font>
      <b/>
      <sz val="16"/>
      <name val="Arial"/>
      <family val="2"/>
    </font>
    <font>
      <sz val="10"/>
      <color rgb="FF000000"/>
      <name val="Times New Roman"/>
      <family val="1"/>
    </font>
    <font>
      <b/>
      <sz val="10"/>
      <name val="Times New Roman"/>
      <family val="1"/>
    </font>
    <font>
      <sz val="11"/>
      <color theme="0"/>
      <name val="Arial Narrow"/>
      <family val="2"/>
      <scheme val="minor"/>
    </font>
    <font>
      <sz val="10"/>
      <color theme="0"/>
      <name val="Times New Roman"/>
      <family val="1"/>
    </font>
    <font>
      <b/>
      <sz val="11"/>
      <color theme="0"/>
      <name val="Arial Narrow"/>
      <family val="2"/>
      <scheme val="minor"/>
    </font>
    <font>
      <sz val="12"/>
      <color theme="0"/>
      <name val="Arial"/>
      <family val="2"/>
    </font>
    <font>
      <i/>
      <sz val="10"/>
      <color theme="0"/>
      <name val="Arial"/>
      <family val="2"/>
    </font>
    <font>
      <i/>
      <sz val="10"/>
      <color theme="0"/>
      <name val="Arial Narrow"/>
      <family val="2"/>
    </font>
    <font>
      <sz val="10"/>
      <color theme="0"/>
      <name val="Arial"/>
      <family val="2"/>
    </font>
    <font>
      <i/>
      <sz val="11"/>
      <color theme="0"/>
      <name val="Times New Roman"/>
      <family val="1"/>
    </font>
    <font>
      <b/>
      <sz val="12"/>
      <color theme="0"/>
      <name val="Arial"/>
      <family val="2"/>
    </font>
    <font>
      <i/>
      <sz val="11"/>
      <color theme="0"/>
      <name val="Arial Narrow"/>
      <family val="2"/>
      <scheme val="minor"/>
    </font>
    <font>
      <sz val="12"/>
      <color theme="0"/>
      <name val="Times New Roman"/>
      <family val="1"/>
    </font>
    <font>
      <b/>
      <sz val="10"/>
      <color theme="0"/>
      <name val="Arial Narrow"/>
      <family val="2"/>
      <scheme val="minor"/>
    </font>
    <font>
      <b/>
      <sz val="11"/>
      <color theme="1"/>
      <name val="Arial Narrow"/>
      <family val="2"/>
      <scheme val="minor"/>
    </font>
    <font>
      <strike/>
      <sz val="10"/>
      <name val="Arial Narrow"/>
      <family val="2"/>
    </font>
    <font>
      <u/>
      <sz val="10"/>
      <name val="Arial Narrow"/>
      <family val="2"/>
      <scheme val="minor"/>
    </font>
    <font>
      <b/>
      <sz val="11"/>
      <name val="Arial Narrow"/>
      <family val="2"/>
      <scheme val="minor"/>
    </font>
    <font>
      <sz val="11"/>
      <color rgb="FF000000"/>
      <name val="Calibri"/>
      <family val="2"/>
    </font>
    <font>
      <sz val="16"/>
      <name val="Times New Roman"/>
      <family val="1"/>
    </font>
    <font>
      <sz val="16"/>
      <name val="Arial"/>
      <family val="2"/>
    </font>
    <font>
      <b/>
      <i/>
      <sz val="12"/>
      <name val="Arial Narrow"/>
      <family val="2"/>
    </font>
    <font>
      <sz val="10"/>
      <name val="Calibri"/>
      <family val="2"/>
    </font>
    <font>
      <b/>
      <sz val="10"/>
      <name val="Calibri"/>
      <family val="2"/>
    </font>
    <font>
      <b/>
      <sz val="10"/>
      <color rgb="FF000000"/>
      <name val="Arial Narrow"/>
      <family val="2"/>
    </font>
    <font>
      <b/>
      <sz val="16"/>
      <color rgb="FF000000"/>
      <name val="Arial"/>
      <family val="2"/>
    </font>
    <font>
      <b/>
      <sz val="12"/>
      <color rgb="FF000000"/>
      <name val="Arial"/>
      <family val="2"/>
    </font>
    <font>
      <i/>
      <sz val="10"/>
      <color rgb="FF000000"/>
      <name val="Arial Narrow"/>
      <family val="2"/>
    </font>
    <font>
      <b/>
      <i/>
      <sz val="10"/>
      <color rgb="FF000000"/>
      <name val="Arial Narrow"/>
      <family val="2"/>
    </font>
    <font>
      <i/>
      <sz val="10"/>
      <color rgb="FF000000"/>
      <name val="Times New Roman"/>
      <family val="1"/>
    </font>
    <font>
      <sz val="11"/>
      <color rgb="FF000000"/>
      <name val="Arial Narrow"/>
      <family val="2"/>
    </font>
    <font>
      <sz val="10"/>
      <color rgb="FF000000"/>
      <name val="Arial"/>
      <family val="2"/>
    </font>
    <font>
      <b/>
      <i/>
      <sz val="12"/>
      <color rgb="FF000000"/>
      <name val="Arial"/>
      <family val="2"/>
    </font>
    <font>
      <b/>
      <sz val="10"/>
      <color rgb="FF000000"/>
      <name val="Times New Roman"/>
      <family val="1"/>
    </font>
    <font>
      <b/>
      <sz val="9"/>
      <color rgb="FFFF0000"/>
      <name val="Calibri"/>
      <family val="2"/>
    </font>
    <font>
      <b/>
      <sz val="9"/>
      <color rgb="FFFF0000"/>
      <name val="Arial Narrow"/>
      <family val="2"/>
    </font>
    <font>
      <b/>
      <sz val="10"/>
      <color rgb="FFFF0000"/>
      <name val="Arial Narrow"/>
      <family val="2"/>
    </font>
    <font>
      <strike/>
      <sz val="10"/>
      <color rgb="FFFF6600"/>
      <name val="Arial Narrow"/>
      <family val="2"/>
    </font>
    <font>
      <strike/>
      <sz val="10"/>
      <color rgb="FFFF0000"/>
      <name val="Arial Narrow"/>
      <family val="2"/>
      <scheme val="minor"/>
    </font>
    <font>
      <strike/>
      <sz val="10"/>
      <color rgb="FF0070C0"/>
      <name val="Arial Narrow"/>
      <family val="2"/>
    </font>
    <font>
      <b/>
      <sz val="14"/>
      <color rgb="FF000000"/>
      <name val="Arial Narrow"/>
      <family val="2"/>
    </font>
    <font>
      <b/>
      <sz val="14"/>
      <color rgb="FF000000"/>
      <name val="Times New Roman"/>
      <family val="1"/>
    </font>
    <font>
      <b/>
      <sz val="14"/>
      <name val="Arial Narrow"/>
      <family val="2"/>
    </font>
    <font>
      <sz val="10"/>
      <color theme="0"/>
      <name val="Arial Narrow"/>
      <family val="2"/>
    </font>
    <font>
      <b/>
      <sz val="10"/>
      <color theme="0"/>
      <name val="Arial Narrow"/>
      <family val="2"/>
    </font>
    <font>
      <b/>
      <sz val="11"/>
      <color theme="0"/>
      <name val="Arial Narrow"/>
      <family val="2"/>
    </font>
    <font>
      <b/>
      <sz val="12"/>
      <color theme="0"/>
      <name val="Arial Narrow"/>
      <family val="2"/>
    </font>
    <font>
      <u/>
      <sz val="10"/>
      <color theme="0"/>
      <name val="Arial Narrow"/>
      <family val="2"/>
    </font>
    <font>
      <b/>
      <u/>
      <sz val="10"/>
      <color theme="0"/>
      <name val="Arial Narrow"/>
      <family val="2"/>
    </font>
    <font>
      <sz val="11"/>
      <color theme="0"/>
      <name val="Arial Narrow"/>
      <family val="2"/>
    </font>
    <font>
      <sz val="10"/>
      <color theme="0"/>
      <name val="Arial Narrow"/>
      <family val="2"/>
      <scheme val="minor"/>
    </font>
    <font>
      <sz val="9"/>
      <name val="Times New Roman"/>
      <family val="1"/>
    </font>
  </fonts>
  <fills count="26">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FF33"/>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indexed="22"/>
        <bgColor indexed="44"/>
      </patternFill>
    </fill>
    <fill>
      <patternFill patternType="solid">
        <fgColor indexed="55"/>
        <bgColor indexed="23"/>
      </patternFill>
    </fill>
    <fill>
      <patternFill patternType="solid">
        <fgColor theme="9"/>
        <bgColor indexed="64"/>
      </patternFill>
    </fill>
    <fill>
      <patternFill patternType="solid">
        <fgColor rgb="FF00FFFF"/>
        <bgColor indexed="64"/>
      </patternFill>
    </fill>
    <fill>
      <patternFill patternType="solid">
        <fgColor rgb="FFDA9694"/>
        <bgColor indexed="64"/>
      </patternFill>
    </fill>
    <fill>
      <patternFill patternType="solid">
        <fgColor rgb="FFDA96FF"/>
        <bgColor indexed="64"/>
      </patternFill>
    </fill>
    <fill>
      <patternFill patternType="solid">
        <fgColor rgb="FFFF33CC"/>
        <bgColor indexed="64"/>
      </patternFill>
    </fill>
    <fill>
      <patternFill patternType="solid">
        <fgColor rgb="FFFFB9DC"/>
        <bgColor indexed="64"/>
      </patternFill>
    </fill>
    <fill>
      <patternFill patternType="solid">
        <fgColor rgb="FF72A2DC"/>
        <bgColor indexed="64"/>
      </patternFill>
    </fill>
    <fill>
      <patternFill patternType="solid">
        <fgColor rgb="FFFFFF53"/>
        <bgColor indexed="64"/>
      </patternFill>
    </fill>
    <fill>
      <patternFill patternType="solid">
        <fgColor rgb="FF797453"/>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indexed="64"/>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auto="1"/>
      </top>
      <bottom style="thin">
        <color auto="1"/>
      </bottom>
      <diagonal/>
    </border>
    <border>
      <left/>
      <right style="thin">
        <color indexed="64"/>
      </right>
      <top style="medium">
        <color auto="1"/>
      </top>
      <bottom style="thin">
        <color auto="1"/>
      </bottom>
      <diagonal/>
    </border>
    <border>
      <left/>
      <right style="thin">
        <color indexed="64"/>
      </right>
      <top/>
      <bottom style="thin">
        <color auto="1"/>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right style="thin">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s>
  <cellStyleXfs count="149">
    <xf numFmtId="0" fontId="0" fillId="0" borderId="0">
      <alignment vertical="top"/>
    </xf>
    <xf numFmtId="0" fontId="18" fillId="0" borderId="0">
      <alignment vertical="top"/>
    </xf>
    <xf numFmtId="0" fontId="18" fillId="0" borderId="0">
      <alignment vertical="top"/>
    </xf>
    <xf numFmtId="0" fontId="10" fillId="0" borderId="0"/>
    <xf numFmtId="0" fontId="9"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8"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60">
    <xf numFmtId="0" fontId="0" fillId="0" borderId="0" xfId="0">
      <alignment vertical="top"/>
    </xf>
    <xf numFmtId="0" fontId="14" fillId="0" borderId="0" xfId="0" applyFont="1" applyAlignment="1">
      <alignment wrapText="1"/>
    </xf>
    <xf numFmtId="0" fontId="14" fillId="0" borderId="0" xfId="0" applyFont="1">
      <alignment vertical="top"/>
    </xf>
    <xf numFmtId="0" fontId="14" fillId="0" borderId="0" xfId="0" applyFont="1" applyBorder="1" applyAlignment="1">
      <alignment vertical="top" wrapText="1"/>
    </xf>
    <xf numFmtId="0" fontId="14" fillId="0" borderId="4" xfId="0" applyFont="1" applyFill="1" applyBorder="1" applyAlignment="1">
      <alignment vertical="top" wrapText="1"/>
    </xf>
    <xf numFmtId="0" fontId="14" fillId="0" borderId="0" xfId="0" applyFont="1" applyAlignment="1">
      <alignment vertical="top" wrapText="1"/>
    </xf>
    <xf numFmtId="0" fontId="14" fillId="0" borderId="0" xfId="0" applyFont="1" applyFill="1" applyAlignment="1">
      <alignment vertical="top" wrapText="1"/>
    </xf>
    <xf numFmtId="0" fontId="13" fillId="0" borderId="0" xfId="0" applyFont="1" applyFill="1" applyBorder="1">
      <alignment vertical="top"/>
    </xf>
    <xf numFmtId="0" fontId="14" fillId="0" borderId="0" xfId="0" applyFont="1" applyFill="1">
      <alignment vertical="top"/>
    </xf>
    <xf numFmtId="0" fontId="13" fillId="0" borderId="0" xfId="0" applyFont="1" applyFill="1">
      <alignment vertical="top"/>
    </xf>
    <xf numFmtId="0" fontId="14" fillId="0" borderId="0" xfId="0" applyNumberFormat="1" applyFont="1" applyBorder="1" applyAlignment="1">
      <alignment vertical="top" wrapText="1"/>
    </xf>
    <xf numFmtId="0" fontId="14" fillId="0" borderId="0" xfId="0" applyFont="1" applyAlignment="1">
      <alignment vertical="top"/>
    </xf>
    <xf numFmtId="0" fontId="14" fillId="0" borderId="0" xfId="0" applyFont="1" applyFill="1" applyAlignment="1">
      <alignment vertical="top"/>
    </xf>
    <xf numFmtId="0" fontId="14" fillId="0" borderId="0" xfId="0" applyFont="1" applyFill="1" applyBorder="1" applyAlignment="1">
      <alignment vertical="top"/>
    </xf>
    <xf numFmtId="49" fontId="14" fillId="0" borderId="0" xfId="0" applyNumberFormat="1" applyFont="1" applyBorder="1" applyAlignment="1">
      <alignment vertical="top" wrapText="1"/>
    </xf>
    <xf numFmtId="0" fontId="14" fillId="0" borderId="0" xfId="0" applyFont="1" applyBorder="1" applyAlignment="1">
      <alignment vertical="top"/>
    </xf>
    <xf numFmtId="0" fontId="14" fillId="0" borderId="1" xfId="0" applyFont="1" applyBorder="1" applyAlignment="1">
      <alignment vertical="top"/>
    </xf>
    <xf numFmtId="0" fontId="14" fillId="0" borderId="1" xfId="0" applyFont="1" applyFill="1" applyBorder="1" applyAlignment="1">
      <alignment vertical="top"/>
    </xf>
    <xf numFmtId="0" fontId="14" fillId="0" borderId="5" xfId="0" applyFont="1" applyBorder="1" applyAlignment="1">
      <alignment vertical="top"/>
    </xf>
    <xf numFmtId="0" fontId="14" fillId="0" borderId="0" xfId="0" applyFont="1" applyFill="1" applyAlignment="1">
      <alignment horizontal="left" vertical="top" wrapText="1"/>
    </xf>
    <xf numFmtId="0" fontId="14" fillId="0" borderId="5" xfId="0" applyFont="1" applyFill="1" applyBorder="1" applyAlignment="1">
      <alignment vertical="top"/>
    </xf>
    <xf numFmtId="0" fontId="14" fillId="0" borderId="0" xfId="0" applyNumberFormat="1" applyFont="1" applyFill="1" applyBorder="1" applyAlignment="1">
      <alignment vertical="top" wrapText="1"/>
    </xf>
    <xf numFmtId="0" fontId="14" fillId="0" borderId="2" xfId="0" applyFont="1" applyBorder="1" applyAlignment="1">
      <alignment horizontal="center" vertical="top" wrapText="1"/>
    </xf>
    <xf numFmtId="0" fontId="14" fillId="0" borderId="11" xfId="0" applyFont="1" applyFill="1" applyBorder="1" applyAlignment="1">
      <alignment vertical="top" wrapText="1"/>
    </xf>
    <xf numFmtId="0" fontId="14" fillId="0" borderId="0" xfId="1" applyFont="1" applyAlignment="1">
      <alignment vertical="top"/>
    </xf>
    <xf numFmtId="0" fontId="14" fillId="0" borderId="0" xfId="0" applyFont="1" applyAlignment="1">
      <alignment horizontal="left" vertical="top" wrapText="1"/>
    </xf>
    <xf numFmtId="0" fontId="18" fillId="0" borderId="0" xfId="1" applyFont="1" applyAlignment="1" applyProtection="1">
      <alignment vertical="top"/>
      <protection locked="0"/>
    </xf>
    <xf numFmtId="0" fontId="18" fillId="0" borderId="0" xfId="1" applyFont="1" applyAlignment="1">
      <alignment vertical="top"/>
    </xf>
    <xf numFmtId="0" fontId="13" fillId="0" borderId="0" xfId="0" applyFont="1" applyFill="1" applyBorder="1" applyAlignment="1">
      <alignment vertical="top" wrapText="1"/>
    </xf>
    <xf numFmtId="0" fontId="18" fillId="0" borderId="0" xfId="0" applyFont="1" applyFill="1" applyBorder="1">
      <alignment vertical="top"/>
    </xf>
    <xf numFmtId="0" fontId="22" fillId="0" borderId="0" xfId="0" applyFont="1" applyFill="1" applyBorder="1" applyAlignment="1">
      <alignment vertical="top" wrapText="1"/>
    </xf>
    <xf numFmtId="0" fontId="30" fillId="0" borderId="0" xfId="0" applyFont="1" applyAlignment="1">
      <alignment vertical="top" wrapText="1"/>
    </xf>
    <xf numFmtId="0" fontId="30" fillId="0" borderId="0" xfId="0" applyFont="1" applyFill="1" applyBorder="1" applyAlignment="1">
      <alignment vertical="top" wrapText="1"/>
    </xf>
    <xf numFmtId="0" fontId="32" fillId="0" borderId="0" xfId="0" applyFont="1">
      <alignment vertical="top"/>
    </xf>
    <xf numFmtId="0" fontId="32" fillId="0" borderId="0" xfId="0" applyFont="1" applyFill="1">
      <alignment vertical="top"/>
    </xf>
    <xf numFmtId="0" fontId="32" fillId="0" borderId="0" xfId="0" applyFont="1" applyAlignment="1">
      <alignment vertical="top" wrapText="1"/>
    </xf>
    <xf numFmtId="0" fontId="33" fillId="0" borderId="0" xfId="0" applyFont="1" applyAlignment="1">
      <alignment vertical="top" wrapText="1"/>
    </xf>
    <xf numFmtId="0" fontId="33" fillId="0" borderId="0" xfId="0" applyFont="1" applyFill="1" applyBorder="1" applyAlignment="1">
      <alignment vertical="top" wrapText="1"/>
    </xf>
    <xf numFmtId="0" fontId="33" fillId="0" borderId="0" xfId="0" applyFont="1" applyFill="1" applyAlignment="1">
      <alignment vertical="top" wrapText="1"/>
    </xf>
    <xf numFmtId="0" fontId="14" fillId="0" borderId="0" xfId="0" applyFont="1" applyFill="1" applyAlignment="1">
      <alignment horizontal="left" vertical="top"/>
    </xf>
    <xf numFmtId="0" fontId="14" fillId="0" borderId="1" xfId="0" applyFont="1" applyBorder="1" applyAlignment="1">
      <alignment horizontal="center" vertical="top" wrapText="1"/>
    </xf>
    <xf numFmtId="0" fontId="14" fillId="2" borderId="2"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0" xfId="0" applyFont="1" applyAlignment="1">
      <alignment horizontal="center" wrapText="1"/>
    </xf>
    <xf numFmtId="0" fontId="14" fillId="2" borderId="8" xfId="0" applyFont="1" applyFill="1" applyBorder="1" applyAlignment="1">
      <alignment horizontal="center" vertical="top" wrapText="1"/>
    </xf>
    <xf numFmtId="2" fontId="13" fillId="0" borderId="0" xfId="0" applyNumberFormat="1" applyFont="1" applyFill="1" applyAlignment="1">
      <alignment horizontal="center"/>
    </xf>
    <xf numFmtId="164" fontId="13" fillId="0" borderId="0" xfId="0" applyNumberFormat="1" applyFont="1" applyFill="1" applyBorder="1" applyAlignment="1" applyProtection="1">
      <alignment horizontal="center" vertical="top" wrapText="1"/>
      <protection locked="0"/>
    </xf>
    <xf numFmtId="164" fontId="0" fillId="0" borderId="0" xfId="0" applyNumberFormat="1" applyBorder="1" applyAlignment="1" applyProtection="1">
      <alignment horizontal="center" vertical="top" wrapText="1"/>
      <protection locked="0"/>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2" fontId="13" fillId="0" borderId="0" xfId="0" applyNumberFormat="1" applyFont="1" applyFill="1">
      <alignment vertical="top"/>
    </xf>
    <xf numFmtId="2" fontId="34" fillId="0" borderId="0" xfId="0" applyNumberFormat="1" applyFont="1" applyBorder="1" applyAlignment="1">
      <alignment horizontal="left" vertical="center" wrapText="1"/>
    </xf>
    <xf numFmtId="2" fontId="34" fillId="0" borderId="0" xfId="0" applyNumberFormat="1" applyFont="1" applyBorder="1" applyAlignment="1">
      <alignment vertical="center" wrapText="1"/>
    </xf>
    <xf numFmtId="2" fontId="13" fillId="0" borderId="0" xfId="0" applyNumberFormat="1" applyFont="1" applyBorder="1" applyAlignment="1" applyProtection="1">
      <alignment horizontal="center" vertical="top" wrapText="1"/>
      <protection locked="0"/>
    </xf>
    <xf numFmtId="2" fontId="13" fillId="0" borderId="0" xfId="0" applyNumberFormat="1" applyFont="1" applyBorder="1" applyAlignment="1" applyProtection="1">
      <alignment vertical="top" wrapText="1"/>
      <protection locked="0"/>
    </xf>
    <xf numFmtId="2" fontId="13" fillId="0" borderId="0" xfId="0" applyNumberFormat="1" applyFont="1" applyBorder="1" applyAlignment="1" applyProtection="1">
      <alignment horizontal="left" vertical="top" wrapText="1"/>
      <protection locked="0"/>
    </xf>
    <xf numFmtId="0" fontId="14" fillId="0" borderId="30" xfId="0" applyFont="1" applyFill="1" applyBorder="1" applyAlignment="1">
      <alignment horizontal="left" vertical="top" wrapText="1"/>
    </xf>
    <xf numFmtId="0" fontId="14" fillId="0" borderId="0" xfId="0" applyFont="1" applyFill="1" applyBorder="1" applyAlignment="1">
      <alignment horizontal="left" vertical="top"/>
    </xf>
    <xf numFmtId="0" fontId="19" fillId="4" borderId="4" xfId="0" applyFont="1" applyFill="1" applyBorder="1" applyAlignment="1">
      <alignment vertical="top" wrapText="1"/>
    </xf>
    <xf numFmtId="0" fontId="19" fillId="4" borderId="20" xfId="0" applyFont="1" applyFill="1" applyBorder="1" applyAlignment="1">
      <alignment vertical="top" wrapText="1"/>
    </xf>
    <xf numFmtId="0" fontId="35" fillId="0" borderId="0" xfId="0" applyFont="1" applyFill="1" applyAlignment="1">
      <alignment vertical="top"/>
    </xf>
    <xf numFmtId="0" fontId="35" fillId="0" borderId="0" xfId="0" applyFont="1" applyAlignment="1">
      <alignment vertical="top" wrapText="1"/>
    </xf>
    <xf numFmtId="0" fontId="35" fillId="0" borderId="0" xfId="0" applyFont="1" applyFill="1" applyBorder="1" applyAlignment="1">
      <alignment vertical="top"/>
    </xf>
    <xf numFmtId="0" fontId="35" fillId="0" borderId="0" xfId="0" applyFont="1">
      <alignment vertical="top"/>
    </xf>
    <xf numFmtId="0" fontId="35" fillId="0" borderId="0" xfId="0" applyFont="1" applyAlignment="1">
      <alignment wrapText="1"/>
    </xf>
    <xf numFmtId="0" fontId="18" fillId="0" borderId="0" xfId="1" applyFont="1" applyAlignment="1">
      <alignment vertical="center"/>
    </xf>
    <xf numFmtId="49" fontId="11" fillId="6" borderId="4" xfId="1" applyNumberFormat="1" applyFont="1" applyFill="1" applyBorder="1" applyAlignment="1">
      <alignment horizontal="center" vertical="center" wrapText="1"/>
    </xf>
    <xf numFmtId="0" fontId="14" fillId="0" borderId="0" xfId="1" applyFont="1" applyAlignment="1">
      <alignment vertical="center"/>
    </xf>
    <xf numFmtId="0" fontId="14" fillId="0" borderId="0" xfId="0" applyFont="1" applyFill="1" applyAlignment="1">
      <alignment horizontal="center" vertical="center"/>
    </xf>
    <xf numFmtId="0" fontId="38" fillId="0" borderId="0" xfId="1" applyFont="1" applyAlignment="1">
      <alignment vertical="top"/>
    </xf>
    <xf numFmtId="0" fontId="31" fillId="0" borderId="0" xfId="0" applyFont="1" applyAlignment="1">
      <alignment vertical="top" wrapText="1"/>
    </xf>
    <xf numFmtId="1" fontId="42" fillId="0" borderId="4" xfId="0" applyNumberFormat="1" applyFont="1" applyBorder="1" applyAlignment="1">
      <alignment horizontal="center" vertical="top" wrapText="1"/>
    </xf>
    <xf numFmtId="1" fontId="42" fillId="0" borderId="20" xfId="0" applyNumberFormat="1" applyFont="1" applyBorder="1" applyAlignment="1">
      <alignment horizontal="center" vertical="top"/>
    </xf>
    <xf numFmtId="0" fontId="42" fillId="4" borderId="20" xfId="0" applyFont="1" applyFill="1" applyBorder="1" applyAlignment="1">
      <alignment horizontal="center" vertical="top" wrapText="1"/>
    </xf>
    <xf numFmtId="1" fontId="42" fillId="0" borderId="20" xfId="0" applyNumberFormat="1" applyFont="1" applyBorder="1" applyAlignment="1">
      <alignment horizontal="center" vertical="top" wrapText="1"/>
    </xf>
    <xf numFmtId="0" fontId="31" fillId="0" borderId="0" xfId="0" applyFont="1" applyFill="1" applyAlignment="1">
      <alignment vertical="top" wrapText="1"/>
    </xf>
    <xf numFmtId="0" fontId="14" fillId="0" borderId="4" xfId="0" applyFont="1" applyBorder="1" applyAlignment="1">
      <alignment horizontal="left" vertical="top" wrapText="1"/>
    </xf>
    <xf numFmtId="0" fontId="14" fillId="0" borderId="37" xfId="0" applyFont="1" applyBorder="1" applyAlignment="1">
      <alignment horizontal="left" vertical="top" wrapText="1"/>
    </xf>
    <xf numFmtId="0" fontId="31" fillId="0" borderId="0" xfId="0" applyFont="1" applyBorder="1" applyAlignment="1">
      <alignment vertical="top" wrapText="1"/>
    </xf>
    <xf numFmtId="0" fontId="31" fillId="0" borderId="0" xfId="0" applyFont="1" applyFill="1" applyBorder="1" applyAlignment="1">
      <alignment vertical="top" wrapText="1"/>
    </xf>
    <xf numFmtId="0" fontId="14" fillId="0" borderId="43" xfId="0" applyFont="1" applyBorder="1" applyAlignment="1">
      <alignment horizontal="center" vertical="top" wrapText="1"/>
    </xf>
    <xf numFmtId="0" fontId="14" fillId="0" borderId="44" xfId="0" applyFont="1" applyFill="1" applyBorder="1" applyAlignment="1">
      <alignment vertical="top" wrapText="1"/>
    </xf>
    <xf numFmtId="0" fontId="14" fillId="0" borderId="37" xfId="0" applyFont="1" applyBorder="1" applyAlignment="1">
      <alignment vertical="top" wrapText="1"/>
    </xf>
    <xf numFmtId="0" fontId="14" fillId="2" borderId="11" xfId="0" applyFont="1" applyFill="1" applyBorder="1" applyAlignment="1">
      <alignment horizontal="center" vertical="top" wrapText="1"/>
    </xf>
    <xf numFmtId="0" fontId="14" fillId="0" borderId="47" xfId="0" applyNumberFormat="1" applyFont="1" applyBorder="1" applyAlignment="1">
      <alignment vertical="top" wrapText="1"/>
    </xf>
    <xf numFmtId="0" fontId="14" fillId="2" borderId="54" xfId="0" applyFont="1" applyFill="1" applyBorder="1" applyAlignment="1">
      <alignment horizontal="center" vertical="top" wrapText="1"/>
    </xf>
    <xf numFmtId="0" fontId="14" fillId="2" borderId="55" xfId="0" applyFont="1" applyFill="1" applyBorder="1" applyAlignment="1">
      <alignment horizontal="center" vertical="top" wrapText="1"/>
    </xf>
    <xf numFmtId="0" fontId="14" fillId="2" borderId="43"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0" borderId="41" xfId="0" applyFont="1" applyFill="1" applyBorder="1" applyAlignment="1">
      <alignment vertical="top" wrapText="1"/>
    </xf>
    <xf numFmtId="0" fontId="14" fillId="0" borderId="1" xfId="0" applyFont="1" applyFill="1" applyBorder="1" applyAlignment="1">
      <alignment horizontal="center" vertical="top" wrapText="1"/>
    </xf>
    <xf numFmtId="1" fontId="14" fillId="0" borderId="1" xfId="0" applyNumberFormat="1" applyFont="1" applyBorder="1" applyAlignment="1">
      <alignment horizontal="center" vertical="top" wrapText="1"/>
    </xf>
    <xf numFmtId="49" fontId="28" fillId="8" borderId="4" xfId="1" applyNumberFormat="1" applyFont="1" applyFill="1" applyBorder="1" applyAlignment="1">
      <alignment horizontal="right" vertical="center" wrapText="1"/>
    </xf>
    <xf numFmtId="0" fontId="14" fillId="0" borderId="43" xfId="0" applyFont="1" applyFill="1" applyBorder="1" applyAlignment="1">
      <alignment horizontal="center" vertical="top" wrapText="1"/>
    </xf>
    <xf numFmtId="49" fontId="11" fillId="0" borderId="18" xfId="1" applyNumberFormat="1" applyFont="1" applyBorder="1" applyAlignment="1">
      <alignment horizontal="center" vertical="center" wrapText="1"/>
    </xf>
    <xf numFmtId="1" fontId="18" fillId="7" borderId="4" xfId="1" applyNumberFormat="1" applyFont="1" applyFill="1" applyBorder="1" applyAlignment="1">
      <alignment horizontal="center" vertical="center"/>
    </xf>
    <xf numFmtId="49" fontId="11" fillId="0" borderId="21" xfId="1" applyNumberFormat="1" applyFont="1" applyBorder="1" applyAlignment="1">
      <alignment horizontal="center" vertical="center" wrapText="1"/>
    </xf>
    <xf numFmtId="49" fontId="18" fillId="0" borderId="27" xfId="1" applyNumberFormat="1" applyFont="1" applyBorder="1" applyAlignment="1">
      <alignment vertical="center"/>
    </xf>
    <xf numFmtId="0" fontId="14" fillId="0" borderId="47" xfId="0" applyFont="1" applyBorder="1" applyAlignment="1">
      <alignment vertical="top" wrapText="1"/>
    </xf>
    <xf numFmtId="1" fontId="42" fillId="0" borderId="4" xfId="0" applyNumberFormat="1" applyFont="1" applyBorder="1" applyAlignment="1">
      <alignment horizontal="center" vertical="top"/>
    </xf>
    <xf numFmtId="0" fontId="14" fillId="0" borderId="2" xfId="0" applyFont="1" applyFill="1" applyBorder="1" applyAlignment="1">
      <alignment horizontal="center" vertical="top" wrapText="1"/>
    </xf>
    <xf numFmtId="1" fontId="14" fillId="0" borderId="43" xfId="0" applyNumberFormat="1" applyFont="1" applyBorder="1" applyAlignment="1">
      <alignment horizontal="center" vertical="top" wrapText="1"/>
    </xf>
    <xf numFmtId="0" fontId="46" fillId="0" borderId="0" xfId="0" applyFont="1" applyFill="1" applyAlignment="1">
      <alignment horizontal="left" vertical="top"/>
    </xf>
    <xf numFmtId="0" fontId="14" fillId="0" borderId="41" xfId="0" applyFont="1" applyBorder="1" applyAlignment="1">
      <alignment vertical="top" wrapText="1"/>
    </xf>
    <xf numFmtId="0" fontId="14" fillId="2" borderId="51" xfId="0" applyFont="1" applyFill="1" applyBorder="1" applyAlignment="1">
      <alignment horizontal="center" vertical="top" wrapText="1"/>
    </xf>
    <xf numFmtId="0" fontId="14" fillId="0" borderId="24" xfId="0" applyFont="1" applyFill="1" applyBorder="1" applyAlignment="1">
      <alignment vertical="top" wrapText="1"/>
    </xf>
    <xf numFmtId="0" fontId="43" fillId="0" borderId="0" xfId="0" applyFont="1" applyFill="1" applyAlignment="1">
      <alignment vertical="top" wrapText="1"/>
    </xf>
    <xf numFmtId="0" fontId="43" fillId="0" borderId="0" xfId="0" applyFont="1" applyAlignment="1">
      <alignment wrapText="1"/>
    </xf>
    <xf numFmtId="0" fontId="24" fillId="0" borderId="0" xfId="0" applyFont="1" applyAlignment="1">
      <alignment wrapText="1"/>
    </xf>
    <xf numFmtId="0" fontId="14" fillId="0" borderId="0" xfId="0" applyFont="1" applyFill="1" applyBorder="1" applyAlignment="1">
      <alignment vertical="top" wrapText="1"/>
    </xf>
    <xf numFmtId="0" fontId="0" fillId="0" borderId="0" xfId="0" applyAlignment="1"/>
    <xf numFmtId="0" fontId="14" fillId="0" borderId="69" xfId="0" applyFont="1" applyFill="1" applyBorder="1" applyAlignment="1">
      <alignment vertical="top" wrapText="1"/>
    </xf>
    <xf numFmtId="0" fontId="47" fillId="0" borderId="0" xfId="0" applyFont="1" applyFill="1" applyAlignment="1">
      <alignment horizontal="left" vertical="top" wrapText="1"/>
    </xf>
    <xf numFmtId="0" fontId="47" fillId="0" borderId="18" xfId="0" applyNumberFormat="1" applyFont="1" applyFill="1" applyBorder="1" applyAlignment="1">
      <alignment vertical="top" wrapText="1"/>
    </xf>
    <xf numFmtId="0" fontId="47" fillId="0" borderId="0" xfId="0" applyFont="1" applyFill="1" applyAlignment="1">
      <alignment vertical="top" wrapText="1"/>
    </xf>
    <xf numFmtId="0" fontId="14" fillId="0" borderId="38" xfId="0" applyFont="1" applyBorder="1" applyAlignment="1">
      <alignment horizontal="center" vertical="top" wrapText="1"/>
    </xf>
    <xf numFmtId="0" fontId="47" fillId="0" borderId="0" xfId="0" applyFont="1" applyBorder="1" applyAlignment="1">
      <alignment horizontal="left" vertical="top" wrapText="1"/>
    </xf>
    <xf numFmtId="0" fontId="47" fillId="0" borderId="0" xfId="0" applyFont="1" applyAlignment="1">
      <alignment horizontal="left" vertical="top" wrapText="1"/>
    </xf>
    <xf numFmtId="0" fontId="47" fillId="0" borderId="0" xfId="0" applyFont="1" applyFill="1" applyBorder="1" applyAlignment="1">
      <alignment vertical="top" wrapText="1"/>
    </xf>
    <xf numFmtId="0" fontId="49" fillId="0" borderId="4" xfId="0" applyFont="1" applyFill="1" applyBorder="1" applyAlignment="1">
      <alignment horizontal="center" vertical="top" wrapText="1"/>
    </xf>
    <xf numFmtId="0" fontId="47" fillId="0" borderId="18" xfId="0" applyFont="1" applyBorder="1" applyAlignment="1">
      <alignment vertical="top" wrapText="1"/>
    </xf>
    <xf numFmtId="0" fontId="47" fillId="0" borderId="0" xfId="0" applyFont="1" applyBorder="1" applyAlignment="1">
      <alignment vertical="top" wrapText="1"/>
    </xf>
    <xf numFmtId="0" fontId="47" fillId="0" borderId="0" xfId="0" applyFont="1" applyAlignment="1">
      <alignment vertical="top" wrapText="1"/>
    </xf>
    <xf numFmtId="0" fontId="47" fillId="0" borderId="0" xfId="0" applyFont="1" applyAlignment="1">
      <alignment wrapText="1"/>
    </xf>
    <xf numFmtId="0" fontId="47" fillId="0" borderId="21" xfId="0" applyFont="1" applyBorder="1" applyAlignment="1">
      <alignment horizontal="left" vertical="top" wrapText="1"/>
    </xf>
    <xf numFmtId="0" fontId="47" fillId="0" borderId="0" xfId="0" applyFont="1" applyFill="1" applyBorder="1" applyAlignment="1">
      <alignment horizontal="left" vertical="top" wrapText="1"/>
    </xf>
    <xf numFmtId="0" fontId="14" fillId="2" borderId="3" xfId="0" applyFont="1" applyFill="1" applyBorder="1" applyAlignment="1">
      <alignment horizontal="center" vertical="top" wrapText="1"/>
    </xf>
    <xf numFmtId="0" fontId="14" fillId="0" borderId="5" xfId="0" applyFont="1" applyBorder="1" applyAlignment="1">
      <alignment vertical="top" wrapText="1"/>
    </xf>
    <xf numFmtId="0" fontId="14" fillId="0" borderId="33" xfId="0" applyFont="1" applyBorder="1" applyAlignment="1">
      <alignment vertical="top" wrapText="1"/>
    </xf>
    <xf numFmtId="0" fontId="31" fillId="0" borderId="0" xfId="0" applyFont="1" applyAlignment="1">
      <alignment horizontal="center" vertical="top" wrapText="1"/>
    </xf>
    <xf numFmtId="0" fontId="47" fillId="0" borderId="41" xfId="0" applyFont="1" applyFill="1" applyBorder="1" applyAlignment="1">
      <alignment horizontal="left" vertical="top" wrapText="1"/>
    </xf>
    <xf numFmtId="0" fontId="33" fillId="0" borderId="0" xfId="0" applyFont="1" applyFill="1" applyBorder="1" applyAlignment="1">
      <alignment horizontal="center" vertical="top" wrapText="1"/>
    </xf>
    <xf numFmtId="0" fontId="33" fillId="0" borderId="0" xfId="0" applyFont="1" applyAlignment="1">
      <alignment horizontal="center" vertical="top" wrapText="1"/>
    </xf>
    <xf numFmtId="0" fontId="14" fillId="0" borderId="0" xfId="0" applyFont="1" applyBorder="1" applyAlignment="1">
      <alignment horizontal="center" vertical="top"/>
    </xf>
    <xf numFmtId="0" fontId="14" fillId="0" borderId="0" xfId="0" applyFont="1" applyFill="1" applyBorder="1" applyAlignment="1">
      <alignment horizontal="left" vertical="top" wrapText="1"/>
    </xf>
    <xf numFmtId="0" fontId="14" fillId="0" borderId="0" xfId="0" applyFont="1" applyBorder="1" applyAlignment="1">
      <alignment horizontal="left" vertical="top" wrapText="1"/>
    </xf>
    <xf numFmtId="0" fontId="14" fillId="0" borderId="0" xfId="0" applyFont="1" applyFill="1" applyAlignment="1">
      <alignment horizontal="center" vertical="top" wrapText="1"/>
    </xf>
    <xf numFmtId="0" fontId="14" fillId="0" borderId="0" xfId="0" applyFont="1" applyFill="1" applyAlignment="1">
      <alignment horizontal="center" vertical="top"/>
    </xf>
    <xf numFmtId="0" fontId="14" fillId="0" borderId="0" xfId="0" applyFont="1" applyFill="1" applyBorder="1" applyAlignment="1">
      <alignment horizontal="center" vertical="top" wrapText="1"/>
    </xf>
    <xf numFmtId="0" fontId="47" fillId="0" borderId="0" xfId="0" applyFont="1" applyFill="1" applyBorder="1" applyAlignment="1">
      <alignment horizontal="center" vertical="top" wrapText="1"/>
    </xf>
    <xf numFmtId="0" fontId="31" fillId="0" borderId="0" xfId="0" applyFont="1" applyFill="1" applyBorder="1" applyAlignment="1">
      <alignment horizontal="center" vertical="top" wrapText="1"/>
    </xf>
    <xf numFmtId="2" fontId="14" fillId="0" borderId="0" xfId="0" applyNumberFormat="1" applyFont="1" applyFill="1" applyBorder="1" applyAlignment="1">
      <alignment horizontal="center" vertical="top" wrapText="1"/>
    </xf>
    <xf numFmtId="0" fontId="31" fillId="0" borderId="0" xfId="0" applyFont="1" applyAlignment="1">
      <alignment horizontal="center" vertical="top"/>
    </xf>
    <xf numFmtId="0" fontId="31" fillId="0" borderId="0" xfId="0" applyFont="1" applyFill="1" applyBorder="1" applyAlignment="1">
      <alignment horizontal="center" vertical="top"/>
    </xf>
    <xf numFmtId="0" fontId="31" fillId="0" borderId="0" xfId="0" applyFont="1" applyBorder="1" applyAlignment="1">
      <alignment horizontal="center" vertical="top"/>
    </xf>
    <xf numFmtId="0" fontId="0" fillId="0" borderId="0" xfId="0" applyAlignment="1">
      <alignment horizontal="center" vertical="top"/>
    </xf>
    <xf numFmtId="0" fontId="35" fillId="0" borderId="0" xfId="0" applyFont="1" applyAlignment="1">
      <alignment horizontal="center" vertical="top" wrapText="1"/>
    </xf>
    <xf numFmtId="0" fontId="43" fillId="0" borderId="0" xfId="0" applyFont="1" applyAlignment="1">
      <alignment vertical="top" wrapText="1"/>
    </xf>
    <xf numFmtId="0" fontId="31" fillId="0" borderId="0" xfId="0" applyFont="1" applyFill="1" applyAlignment="1">
      <alignment horizontal="center" vertical="top" wrapText="1"/>
    </xf>
    <xf numFmtId="0" fontId="31" fillId="0" borderId="0" xfId="0" applyNumberFormat="1" applyFont="1" applyFill="1" applyBorder="1" applyAlignment="1">
      <alignment horizontal="center" vertical="top" wrapText="1"/>
    </xf>
    <xf numFmtId="0" fontId="31" fillId="0" borderId="0" xfId="0" applyFont="1" applyBorder="1" applyAlignment="1">
      <alignment horizontal="center" vertical="top" wrapText="1"/>
    </xf>
    <xf numFmtId="0" fontId="35" fillId="0" borderId="0" xfId="0" applyFont="1" applyAlignment="1">
      <alignment horizontal="center" vertical="top"/>
    </xf>
    <xf numFmtId="0" fontId="32" fillId="0" borderId="0" xfId="0" applyFont="1" applyAlignment="1">
      <alignment horizontal="center" vertical="top"/>
    </xf>
    <xf numFmtId="0" fontId="32" fillId="0" borderId="0" xfId="0" applyFont="1" applyFill="1" applyBorder="1" applyAlignment="1">
      <alignment horizontal="center" vertical="top"/>
    </xf>
    <xf numFmtId="0" fontId="32" fillId="0" borderId="0" xfId="0" applyFont="1" applyFill="1" applyBorder="1">
      <alignment vertical="top"/>
    </xf>
    <xf numFmtId="0" fontId="47" fillId="0" borderId="0" xfId="0" applyFont="1" applyFill="1" applyBorder="1" applyAlignment="1">
      <alignment vertical="top"/>
    </xf>
    <xf numFmtId="0" fontId="53" fillId="0" borderId="0" xfId="0" applyFont="1" applyFill="1" applyBorder="1" applyAlignment="1">
      <alignment horizontal="center" vertical="top"/>
    </xf>
    <xf numFmtId="0" fontId="47" fillId="0" borderId="0" xfId="0" applyFont="1" applyFill="1" applyAlignment="1">
      <alignment vertical="top"/>
    </xf>
    <xf numFmtId="1" fontId="0" fillId="0" borderId="0" xfId="0" applyNumberFormat="1" applyBorder="1" applyAlignment="1">
      <alignment horizontal="center" vertical="top"/>
    </xf>
    <xf numFmtId="0" fontId="51" fillId="0" borderId="0" xfId="0" applyFont="1" applyFill="1" applyBorder="1" applyAlignment="1">
      <alignment vertical="top"/>
    </xf>
    <xf numFmtId="0" fontId="47" fillId="11" borderId="0" xfId="0" applyFont="1" applyFill="1" applyBorder="1" applyAlignment="1">
      <alignment wrapText="1"/>
    </xf>
    <xf numFmtId="0" fontId="14" fillId="11" borderId="0" xfId="0" applyFont="1" applyFill="1" applyBorder="1" applyAlignment="1">
      <alignment vertical="top" wrapText="1"/>
    </xf>
    <xf numFmtId="0" fontId="17" fillId="11" borderId="0" xfId="0" applyFont="1" applyFill="1" applyBorder="1" applyAlignment="1">
      <alignment horizontal="left" vertical="top" wrapText="1"/>
    </xf>
    <xf numFmtId="0" fontId="0" fillId="11" borderId="0" xfId="0" applyFill="1" applyBorder="1" applyAlignment="1"/>
    <xf numFmtId="0" fontId="14" fillId="11" borderId="0" xfId="0" applyFont="1" applyFill="1" applyBorder="1">
      <alignment vertical="top"/>
    </xf>
    <xf numFmtId="0" fontId="14" fillId="2" borderId="48" xfId="0" applyFont="1" applyFill="1" applyBorder="1" applyAlignment="1">
      <alignment horizontal="center" vertical="top" wrapText="1"/>
    </xf>
    <xf numFmtId="0" fontId="14" fillId="0" borderId="0" xfId="0" applyNumberFormat="1" applyFont="1" applyBorder="1" applyAlignment="1">
      <alignment horizontal="center" vertical="center" wrapText="1"/>
    </xf>
    <xf numFmtId="0" fontId="47" fillId="0" borderId="19" xfId="0" applyFont="1" applyFill="1" applyBorder="1" applyAlignment="1">
      <alignment vertical="top"/>
    </xf>
    <xf numFmtId="0" fontId="47" fillId="0" borderId="0" xfId="0" applyFont="1" applyFill="1" applyBorder="1" applyAlignment="1"/>
    <xf numFmtId="0" fontId="24" fillId="0" borderId="0" xfId="0" applyFont="1" applyAlignment="1">
      <alignment horizontal="center" wrapText="1"/>
    </xf>
    <xf numFmtId="0" fontId="43" fillId="0" borderId="0" xfId="0" applyFont="1" applyAlignment="1">
      <alignment horizontal="center" wrapText="1"/>
    </xf>
    <xf numFmtId="0" fontId="31" fillId="0" borderId="0" xfId="0" applyFont="1" applyAlignment="1">
      <alignment vertical="top"/>
    </xf>
    <xf numFmtId="0" fontId="31" fillId="0" borderId="0" xfId="0" applyFont="1" applyFill="1" applyBorder="1" applyAlignment="1">
      <alignment vertical="top"/>
    </xf>
    <xf numFmtId="0" fontId="31" fillId="0" borderId="0" xfId="0" applyFont="1" applyBorder="1" applyAlignment="1">
      <alignment vertical="top"/>
    </xf>
    <xf numFmtId="0" fontId="14" fillId="0" borderId="0" xfId="0" applyNumberFormat="1" applyFont="1" applyFill="1" applyBorder="1" applyAlignment="1">
      <alignment horizontal="center" vertical="top" wrapText="1"/>
    </xf>
    <xf numFmtId="0" fontId="42" fillId="0" borderId="20" xfId="0" applyFont="1" applyBorder="1" applyAlignment="1">
      <alignment horizontal="center" vertical="top" wrapText="1"/>
    </xf>
    <xf numFmtId="0" fontId="19" fillId="0" borderId="0" xfId="0" applyFont="1" applyFill="1">
      <alignment vertical="top"/>
    </xf>
    <xf numFmtId="0" fontId="14" fillId="0" borderId="38" xfId="0" applyFont="1" applyFill="1" applyBorder="1" applyAlignment="1">
      <alignment horizontal="center" vertical="top" wrapText="1"/>
    </xf>
    <xf numFmtId="2" fontId="14" fillId="0" borderId="0" xfId="0" applyNumberFormat="1" applyFont="1" applyAlignment="1">
      <alignment horizontal="center" vertical="top" wrapText="1"/>
    </xf>
    <xf numFmtId="0" fontId="14" fillId="0" borderId="3" xfId="0" applyFont="1" applyFill="1" applyBorder="1" applyAlignment="1">
      <alignment horizontal="center" vertical="top" wrapText="1"/>
    </xf>
    <xf numFmtId="1" fontId="14" fillId="0" borderId="0" xfId="0" applyNumberFormat="1" applyFont="1" applyBorder="1" applyAlignment="1">
      <alignment horizontal="center" vertical="top"/>
    </xf>
    <xf numFmtId="0" fontId="14" fillId="0" borderId="0" xfId="0" applyFont="1" applyAlignment="1">
      <alignment horizontal="center" vertical="top"/>
    </xf>
    <xf numFmtId="0" fontId="14" fillId="0" borderId="0" xfId="0" applyFont="1" applyAlignment="1">
      <alignment horizontal="center" vertical="top" wrapText="1"/>
    </xf>
    <xf numFmtId="0" fontId="14" fillId="11" borderId="0" xfId="0" applyFont="1" applyFill="1" applyAlignment="1">
      <alignment vertical="top"/>
    </xf>
    <xf numFmtId="0" fontId="31" fillId="11" borderId="0" xfId="0" applyFont="1" applyFill="1" applyBorder="1" applyAlignment="1">
      <alignment vertical="top"/>
    </xf>
    <xf numFmtId="1" fontId="14" fillId="0" borderId="3" xfId="0" applyNumberFormat="1"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8" xfId="0" applyFont="1" applyFill="1" applyBorder="1" applyAlignment="1">
      <alignment horizontal="center" vertical="top" wrapText="1"/>
    </xf>
    <xf numFmtId="1" fontId="14" fillId="0" borderId="2" xfId="0" applyNumberFormat="1" applyFont="1" applyBorder="1" applyAlignment="1">
      <alignment horizontal="center" vertical="top" wrapText="1"/>
    </xf>
    <xf numFmtId="1" fontId="14" fillId="0" borderId="43" xfId="0" applyNumberFormat="1" applyFont="1" applyFill="1" applyBorder="1" applyAlignment="1">
      <alignment horizontal="center" vertical="top" wrapText="1"/>
    </xf>
    <xf numFmtId="1" fontId="47" fillId="0" borderId="43" xfId="0" applyNumberFormat="1" applyFont="1" applyFill="1" applyBorder="1" applyAlignment="1">
      <alignment horizontal="center" vertical="top" wrapText="1"/>
    </xf>
    <xf numFmtId="1" fontId="47" fillId="0" borderId="1" xfId="0" applyNumberFormat="1" applyFont="1" applyBorder="1" applyAlignment="1">
      <alignment horizontal="center" vertical="top" wrapText="1"/>
    </xf>
    <xf numFmtId="1" fontId="47" fillId="0" borderId="43" xfId="0" applyNumberFormat="1" applyFont="1" applyBorder="1" applyAlignment="1">
      <alignment horizontal="center" vertical="top" wrapText="1"/>
    </xf>
    <xf numFmtId="1" fontId="47" fillId="0" borderId="1" xfId="0" applyNumberFormat="1" applyFont="1" applyFill="1" applyBorder="1" applyAlignment="1">
      <alignment horizontal="center" vertical="top" wrapText="1"/>
    </xf>
    <xf numFmtId="1" fontId="47" fillId="0" borderId="3" xfId="0" applyNumberFormat="1" applyFont="1" applyFill="1" applyBorder="1" applyAlignment="1">
      <alignment horizontal="center" vertical="top" wrapText="1"/>
    </xf>
    <xf numFmtId="1" fontId="47" fillId="0" borderId="3" xfId="0" applyNumberFormat="1" applyFont="1" applyBorder="1" applyAlignment="1">
      <alignment horizontal="center" vertical="top" wrapText="1"/>
    </xf>
    <xf numFmtId="0" fontId="14" fillId="2" borderId="38" xfId="0" applyFont="1" applyFill="1" applyBorder="1" applyAlignment="1">
      <alignment horizontal="center" vertical="top" wrapText="1"/>
    </xf>
    <xf numFmtId="0" fontId="47" fillId="0" borderId="0" xfId="0" applyNumberFormat="1" applyFont="1" applyFill="1" applyBorder="1" applyAlignment="1">
      <alignment horizontal="left" vertical="top" wrapText="1"/>
    </xf>
    <xf numFmtId="0" fontId="14" fillId="0" borderId="0" xfId="0" applyFont="1" applyAlignment="1"/>
    <xf numFmtId="0" fontId="14" fillId="0" borderId="0" xfId="0" applyFont="1" applyBorder="1" applyAlignment="1">
      <alignment wrapText="1"/>
    </xf>
    <xf numFmtId="2" fontId="14" fillId="2" borderId="8" xfId="0" applyNumberFormat="1" applyFont="1" applyFill="1" applyBorder="1" applyAlignment="1">
      <alignment horizontal="center" vertical="top" wrapText="1"/>
    </xf>
    <xf numFmtId="1" fontId="14" fillId="0" borderId="0" xfId="0" applyNumberFormat="1" applyFont="1" applyFill="1" applyBorder="1" applyAlignment="1">
      <alignment horizontal="center" vertical="top" wrapText="1"/>
    </xf>
    <xf numFmtId="1" fontId="14" fillId="2" borderId="1" xfId="0" applyNumberFormat="1" applyFont="1" applyFill="1" applyBorder="1" applyAlignment="1">
      <alignment horizontal="center" vertical="top"/>
    </xf>
    <xf numFmtId="1" fontId="14" fillId="2" borderId="43" xfId="0" applyNumberFormat="1" applyFont="1" applyFill="1" applyBorder="1" applyAlignment="1">
      <alignment horizontal="center" vertical="top"/>
    </xf>
    <xf numFmtId="1" fontId="14" fillId="2" borderId="3" xfId="0" applyNumberFormat="1" applyFont="1" applyFill="1" applyBorder="1" applyAlignment="1">
      <alignment horizontal="center" vertical="top"/>
    </xf>
    <xf numFmtId="1" fontId="14" fillId="2" borderId="2" xfId="0" applyNumberFormat="1" applyFont="1" applyFill="1" applyBorder="1" applyAlignment="1">
      <alignment horizontal="center" vertical="top"/>
    </xf>
    <xf numFmtId="2" fontId="14" fillId="12" borderId="8" xfId="0" applyNumberFormat="1" applyFont="1" applyFill="1" applyBorder="1" applyAlignment="1">
      <alignment horizontal="center" vertical="top"/>
    </xf>
    <xf numFmtId="1" fontId="14" fillId="0" borderId="0" xfId="0" applyNumberFormat="1" applyFont="1" applyFill="1" applyBorder="1" applyAlignment="1">
      <alignment horizontal="center" vertical="top"/>
    </xf>
    <xf numFmtId="1" fontId="45" fillId="0" borderId="0" xfId="0" applyNumberFormat="1" applyFont="1" applyFill="1" applyBorder="1" applyAlignment="1" applyProtection="1">
      <alignment horizontal="center" vertical="top" wrapText="1"/>
      <protection hidden="1"/>
    </xf>
    <xf numFmtId="0" fontId="14" fillId="0" borderId="0" xfId="0" applyFont="1" applyFill="1" applyBorder="1" applyAlignment="1">
      <alignment wrapText="1"/>
    </xf>
    <xf numFmtId="0" fontId="14" fillId="0" borderId="0" xfId="0" applyFont="1" applyFill="1" applyAlignment="1"/>
    <xf numFmtId="0" fontId="14" fillId="0" borderId="0" xfId="0" applyFont="1" applyBorder="1" applyAlignment="1"/>
    <xf numFmtId="0" fontId="14" fillId="0" borderId="1" xfId="0" applyFont="1" applyBorder="1" applyAlignment="1">
      <alignment vertical="top" wrapText="1"/>
    </xf>
    <xf numFmtId="2" fontId="14" fillId="0" borderId="0" xfId="0" applyNumberFormat="1" applyFont="1" applyAlignment="1" applyProtection="1">
      <alignment horizontal="center" vertical="top" wrapText="1"/>
    </xf>
    <xf numFmtId="0" fontId="14" fillId="8" borderId="11" xfId="0" applyFont="1" applyFill="1" applyBorder="1" applyAlignment="1">
      <alignment horizontal="center" vertical="top" wrapText="1"/>
    </xf>
    <xf numFmtId="0" fontId="14" fillId="8" borderId="3" xfId="0" applyFont="1" applyFill="1" applyBorder="1" applyAlignment="1">
      <alignment horizontal="center" vertical="top" wrapText="1"/>
    </xf>
    <xf numFmtId="0" fontId="14" fillId="8" borderId="8" xfId="0" applyFont="1" applyFill="1" applyBorder="1" applyAlignment="1">
      <alignment horizontal="center" vertical="top" wrapText="1"/>
    </xf>
    <xf numFmtId="2" fontId="14" fillId="3" borderId="19" xfId="0" applyNumberFormat="1" applyFont="1" applyFill="1" applyBorder="1" applyAlignment="1">
      <alignment horizontal="center" vertical="top" wrapText="1"/>
    </xf>
    <xf numFmtId="0" fontId="14" fillId="8" borderId="5" xfId="0" applyFont="1" applyFill="1" applyBorder="1" applyAlignment="1">
      <alignment horizontal="center" vertical="top" wrapText="1"/>
    </xf>
    <xf numFmtId="0" fontId="14" fillId="8" borderId="1" xfId="0" applyFont="1" applyFill="1" applyBorder="1" applyAlignment="1">
      <alignment horizontal="center" vertical="top" wrapText="1"/>
    </xf>
    <xf numFmtId="2" fontId="14" fillId="8" borderId="8" xfId="0" applyNumberFormat="1" applyFont="1" applyFill="1" applyBorder="1" applyAlignment="1">
      <alignment horizontal="center" vertical="top" wrapText="1"/>
    </xf>
    <xf numFmtId="2" fontId="14" fillId="8" borderId="7" xfId="0" applyNumberFormat="1" applyFont="1" applyFill="1" applyBorder="1" applyAlignment="1">
      <alignment horizontal="center" vertical="top" wrapText="1"/>
    </xf>
    <xf numFmtId="0" fontId="14" fillId="8" borderId="55" xfId="0" applyFont="1" applyFill="1" applyBorder="1" applyAlignment="1">
      <alignment horizontal="center" vertical="top" wrapText="1"/>
    </xf>
    <xf numFmtId="2" fontId="14" fillId="3" borderId="30" xfId="0" applyNumberFormat="1" applyFont="1" applyFill="1" applyBorder="1" applyAlignment="1">
      <alignment horizontal="center" vertical="top" wrapText="1"/>
    </xf>
    <xf numFmtId="0" fontId="14" fillId="8" borderId="44" xfId="0" applyFont="1" applyFill="1" applyBorder="1" applyAlignment="1">
      <alignment horizontal="center" vertical="top" wrapText="1"/>
    </xf>
    <xf numFmtId="0" fontId="14" fillId="8" borderId="43" xfId="0" applyFont="1" applyFill="1" applyBorder="1" applyAlignment="1">
      <alignment horizontal="center" vertical="top" wrapText="1"/>
    </xf>
    <xf numFmtId="2" fontId="14" fillId="8" borderId="42" xfId="0" applyNumberFormat="1" applyFont="1" applyFill="1" applyBorder="1" applyAlignment="1">
      <alignment horizontal="center" vertical="top" wrapText="1"/>
    </xf>
    <xf numFmtId="2" fontId="14" fillId="9" borderId="19" xfId="0" applyNumberFormat="1" applyFont="1" applyFill="1" applyBorder="1" applyAlignment="1">
      <alignment horizontal="center" vertical="top" wrapText="1"/>
    </xf>
    <xf numFmtId="2" fontId="14" fillId="0" borderId="0" xfId="0" applyNumberFormat="1" applyFont="1" applyBorder="1" applyAlignment="1">
      <alignment horizontal="center" vertical="top" wrapText="1"/>
    </xf>
    <xf numFmtId="2" fontId="14" fillId="3" borderId="19" xfId="0" applyNumberFormat="1" applyFont="1" applyFill="1" applyBorder="1" applyAlignment="1">
      <alignment horizontal="center" vertical="top"/>
    </xf>
    <xf numFmtId="2" fontId="14" fillId="3" borderId="30" xfId="0" applyNumberFormat="1" applyFont="1" applyFill="1" applyBorder="1" applyAlignment="1">
      <alignment horizontal="center" vertical="top"/>
    </xf>
    <xf numFmtId="1" fontId="14" fillId="2" borderId="54" xfId="0" applyNumberFormat="1" applyFont="1" applyFill="1" applyBorder="1" applyAlignment="1">
      <alignment horizontal="center" vertical="top" wrapText="1"/>
    </xf>
    <xf numFmtId="1" fontId="14" fillId="2" borderId="55" xfId="0" applyNumberFormat="1" applyFont="1" applyFill="1" applyBorder="1" applyAlignment="1">
      <alignment horizontal="center" vertical="top"/>
    </xf>
    <xf numFmtId="2" fontId="14" fillId="2" borderId="8" xfId="0" applyNumberFormat="1" applyFont="1" applyFill="1" applyBorder="1" applyAlignment="1">
      <alignment horizontal="center" vertical="top"/>
    </xf>
    <xf numFmtId="2" fontId="14" fillId="2" borderId="7" xfId="0" applyNumberFormat="1" applyFont="1" applyFill="1" applyBorder="1" applyAlignment="1">
      <alignment horizontal="center" vertical="top"/>
    </xf>
    <xf numFmtId="2" fontId="14" fillId="2" borderId="42" xfId="0" applyNumberFormat="1" applyFont="1" applyFill="1" applyBorder="1" applyAlignment="1">
      <alignment horizontal="center" vertical="top"/>
    </xf>
    <xf numFmtId="1" fontId="14" fillId="2" borderId="11" xfId="0" applyNumberFormat="1" applyFont="1" applyFill="1" applyBorder="1" applyAlignment="1">
      <alignment horizontal="center" vertical="top" wrapText="1"/>
    </xf>
    <xf numFmtId="1" fontId="14" fillId="2" borderId="3" xfId="0" applyNumberFormat="1" applyFont="1" applyFill="1" applyBorder="1" applyAlignment="1">
      <alignment horizontal="center" vertical="top" wrapText="1"/>
    </xf>
    <xf numFmtId="1" fontId="14" fillId="2" borderId="8" xfId="0" applyNumberFormat="1" applyFont="1" applyFill="1" applyBorder="1" applyAlignment="1">
      <alignment horizontal="center" vertical="top"/>
    </xf>
    <xf numFmtId="1" fontId="14" fillId="2" borderId="1" xfId="0" applyNumberFormat="1" applyFont="1" applyFill="1" applyBorder="1" applyAlignment="1">
      <alignment horizontal="center" vertical="top" wrapText="1"/>
    </xf>
    <xf numFmtId="1" fontId="14" fillId="2" borderId="2" xfId="0" applyNumberFormat="1" applyFont="1" applyFill="1" applyBorder="1" applyAlignment="1">
      <alignment horizontal="center" vertical="top" wrapText="1"/>
    </xf>
    <xf numFmtId="1" fontId="14" fillId="2" borderId="48" xfId="0" applyNumberFormat="1" applyFont="1" applyFill="1" applyBorder="1" applyAlignment="1">
      <alignment horizontal="center" vertical="top" wrapText="1"/>
    </xf>
    <xf numFmtId="1" fontId="14" fillId="2" borderId="43" xfId="0" applyNumberFormat="1" applyFont="1" applyFill="1" applyBorder="1" applyAlignment="1">
      <alignment horizontal="center" vertical="top" wrapText="1"/>
    </xf>
    <xf numFmtId="1" fontId="14" fillId="2" borderId="5" xfId="0" applyNumberFormat="1" applyFont="1" applyFill="1" applyBorder="1" applyAlignment="1">
      <alignment horizontal="center" vertical="top" wrapText="1"/>
    </xf>
    <xf numFmtId="2" fontId="14" fillId="8" borderId="13" xfId="0" applyNumberFormat="1" applyFont="1" applyFill="1" applyBorder="1" applyAlignment="1">
      <alignment horizontal="center" vertical="top" wrapText="1"/>
    </xf>
    <xf numFmtId="1" fontId="14" fillId="0" borderId="2" xfId="0" applyNumberFormat="1" applyFont="1" applyFill="1" applyBorder="1" applyAlignment="1">
      <alignment horizontal="center" vertical="top" wrapText="1"/>
    </xf>
    <xf numFmtId="1" fontId="14" fillId="2" borderId="16" xfId="0" applyNumberFormat="1" applyFont="1" applyFill="1" applyBorder="1" applyAlignment="1">
      <alignment horizontal="center" vertical="top" wrapText="1"/>
    </xf>
    <xf numFmtId="1" fontId="14" fillId="0" borderId="0" xfId="0" applyNumberFormat="1" applyFont="1" applyAlignment="1">
      <alignment horizontal="center" vertical="top"/>
    </xf>
    <xf numFmtId="2" fontId="14" fillId="0" borderId="0" xfId="0" applyNumberFormat="1" applyFont="1" applyAlignment="1">
      <alignment horizontal="center" vertical="top"/>
    </xf>
    <xf numFmtId="2" fontId="14" fillId="0" borderId="0" xfId="0" applyNumberFormat="1" applyFont="1" applyBorder="1" applyAlignment="1">
      <alignment horizontal="center" vertical="top"/>
    </xf>
    <xf numFmtId="1" fontId="14" fillId="8" borderId="3" xfId="0" applyNumberFormat="1" applyFont="1" applyFill="1" applyBorder="1" applyAlignment="1">
      <alignment horizontal="center" vertical="top" wrapText="1"/>
    </xf>
    <xf numFmtId="1" fontId="14" fillId="8" borderId="8" xfId="0" applyNumberFormat="1" applyFont="1" applyFill="1" applyBorder="1" applyAlignment="1">
      <alignment horizontal="center" vertical="top" wrapText="1"/>
    </xf>
    <xf numFmtId="1" fontId="14" fillId="8" borderId="1" xfId="0" applyNumberFormat="1" applyFont="1" applyFill="1" applyBorder="1" applyAlignment="1">
      <alignment horizontal="center" vertical="top" wrapText="1"/>
    </xf>
    <xf numFmtId="1" fontId="14" fillId="2" borderId="58" xfId="0" applyNumberFormat="1" applyFont="1" applyFill="1" applyBorder="1" applyAlignment="1">
      <alignment horizontal="center" vertical="top"/>
    </xf>
    <xf numFmtId="1" fontId="14" fillId="2" borderId="51" xfId="0" applyNumberFormat="1" applyFont="1" applyFill="1" applyBorder="1" applyAlignment="1">
      <alignment horizontal="center" vertical="top" wrapText="1"/>
    </xf>
    <xf numFmtId="2" fontId="14" fillId="2" borderId="7" xfId="0" applyNumberFormat="1" applyFont="1" applyFill="1" applyBorder="1" applyAlignment="1">
      <alignment horizontal="center" vertical="top" wrapText="1"/>
    </xf>
    <xf numFmtId="2" fontId="14" fillId="2" borderId="42" xfId="0" applyNumberFormat="1" applyFont="1" applyFill="1" applyBorder="1" applyAlignment="1">
      <alignment horizontal="center" vertical="top" wrapText="1"/>
    </xf>
    <xf numFmtId="1" fontId="14" fillId="2" borderId="8" xfId="0" applyNumberFormat="1" applyFont="1" applyFill="1" applyBorder="1" applyAlignment="1">
      <alignment horizontal="center" vertical="top" wrapText="1"/>
    </xf>
    <xf numFmtId="0" fontId="14" fillId="2" borderId="1" xfId="0" applyNumberFormat="1" applyFont="1" applyFill="1" applyBorder="1" applyAlignment="1">
      <alignment horizontal="center" vertical="top" wrapText="1"/>
    </xf>
    <xf numFmtId="0" fontId="14" fillId="2" borderId="2" xfId="0" applyNumberFormat="1" applyFont="1" applyFill="1" applyBorder="1" applyAlignment="1">
      <alignment horizontal="center" vertical="top" wrapText="1"/>
    </xf>
    <xf numFmtId="1" fontId="14" fillId="2" borderId="55" xfId="0" applyNumberFormat="1" applyFont="1" applyFill="1" applyBorder="1" applyAlignment="1">
      <alignment horizontal="center" vertical="top" wrapText="1"/>
    </xf>
    <xf numFmtId="0" fontId="14" fillId="2" borderId="43" xfId="0" applyNumberFormat="1" applyFont="1" applyFill="1" applyBorder="1" applyAlignment="1">
      <alignment horizontal="center" vertical="top" wrapText="1"/>
    </xf>
    <xf numFmtId="2" fontId="14" fillId="3" borderId="8" xfId="0" applyNumberFormat="1" applyFont="1" applyFill="1" applyBorder="1" applyAlignment="1">
      <alignment horizontal="center" vertical="top" wrapText="1"/>
    </xf>
    <xf numFmtId="1" fontId="14" fillId="2" borderId="7" xfId="0" applyNumberFormat="1" applyFont="1" applyFill="1" applyBorder="1" applyAlignment="1">
      <alignment horizontal="center" vertical="top" wrapText="1"/>
    </xf>
    <xf numFmtId="1" fontId="14" fillId="2" borderId="42" xfId="0" applyNumberFormat="1" applyFont="1" applyFill="1" applyBorder="1" applyAlignment="1">
      <alignment horizontal="center" vertical="top" wrapText="1"/>
    </xf>
    <xf numFmtId="2" fontId="14" fillId="2" borderId="13" xfId="0" applyNumberFormat="1" applyFont="1" applyFill="1" applyBorder="1" applyAlignment="1">
      <alignment horizontal="center" vertical="top" wrapText="1"/>
    </xf>
    <xf numFmtId="1" fontId="14" fillId="2" borderId="52" xfId="0" applyNumberFormat="1" applyFont="1" applyFill="1" applyBorder="1" applyAlignment="1">
      <alignment horizontal="center" vertical="top" wrapText="1"/>
    </xf>
    <xf numFmtId="1" fontId="14" fillId="2" borderId="38" xfId="0" applyNumberFormat="1" applyFont="1" applyFill="1" applyBorder="1" applyAlignment="1">
      <alignment horizontal="center" vertical="top" wrapText="1"/>
    </xf>
    <xf numFmtId="1" fontId="14" fillId="2" borderId="46" xfId="0" applyNumberFormat="1" applyFont="1" applyFill="1" applyBorder="1" applyAlignment="1">
      <alignment horizontal="center" vertical="top" wrapText="1"/>
    </xf>
    <xf numFmtId="1" fontId="14" fillId="2" borderId="6" xfId="0" applyNumberFormat="1" applyFont="1" applyFill="1" applyBorder="1" applyAlignment="1">
      <alignment horizontal="center" vertical="top" wrapText="1"/>
    </xf>
    <xf numFmtId="1" fontId="14" fillId="2" borderId="44" xfId="0" applyNumberFormat="1" applyFont="1" applyFill="1" applyBorder="1" applyAlignment="1">
      <alignment horizontal="center" vertical="top" wrapText="1"/>
    </xf>
    <xf numFmtId="2" fontId="14" fillId="3" borderId="4" xfId="0" applyNumberFormat="1" applyFont="1" applyFill="1" applyBorder="1" applyAlignment="1">
      <alignment horizontal="center" vertical="top" wrapText="1"/>
    </xf>
    <xf numFmtId="2" fontId="14" fillId="2" borderId="54" xfId="0" applyNumberFormat="1" applyFont="1" applyFill="1" applyBorder="1" applyAlignment="1">
      <alignment horizontal="center" vertical="top"/>
    </xf>
    <xf numFmtId="2" fontId="14" fillId="2" borderId="13" xfId="0" applyNumberFormat="1" applyFont="1" applyFill="1" applyBorder="1" applyAlignment="1">
      <alignment horizontal="center" vertical="top"/>
    </xf>
    <xf numFmtId="1" fontId="14" fillId="2" borderId="45" xfId="0" applyNumberFormat="1" applyFont="1" applyFill="1" applyBorder="1" applyAlignment="1">
      <alignment horizontal="center" vertical="top" wrapText="1"/>
    </xf>
    <xf numFmtId="2" fontId="14" fillId="2" borderId="53" xfId="0" applyNumberFormat="1" applyFont="1" applyFill="1" applyBorder="1" applyAlignment="1">
      <alignment horizontal="center" vertical="top" wrapText="1"/>
    </xf>
    <xf numFmtId="1" fontId="14" fillId="2" borderId="39" xfId="0" applyNumberFormat="1" applyFont="1" applyFill="1" applyBorder="1" applyAlignment="1">
      <alignment horizontal="center" vertical="top" wrapText="1"/>
    </xf>
    <xf numFmtId="1" fontId="14" fillId="2" borderId="13" xfId="0" applyNumberFormat="1" applyFont="1" applyFill="1" applyBorder="1" applyAlignment="1">
      <alignment horizontal="center" vertical="top" wrapText="1"/>
    </xf>
    <xf numFmtId="2" fontId="14" fillId="0" borderId="38" xfId="0" applyNumberFormat="1" applyFont="1" applyBorder="1" applyAlignment="1">
      <alignment horizontal="center" vertical="top" wrapText="1"/>
    </xf>
    <xf numFmtId="2" fontId="14" fillId="0" borderId="0" xfId="0" applyNumberFormat="1" applyFont="1" applyFill="1" applyBorder="1" applyAlignment="1">
      <alignment horizontal="center" vertical="top"/>
    </xf>
    <xf numFmtId="1" fontId="14" fillId="2" borderId="58" xfId="0" applyNumberFormat="1" applyFont="1" applyFill="1" applyBorder="1" applyAlignment="1">
      <alignment horizontal="center" vertical="top" wrapText="1"/>
    </xf>
    <xf numFmtId="0" fontId="14" fillId="2" borderId="45" xfId="0" applyNumberFormat="1" applyFont="1" applyFill="1" applyBorder="1" applyAlignment="1">
      <alignment horizontal="center" vertical="top" wrapText="1"/>
    </xf>
    <xf numFmtId="0" fontId="14" fillId="2" borderId="38" xfId="0" applyNumberFormat="1" applyFont="1" applyFill="1" applyBorder="1" applyAlignment="1">
      <alignment horizontal="center" vertical="top" wrapText="1"/>
    </xf>
    <xf numFmtId="2" fontId="14" fillId="4" borderId="4" xfId="0" applyNumberFormat="1" applyFont="1" applyFill="1" applyBorder="1" applyAlignment="1">
      <alignment horizontal="center" vertical="top" wrapText="1"/>
    </xf>
    <xf numFmtId="1" fontId="14" fillId="0" borderId="0" xfId="0" applyNumberFormat="1" applyFont="1" applyFill="1" applyAlignment="1">
      <alignment horizontal="center" vertical="top"/>
    </xf>
    <xf numFmtId="2" fontId="14" fillId="2" borderId="48" xfId="0" applyNumberFormat="1" applyFont="1" applyFill="1" applyBorder="1" applyAlignment="1">
      <alignment horizontal="center" vertical="top"/>
    </xf>
    <xf numFmtId="2" fontId="14" fillId="2" borderId="55" xfId="0" applyNumberFormat="1" applyFont="1" applyFill="1" applyBorder="1" applyAlignment="1">
      <alignment horizontal="center" vertical="top"/>
    </xf>
    <xf numFmtId="2" fontId="14" fillId="3" borderId="26" xfId="0" applyNumberFormat="1" applyFont="1" applyFill="1" applyBorder="1" applyAlignment="1">
      <alignment horizontal="center" vertical="top" wrapText="1"/>
    </xf>
    <xf numFmtId="2" fontId="14" fillId="3" borderId="55" xfId="0" applyNumberFormat="1" applyFont="1" applyFill="1" applyBorder="1" applyAlignment="1">
      <alignment horizontal="center" vertical="top"/>
    </xf>
    <xf numFmtId="0" fontId="47" fillId="0" borderId="43" xfId="0" applyFont="1" applyFill="1" applyBorder="1" applyAlignment="1">
      <alignment horizontal="center" vertical="top" wrapText="1"/>
    </xf>
    <xf numFmtId="1" fontId="14" fillId="2" borderId="39" xfId="0" applyNumberFormat="1" applyFont="1" applyFill="1" applyBorder="1" applyAlignment="1">
      <alignment horizontal="center" vertical="top"/>
    </xf>
    <xf numFmtId="2" fontId="14" fillId="2" borderId="55" xfId="0" applyNumberFormat="1" applyFont="1" applyFill="1" applyBorder="1" applyAlignment="1" applyProtection="1">
      <alignment horizontal="center" vertical="top" wrapText="1"/>
    </xf>
    <xf numFmtId="1" fontId="14" fillId="2" borderId="0" xfId="0" applyNumberFormat="1" applyFont="1" applyFill="1" applyBorder="1" applyAlignment="1">
      <alignment horizontal="center" vertical="top"/>
    </xf>
    <xf numFmtId="2" fontId="14" fillId="2" borderId="0" xfId="0" applyNumberFormat="1" applyFont="1" applyFill="1" applyBorder="1" applyAlignment="1">
      <alignment horizontal="center" vertical="top"/>
    </xf>
    <xf numFmtId="0" fontId="47" fillId="0" borderId="21" xfId="0" applyNumberFormat="1" applyFont="1" applyBorder="1" applyAlignment="1">
      <alignment vertical="top" wrapText="1"/>
    </xf>
    <xf numFmtId="2" fontId="14" fillId="10" borderId="4" xfId="0" applyNumberFormat="1"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58" xfId="0" applyFont="1" applyFill="1" applyBorder="1" applyAlignment="1">
      <alignment horizontal="center" vertical="top" wrapText="1"/>
    </xf>
    <xf numFmtId="2" fontId="0" fillId="0" borderId="0" xfId="0" applyNumberFormat="1">
      <alignment vertical="top"/>
    </xf>
    <xf numFmtId="0" fontId="0" fillId="0" borderId="0" xfId="0" applyNumberFormat="1">
      <alignment vertical="top"/>
    </xf>
    <xf numFmtId="1" fontId="0" fillId="0" borderId="0" xfId="0" applyNumberFormat="1">
      <alignment vertical="top"/>
    </xf>
    <xf numFmtId="1" fontId="14" fillId="0" borderId="3" xfId="0" applyNumberFormat="1" applyFont="1" applyBorder="1" applyAlignment="1">
      <alignment horizontal="center" vertical="top" wrapText="1"/>
    </xf>
    <xf numFmtId="1" fontId="14" fillId="0" borderId="6" xfId="0" applyNumberFormat="1" applyFont="1" applyFill="1" applyBorder="1" applyAlignment="1">
      <alignment horizontal="center" vertical="top" wrapText="1"/>
    </xf>
    <xf numFmtId="1" fontId="14" fillId="2" borderId="73" xfId="0" applyNumberFormat="1" applyFont="1" applyFill="1" applyBorder="1" applyAlignment="1">
      <alignment horizontal="center" vertical="top"/>
    </xf>
    <xf numFmtId="0" fontId="36" fillId="0" borderId="0" xfId="0" applyFont="1" applyFill="1" applyBorder="1" applyAlignment="1">
      <alignment vertical="center" wrapText="1"/>
    </xf>
    <xf numFmtId="0" fontId="22" fillId="0" borderId="0" xfId="0" applyFont="1">
      <alignment vertical="top"/>
    </xf>
    <xf numFmtId="2" fontId="22" fillId="0" borderId="0" xfId="0" applyNumberFormat="1" applyFont="1">
      <alignment vertical="top"/>
    </xf>
    <xf numFmtId="49" fontId="11" fillId="6" borderId="28" xfId="1" applyNumberFormat="1" applyFont="1" applyFill="1" applyBorder="1" applyAlignment="1">
      <alignment vertical="center" wrapText="1"/>
    </xf>
    <xf numFmtId="0" fontId="14" fillId="0" borderId="30" xfId="0" applyFont="1" applyBorder="1" applyAlignment="1">
      <alignment vertical="top" wrapText="1"/>
    </xf>
    <xf numFmtId="0" fontId="14" fillId="0" borderId="47" xfId="0" applyFont="1" applyBorder="1" applyAlignment="1">
      <alignment horizontal="left" vertical="top" wrapText="1"/>
    </xf>
    <xf numFmtId="0" fontId="14" fillId="0" borderId="21" xfId="0" applyFont="1" applyFill="1" applyBorder="1" applyAlignment="1">
      <alignment vertical="top" wrapText="1"/>
    </xf>
    <xf numFmtId="1" fontId="14" fillId="11" borderId="70" xfId="0" applyNumberFormat="1" applyFont="1" applyFill="1" applyBorder="1" applyAlignment="1" applyProtection="1">
      <alignment horizontal="left" vertical="top" wrapText="1"/>
      <protection hidden="1"/>
    </xf>
    <xf numFmtId="1" fontId="14" fillId="0" borderId="82" xfId="0" applyNumberFormat="1" applyFont="1" applyBorder="1" applyAlignment="1">
      <alignment horizontal="left" vertical="top" wrapText="1"/>
    </xf>
    <xf numFmtId="1" fontId="14" fillId="0" borderId="44" xfId="0" applyNumberFormat="1" applyFont="1" applyBorder="1" applyAlignment="1">
      <alignment horizontal="left" vertical="top" wrapText="1"/>
    </xf>
    <xf numFmtId="1" fontId="14" fillId="11" borderId="17" xfId="0" applyNumberFormat="1" applyFont="1" applyFill="1" applyBorder="1" applyAlignment="1" applyProtection="1">
      <alignment horizontal="left" vertical="top" wrapText="1"/>
      <protection hidden="1"/>
    </xf>
    <xf numFmtId="1" fontId="14" fillId="11" borderId="30" xfId="0" applyNumberFormat="1" applyFont="1" applyFill="1" applyBorder="1" applyAlignment="1" applyProtection="1">
      <alignment horizontal="left" vertical="top" wrapText="1"/>
      <protection hidden="1"/>
    </xf>
    <xf numFmtId="1" fontId="14" fillId="11" borderId="4" xfId="0" applyNumberFormat="1" applyFont="1" applyFill="1" applyBorder="1" applyAlignment="1" applyProtection="1">
      <alignment horizontal="left" vertical="top" wrapText="1"/>
      <protection hidden="1"/>
    </xf>
    <xf numFmtId="1" fontId="14" fillId="0" borderId="41" xfId="0" applyNumberFormat="1" applyFont="1" applyFill="1" applyBorder="1" applyAlignment="1" applyProtection="1">
      <alignment horizontal="left" vertical="top" wrapText="1"/>
      <protection hidden="1"/>
    </xf>
    <xf numFmtId="1" fontId="14" fillId="2" borderId="38" xfId="0" applyNumberFormat="1" applyFont="1" applyFill="1" applyBorder="1" applyAlignment="1" applyProtection="1">
      <alignment horizontal="center" vertical="top" wrapText="1"/>
      <protection hidden="1"/>
    </xf>
    <xf numFmtId="0" fontId="14" fillId="2" borderId="38" xfId="0" applyFont="1" applyFill="1" applyBorder="1" applyAlignment="1" applyProtection="1">
      <alignment horizontal="center" vertical="top" wrapText="1"/>
      <protection hidden="1"/>
    </xf>
    <xf numFmtId="1" fontId="14" fillId="11" borderId="57" xfId="0" applyNumberFormat="1" applyFont="1" applyFill="1" applyBorder="1" applyAlignment="1" applyProtection="1">
      <alignment horizontal="left" vertical="top" wrapText="1"/>
      <protection hidden="1"/>
    </xf>
    <xf numFmtId="1" fontId="14" fillId="11" borderId="26" xfId="0" applyNumberFormat="1" applyFont="1" applyFill="1" applyBorder="1" applyAlignment="1" applyProtection="1">
      <alignment horizontal="left" vertical="top" wrapText="1"/>
      <protection hidden="1"/>
    </xf>
    <xf numFmtId="1" fontId="14" fillId="2" borderId="6" xfId="0" applyNumberFormat="1" applyFont="1" applyFill="1" applyBorder="1" applyAlignment="1" applyProtection="1">
      <alignment horizontal="center" vertical="top" wrapText="1"/>
      <protection hidden="1"/>
    </xf>
    <xf numFmtId="0" fontId="14" fillId="2" borderId="6" xfId="0" applyFont="1" applyFill="1" applyBorder="1" applyAlignment="1" applyProtection="1">
      <alignment horizontal="center" vertical="top" wrapText="1"/>
      <protection hidden="1"/>
    </xf>
    <xf numFmtId="1" fontId="14" fillId="0" borderId="11" xfId="0" applyNumberFormat="1" applyFont="1" applyBorder="1" applyAlignment="1">
      <alignment horizontal="left" vertical="top" wrapText="1"/>
    </xf>
    <xf numFmtId="0" fontId="14" fillId="0" borderId="11" xfId="0" applyFont="1" applyBorder="1" applyAlignment="1">
      <alignment horizontal="left" vertical="top" wrapText="1"/>
    </xf>
    <xf numFmtId="0" fontId="14" fillId="0" borderId="82" xfId="0" applyFont="1" applyBorder="1" applyAlignment="1">
      <alignment vertical="top" wrapText="1"/>
    </xf>
    <xf numFmtId="0" fontId="14" fillId="0" borderId="44" xfId="0" applyFont="1" applyBorder="1" applyAlignment="1">
      <alignment vertical="top" wrapText="1"/>
    </xf>
    <xf numFmtId="2" fontId="14" fillId="12" borderId="46" xfId="0" applyNumberFormat="1" applyFont="1" applyFill="1" applyBorder="1" applyAlignment="1">
      <alignment horizontal="center" vertical="top"/>
    </xf>
    <xf numFmtId="0" fontId="47" fillId="0" borderId="4" xfId="0" applyFont="1" applyFill="1" applyBorder="1" applyAlignment="1">
      <alignment horizontal="left" vertical="top"/>
    </xf>
    <xf numFmtId="0" fontId="14" fillId="0" borderId="4" xfId="0" applyFont="1" applyFill="1" applyBorder="1" applyAlignment="1">
      <alignment horizontal="left" vertical="top"/>
    </xf>
    <xf numFmtId="1" fontId="14" fillId="0" borderId="4" xfId="0" applyNumberFormat="1" applyFont="1" applyBorder="1" applyAlignment="1">
      <alignment horizontal="left" vertical="top" wrapText="1"/>
    </xf>
    <xf numFmtId="0" fontId="24" fillId="0" borderId="0" xfId="0" applyFont="1" applyAlignment="1">
      <alignment vertical="center" wrapText="1"/>
    </xf>
    <xf numFmtId="0" fontId="14" fillId="2" borderId="73" xfId="0" applyFont="1" applyFill="1" applyBorder="1" applyAlignment="1" applyProtection="1">
      <alignment horizontal="center" vertical="top" wrapText="1"/>
      <protection hidden="1"/>
    </xf>
    <xf numFmtId="0" fontId="14" fillId="0" borderId="39" xfId="0" applyFont="1" applyFill="1" applyBorder="1" applyAlignment="1" applyProtection="1">
      <alignment horizontal="left" vertical="top" wrapText="1"/>
      <protection hidden="1"/>
    </xf>
    <xf numFmtId="0" fontId="14" fillId="0" borderId="12" xfId="0" applyFont="1" applyFill="1" applyBorder="1" applyAlignment="1" applyProtection="1">
      <alignment horizontal="left" vertical="top" wrapText="1"/>
      <protection hidden="1"/>
    </xf>
    <xf numFmtId="0" fontId="14" fillId="0" borderId="12" xfId="0" applyFont="1" applyFill="1" applyBorder="1" applyAlignment="1">
      <alignment horizontal="left" vertical="top" wrapText="1"/>
    </xf>
    <xf numFmtId="0" fontId="14" fillId="0" borderId="74" xfId="0" applyFont="1" applyBorder="1" applyAlignment="1">
      <alignment horizontal="left" vertical="top" wrapText="1"/>
    </xf>
    <xf numFmtId="0" fontId="14" fillId="0" borderId="44" xfId="0" applyFont="1" applyBorder="1" applyAlignment="1">
      <alignment horizontal="left" vertical="top" wrapText="1"/>
    </xf>
    <xf numFmtId="0" fontId="14" fillId="0" borderId="11" xfId="0" applyFont="1" applyBorder="1" applyAlignment="1">
      <alignment vertical="top" wrapText="1"/>
    </xf>
    <xf numFmtId="0" fontId="14" fillId="0" borderId="82" xfId="0" applyFont="1" applyBorder="1" applyAlignment="1">
      <alignment horizontal="left" vertical="top" wrapText="1"/>
    </xf>
    <xf numFmtId="2" fontId="47" fillId="12" borderId="46" xfId="0" applyNumberFormat="1" applyFont="1" applyFill="1" applyBorder="1" applyAlignment="1">
      <alignment horizontal="center" vertical="top"/>
    </xf>
    <xf numFmtId="2" fontId="14" fillId="12" borderId="72" xfId="0" applyNumberFormat="1" applyFont="1" applyFill="1" applyBorder="1" applyAlignment="1">
      <alignment horizontal="center" vertical="top"/>
    </xf>
    <xf numFmtId="2" fontId="14" fillId="12" borderId="13" xfId="0" applyNumberFormat="1" applyFont="1" applyFill="1" applyBorder="1" applyAlignment="1">
      <alignment horizontal="center" vertical="top"/>
    </xf>
    <xf numFmtId="2" fontId="47" fillId="12" borderId="13" xfId="0" applyNumberFormat="1" applyFont="1" applyFill="1" applyBorder="1" applyAlignment="1">
      <alignment horizontal="center" vertical="top"/>
    </xf>
    <xf numFmtId="2" fontId="14" fillId="8" borderId="72" xfId="0" applyNumberFormat="1" applyFont="1" applyFill="1" applyBorder="1" applyAlignment="1">
      <alignment horizontal="center" vertical="top" wrapText="1"/>
    </xf>
    <xf numFmtId="1" fontId="14" fillId="0" borderId="41" xfId="0" applyNumberFormat="1" applyFont="1" applyFill="1" applyBorder="1" applyAlignment="1" applyProtection="1">
      <alignment vertical="top" wrapText="1"/>
      <protection hidden="1"/>
    </xf>
    <xf numFmtId="1" fontId="14" fillId="0" borderId="67" xfId="0" applyNumberFormat="1" applyFont="1" applyFill="1" applyBorder="1" applyAlignment="1" applyProtection="1">
      <alignment vertical="top" wrapText="1"/>
      <protection hidden="1"/>
    </xf>
    <xf numFmtId="0" fontId="47" fillId="0" borderId="80" xfId="0" applyFont="1" applyFill="1" applyBorder="1" applyAlignment="1">
      <alignment horizontal="left" vertical="top"/>
    </xf>
    <xf numFmtId="0" fontId="47" fillId="0" borderId="26" xfId="0" applyFont="1" applyFill="1" applyBorder="1" applyAlignment="1">
      <alignment horizontal="left" vertical="top"/>
    </xf>
    <xf numFmtId="0" fontId="14" fillId="0" borderId="41" xfId="0" applyFont="1" applyFill="1" applyBorder="1" applyAlignment="1">
      <alignment horizontal="left" vertical="top" wrapText="1"/>
    </xf>
    <xf numFmtId="0" fontId="14" fillId="8" borderId="78" xfId="0" applyFont="1" applyFill="1" applyBorder="1" applyAlignment="1">
      <alignment horizontal="center" vertical="top" wrapText="1"/>
    </xf>
    <xf numFmtId="0" fontId="14" fillId="0" borderId="81" xfId="0" applyFont="1" applyFill="1" applyBorder="1" applyAlignment="1">
      <alignment horizontal="center" vertical="top" wrapText="1"/>
    </xf>
    <xf numFmtId="0" fontId="14" fillId="8" borderId="81" xfId="0" applyFont="1" applyFill="1" applyBorder="1" applyAlignment="1">
      <alignment horizontal="center" vertical="top" wrapText="1"/>
    </xf>
    <xf numFmtId="0" fontId="14" fillId="0" borderId="73" xfId="0" applyFont="1" applyBorder="1" applyAlignment="1">
      <alignment horizontal="center" vertical="top" wrapText="1"/>
    </xf>
    <xf numFmtId="0" fontId="14" fillId="8" borderId="73" xfId="0" applyFont="1" applyFill="1" applyBorder="1" applyAlignment="1">
      <alignment horizontal="center" vertical="top" wrapText="1"/>
    </xf>
    <xf numFmtId="2" fontId="14" fillId="9" borderId="30" xfId="0" applyNumberFormat="1" applyFont="1" applyFill="1" applyBorder="1" applyAlignment="1">
      <alignment horizontal="center" vertical="top" wrapText="1"/>
    </xf>
    <xf numFmtId="0" fontId="14" fillId="0" borderId="81" xfId="0" applyFont="1" applyBorder="1" applyAlignment="1">
      <alignment horizontal="center" vertical="top" wrapText="1"/>
    </xf>
    <xf numFmtId="0" fontId="14" fillId="0" borderId="12" xfId="0" applyFont="1" applyFill="1" applyBorder="1" applyAlignment="1">
      <alignment vertical="top" wrapText="1"/>
    </xf>
    <xf numFmtId="0" fontId="14" fillId="0" borderId="74" xfId="0" applyFont="1" applyFill="1" applyBorder="1" applyAlignment="1">
      <alignment vertical="top" wrapText="1"/>
    </xf>
    <xf numFmtId="0" fontId="14" fillId="0" borderId="82" xfId="0" applyFont="1" applyFill="1" applyBorder="1" applyAlignment="1">
      <alignment vertical="top" wrapText="1"/>
    </xf>
    <xf numFmtId="1" fontId="14" fillId="0" borderId="11" xfId="0" applyNumberFormat="1" applyFont="1" applyFill="1" applyBorder="1" applyAlignment="1">
      <alignment vertical="top" wrapText="1"/>
    </xf>
    <xf numFmtId="1" fontId="14" fillId="0" borderId="82" xfId="0" applyNumberFormat="1" applyFont="1" applyFill="1" applyBorder="1" applyAlignment="1">
      <alignment vertical="top" wrapText="1"/>
    </xf>
    <xf numFmtId="1" fontId="14" fillId="0" borderId="74" xfId="0" applyNumberFormat="1" applyFont="1" applyFill="1" applyBorder="1" applyAlignment="1">
      <alignment vertical="top" wrapText="1"/>
    </xf>
    <xf numFmtId="0" fontId="14" fillId="0" borderId="74" xfId="0" applyFont="1" applyBorder="1" applyAlignment="1">
      <alignment vertical="top" wrapText="1"/>
    </xf>
    <xf numFmtId="2" fontId="14" fillId="2" borderId="72" xfId="0" applyNumberFormat="1" applyFont="1" applyFill="1" applyBorder="1" applyAlignment="1">
      <alignment horizontal="center" vertical="top"/>
    </xf>
    <xf numFmtId="1" fontId="14" fillId="2" borderId="78" xfId="0" applyNumberFormat="1" applyFont="1" applyFill="1" applyBorder="1" applyAlignment="1">
      <alignment horizontal="center" vertical="top"/>
    </xf>
    <xf numFmtId="1" fontId="14" fillId="2" borderId="81" xfId="0" applyNumberFormat="1" applyFont="1" applyFill="1" applyBorder="1" applyAlignment="1">
      <alignment horizontal="center" vertical="top"/>
    </xf>
    <xf numFmtId="0" fontId="14" fillId="0" borderId="73" xfId="0" applyFont="1" applyFill="1" applyBorder="1" applyAlignment="1">
      <alignment horizontal="center" vertical="top" wrapText="1"/>
    </xf>
    <xf numFmtId="1" fontId="14" fillId="8" borderId="43" xfId="0" applyNumberFormat="1" applyFont="1" applyFill="1" applyBorder="1" applyAlignment="1">
      <alignment horizontal="center" vertical="top"/>
    </xf>
    <xf numFmtId="1" fontId="14" fillId="2" borderId="86" xfId="0" applyNumberFormat="1" applyFont="1" applyFill="1" applyBorder="1" applyAlignment="1">
      <alignment horizontal="center" vertical="top" wrapText="1"/>
    </xf>
    <xf numFmtId="1" fontId="14" fillId="0" borderId="68" xfId="0" applyNumberFormat="1" applyFont="1" applyFill="1" applyBorder="1" applyAlignment="1">
      <alignment vertical="top" wrapText="1"/>
    </xf>
    <xf numFmtId="0" fontId="14" fillId="8" borderId="0" xfId="0" applyFont="1" applyFill="1" applyBorder="1" applyAlignment="1">
      <alignment horizontal="center" vertical="top" wrapText="1"/>
    </xf>
    <xf numFmtId="0" fontId="14" fillId="8" borderId="13" xfId="0" applyFont="1" applyFill="1" applyBorder="1" applyAlignment="1">
      <alignment horizontal="center" vertical="top" wrapText="1"/>
    </xf>
    <xf numFmtId="1" fontId="14" fillId="2" borderId="78" xfId="0" applyNumberFormat="1" applyFont="1" applyFill="1" applyBorder="1" applyAlignment="1">
      <alignment horizontal="center" vertical="top" wrapText="1"/>
    </xf>
    <xf numFmtId="1" fontId="14" fillId="2" borderId="81" xfId="0" applyNumberFormat="1" applyFont="1" applyFill="1" applyBorder="1" applyAlignment="1">
      <alignment horizontal="center" vertical="top" wrapText="1"/>
    </xf>
    <xf numFmtId="1" fontId="14" fillId="2" borderId="86" xfId="0" applyNumberFormat="1" applyFont="1" applyFill="1" applyBorder="1" applyAlignment="1">
      <alignment horizontal="center" vertical="top"/>
    </xf>
    <xf numFmtId="1" fontId="14" fillId="0" borderId="36" xfId="0" applyNumberFormat="1" applyFont="1" applyFill="1" applyBorder="1" applyAlignment="1" applyProtection="1">
      <alignment horizontal="left" vertical="top" wrapText="1"/>
      <protection hidden="1"/>
    </xf>
    <xf numFmtId="1" fontId="14" fillId="2" borderId="73" xfId="0" applyNumberFormat="1" applyFont="1" applyFill="1" applyBorder="1" applyAlignment="1">
      <alignment horizontal="center" vertical="top" wrapText="1"/>
    </xf>
    <xf numFmtId="1" fontId="14" fillId="2" borderId="82" xfId="0" applyNumberFormat="1" applyFont="1" applyFill="1" applyBorder="1" applyAlignment="1">
      <alignment horizontal="center" vertical="top" wrapText="1"/>
    </xf>
    <xf numFmtId="1" fontId="14" fillId="0" borderId="81" xfId="0" applyNumberFormat="1" applyFont="1" applyFill="1" applyBorder="1" applyAlignment="1">
      <alignment horizontal="center" vertical="top" wrapText="1"/>
    </xf>
    <xf numFmtId="1" fontId="14" fillId="0" borderId="73" xfId="0" applyNumberFormat="1" applyFont="1" applyFill="1" applyBorder="1" applyAlignment="1">
      <alignment horizontal="center" vertical="top" wrapText="1"/>
    </xf>
    <xf numFmtId="1" fontId="14" fillId="2" borderId="74" xfId="0" applyNumberFormat="1" applyFont="1" applyFill="1" applyBorder="1" applyAlignment="1">
      <alignment horizontal="center" vertical="top" wrapText="1"/>
    </xf>
    <xf numFmtId="0" fontId="14" fillId="0" borderId="74" xfId="0" applyFont="1" applyBorder="1" applyAlignment="1">
      <alignment horizontal="center" vertical="top" wrapText="1"/>
    </xf>
    <xf numFmtId="0" fontId="17" fillId="10" borderId="4" xfId="0" applyFont="1" applyFill="1" applyBorder="1" applyAlignment="1">
      <alignment horizontal="center" vertical="center" wrapText="1"/>
    </xf>
    <xf numFmtId="0" fontId="15" fillId="0" borderId="20" xfId="0" applyFont="1" applyBorder="1" applyAlignment="1">
      <alignment horizontal="center" vertical="center" wrapText="1"/>
    </xf>
    <xf numFmtId="0" fontId="17" fillId="13" borderId="20"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14" fillId="0" borderId="49" xfId="0" applyFont="1" applyBorder="1" applyAlignment="1">
      <alignment vertical="top" wrapText="1"/>
    </xf>
    <xf numFmtId="0" fontId="17" fillId="13" borderId="20" xfId="0" applyFont="1" applyFill="1" applyBorder="1" applyAlignment="1">
      <alignment horizontal="left" vertical="top" wrapText="1"/>
    </xf>
    <xf numFmtId="0" fontId="17" fillId="13" borderId="4" xfId="0" applyFont="1" applyFill="1" applyBorder="1" applyAlignment="1">
      <alignment horizontal="left" vertical="top" wrapText="1"/>
    </xf>
    <xf numFmtId="0" fontId="17" fillId="10" borderId="4" xfId="0" applyFont="1" applyFill="1" applyBorder="1" applyAlignment="1">
      <alignment horizontal="left" vertical="top" wrapText="1"/>
    </xf>
    <xf numFmtId="0" fontId="14" fillId="0" borderId="59" xfId="0" applyFont="1" applyFill="1" applyBorder="1" applyAlignment="1">
      <alignment vertical="top" wrapText="1"/>
    </xf>
    <xf numFmtId="0" fontId="14" fillId="0" borderId="87" xfId="0" applyFont="1" applyBorder="1" applyAlignment="1">
      <alignment horizontal="left" vertical="top" wrapText="1"/>
    </xf>
    <xf numFmtId="1" fontId="14" fillId="2" borderId="87" xfId="0" applyNumberFormat="1" applyFont="1" applyFill="1" applyBorder="1" applyAlignment="1">
      <alignment horizontal="center" vertical="top"/>
    </xf>
    <xf numFmtId="1" fontId="14" fillId="11" borderId="40" xfId="0" applyNumberFormat="1" applyFont="1" applyFill="1" applyBorder="1" applyAlignment="1" applyProtection="1">
      <alignment horizontal="left" vertical="top" wrapText="1"/>
      <protection hidden="1"/>
    </xf>
    <xf numFmtId="1" fontId="14" fillId="11" borderId="20" xfId="0" applyNumberFormat="1" applyFont="1" applyFill="1" applyBorder="1" applyAlignment="1" applyProtection="1">
      <alignment horizontal="left" vertical="top" wrapText="1"/>
      <protection hidden="1"/>
    </xf>
    <xf numFmtId="0" fontId="47" fillId="0" borderId="41" xfId="0" applyFont="1" applyBorder="1" applyAlignment="1">
      <alignment vertical="top" wrapText="1"/>
    </xf>
    <xf numFmtId="1" fontId="14" fillId="11" borderId="31" xfId="0" applyNumberFormat="1" applyFont="1" applyFill="1" applyBorder="1" applyAlignment="1" applyProtection="1">
      <alignment horizontal="left" vertical="top" wrapText="1"/>
      <protection hidden="1"/>
    </xf>
    <xf numFmtId="0" fontId="14" fillId="2" borderId="51" xfId="0" applyFont="1" applyFill="1" applyBorder="1" applyAlignment="1" applyProtection="1">
      <alignment horizontal="center" vertical="top" wrapText="1"/>
      <protection hidden="1"/>
    </xf>
    <xf numFmtId="2" fontId="14" fillId="12" borderId="52" xfId="0" applyNumberFormat="1" applyFont="1" applyFill="1" applyBorder="1" applyAlignment="1">
      <alignment horizontal="center" vertical="top"/>
    </xf>
    <xf numFmtId="1" fontId="14" fillId="0" borderId="67" xfId="0" applyNumberFormat="1" applyFont="1" applyFill="1" applyBorder="1" applyAlignment="1" applyProtection="1">
      <alignment horizontal="left" vertical="top" wrapText="1"/>
      <protection hidden="1"/>
    </xf>
    <xf numFmtId="0" fontId="14" fillId="0" borderId="63" xfId="0" applyFont="1" applyFill="1" applyBorder="1" applyAlignment="1">
      <alignment vertical="top" wrapText="1"/>
    </xf>
    <xf numFmtId="0" fontId="14" fillId="0" borderId="60" xfId="0" applyFont="1" applyFill="1" applyBorder="1" applyAlignment="1">
      <alignment vertical="top" wrapText="1"/>
    </xf>
    <xf numFmtId="0" fontId="14" fillId="0" borderId="12" xfId="0" applyFont="1" applyBorder="1" applyAlignment="1">
      <alignment horizontal="left" vertical="top" wrapText="1"/>
    </xf>
    <xf numFmtId="0" fontId="14" fillId="0" borderId="87" xfId="0" applyFont="1" applyBorder="1" applyAlignment="1">
      <alignment vertical="top" wrapText="1"/>
    </xf>
    <xf numFmtId="0" fontId="14" fillId="0" borderId="77" xfId="0" applyFont="1" applyBorder="1" applyAlignment="1">
      <alignment vertical="top" wrapText="1"/>
    </xf>
    <xf numFmtId="0" fontId="15" fillId="0" borderId="20" xfId="0" applyFont="1" applyBorder="1" applyAlignment="1">
      <alignment vertical="top" wrapText="1"/>
    </xf>
    <xf numFmtId="0" fontId="14" fillId="0" borderId="50" xfId="0" applyFont="1" applyFill="1" applyBorder="1" applyAlignment="1" applyProtection="1">
      <alignment horizontal="left" vertical="top" wrapText="1"/>
      <protection hidden="1"/>
    </xf>
    <xf numFmtId="1" fontId="14" fillId="2" borderId="74" xfId="0" applyNumberFormat="1" applyFont="1" applyFill="1" applyBorder="1" applyAlignment="1" applyProtection="1">
      <alignment horizontal="center" vertical="top" wrapText="1"/>
      <protection hidden="1"/>
    </xf>
    <xf numFmtId="0" fontId="14" fillId="0" borderId="0" xfId="0" applyFont="1" applyFill="1" applyBorder="1" applyAlignment="1" applyProtection="1">
      <alignment horizontal="left" vertical="top" wrapText="1"/>
      <protection hidden="1"/>
    </xf>
    <xf numFmtId="1" fontId="14" fillId="2" borderId="12" xfId="0" applyNumberFormat="1" applyFont="1" applyFill="1" applyBorder="1" applyAlignment="1" applyProtection="1">
      <alignment horizontal="center" vertical="top" wrapText="1"/>
      <protection hidden="1"/>
    </xf>
    <xf numFmtId="1" fontId="14" fillId="2" borderId="39" xfId="0" applyNumberFormat="1" applyFont="1" applyFill="1" applyBorder="1" applyAlignment="1" applyProtection="1">
      <alignment horizontal="center" vertical="top" wrapText="1"/>
      <protection hidden="1"/>
    </xf>
    <xf numFmtId="0" fontId="14" fillId="2" borderId="46" xfId="0" applyFont="1" applyFill="1" applyBorder="1" applyAlignment="1" applyProtection="1">
      <alignment horizontal="center" vertical="top" wrapText="1"/>
      <protection hidden="1"/>
    </xf>
    <xf numFmtId="2" fontId="14" fillId="12" borderId="61" xfId="0" applyNumberFormat="1" applyFont="1" applyFill="1" applyBorder="1" applyAlignment="1">
      <alignment horizontal="center" vertical="top"/>
    </xf>
    <xf numFmtId="0" fontId="15" fillId="0" borderId="20" xfId="0" applyFont="1" applyBorder="1" applyAlignment="1">
      <alignment horizontal="left" vertical="top" wrapText="1"/>
    </xf>
    <xf numFmtId="1" fontId="14" fillId="11" borderId="13" xfId="0" applyNumberFormat="1" applyFont="1" applyFill="1" applyBorder="1" applyAlignment="1" applyProtection="1">
      <alignment horizontal="left" vertical="top" wrapText="1"/>
      <protection hidden="1"/>
    </xf>
    <xf numFmtId="1" fontId="14" fillId="0" borderId="6" xfId="0" applyNumberFormat="1" applyFont="1" applyFill="1" applyBorder="1" applyAlignment="1" applyProtection="1">
      <alignment horizontal="left" vertical="top" wrapText="1"/>
      <protection hidden="1"/>
    </xf>
    <xf numFmtId="0" fontId="14" fillId="0" borderId="6" xfId="0" applyFont="1" applyFill="1" applyBorder="1" applyAlignment="1" applyProtection="1">
      <alignment horizontal="left" vertical="top" wrapText="1"/>
      <protection hidden="1"/>
    </xf>
    <xf numFmtId="0" fontId="14" fillId="0" borderId="41" xfId="0" applyFont="1" applyBorder="1" applyAlignment="1">
      <alignment horizontal="left" vertical="top" wrapText="1"/>
    </xf>
    <xf numFmtId="0" fontId="47" fillId="11" borderId="26" xfId="0" applyFont="1" applyFill="1" applyBorder="1" applyAlignment="1">
      <alignment horizontal="left" vertical="top"/>
    </xf>
    <xf numFmtId="0" fontId="47" fillId="11" borderId="4" xfId="0" applyFont="1" applyFill="1" applyBorder="1" applyAlignment="1">
      <alignment horizontal="left" vertical="top"/>
    </xf>
    <xf numFmtId="1" fontId="14" fillId="0" borderId="4" xfId="0" applyNumberFormat="1" applyFont="1" applyFill="1" applyBorder="1" applyAlignment="1" applyProtection="1">
      <alignment horizontal="left" vertical="top" wrapText="1"/>
      <protection hidden="1"/>
    </xf>
    <xf numFmtId="0" fontId="14" fillId="0" borderId="46" xfId="0" applyFont="1" applyFill="1" applyBorder="1" applyAlignment="1" applyProtection="1">
      <alignment horizontal="left" vertical="top" wrapText="1"/>
      <protection hidden="1"/>
    </xf>
    <xf numFmtId="0" fontId="14" fillId="0" borderId="87" xfId="0" applyFont="1" applyFill="1" applyBorder="1" applyAlignment="1">
      <alignment vertical="top" wrapText="1"/>
    </xf>
    <xf numFmtId="49" fontId="14" fillId="0" borderId="41" xfId="0" applyNumberFormat="1" applyFont="1" applyBorder="1" applyAlignment="1">
      <alignment horizontal="left" vertical="top" wrapText="1"/>
    </xf>
    <xf numFmtId="49" fontId="14" fillId="0" borderId="12" xfId="0" applyNumberFormat="1" applyFont="1" applyBorder="1" applyAlignment="1">
      <alignment horizontal="left" vertical="top" wrapText="1"/>
    </xf>
    <xf numFmtId="49" fontId="14" fillId="0" borderId="74" xfId="0" applyNumberFormat="1" applyFont="1" applyBorder="1" applyAlignment="1">
      <alignment horizontal="left" vertical="top" wrapText="1"/>
    </xf>
    <xf numFmtId="1" fontId="14" fillId="8" borderId="73" xfId="0" applyNumberFormat="1" applyFont="1" applyFill="1" applyBorder="1" applyAlignment="1">
      <alignment horizontal="center" vertical="top" wrapText="1"/>
    </xf>
    <xf numFmtId="1" fontId="14" fillId="0" borderId="81" xfId="0" applyNumberFormat="1" applyFont="1" applyBorder="1" applyAlignment="1">
      <alignment horizontal="center" vertical="top" wrapText="1"/>
    </xf>
    <xf numFmtId="0" fontId="14" fillId="2" borderId="73" xfId="0" applyNumberFormat="1" applyFont="1" applyFill="1" applyBorder="1" applyAlignment="1">
      <alignment horizontal="center" vertical="top" wrapText="1"/>
    </xf>
    <xf numFmtId="2" fontId="14" fillId="2" borderId="72" xfId="0" applyNumberFormat="1" applyFont="1" applyFill="1" applyBorder="1" applyAlignment="1">
      <alignment horizontal="center" vertical="top" wrapText="1"/>
    </xf>
    <xf numFmtId="1" fontId="14" fillId="0" borderId="73" xfId="0" applyNumberFormat="1" applyFont="1" applyBorder="1" applyAlignment="1">
      <alignment horizontal="center" vertical="top" wrapText="1"/>
    </xf>
    <xf numFmtId="0" fontId="14" fillId="2" borderId="81" xfId="0" applyNumberFormat="1" applyFont="1" applyFill="1" applyBorder="1" applyAlignment="1">
      <alignment horizontal="center" vertical="top" wrapText="1"/>
    </xf>
    <xf numFmtId="1" fontId="14" fillId="2" borderId="72" xfId="0" applyNumberFormat="1" applyFont="1" applyFill="1" applyBorder="1" applyAlignment="1">
      <alignment horizontal="center" vertical="top" wrapText="1"/>
    </xf>
    <xf numFmtId="1" fontId="14" fillId="2" borderId="87" xfId="0" applyNumberFormat="1" applyFont="1" applyFill="1" applyBorder="1" applyAlignment="1">
      <alignment horizontal="center" vertical="top" wrapText="1"/>
    </xf>
    <xf numFmtId="49" fontId="14" fillId="0" borderId="44" xfId="0" applyNumberFormat="1" applyFont="1" applyBorder="1" applyAlignment="1">
      <alignment horizontal="left" vertical="top" wrapText="1"/>
    </xf>
    <xf numFmtId="0" fontId="47" fillId="0" borderId="67" xfId="0" applyFont="1" applyBorder="1" applyAlignment="1">
      <alignment vertical="top" wrapText="1"/>
    </xf>
    <xf numFmtId="0" fontId="14" fillId="2" borderId="78" xfId="0"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6" xfId="0" applyFont="1" applyBorder="1" applyAlignment="1">
      <alignment horizontal="center" vertical="top" wrapText="1"/>
    </xf>
    <xf numFmtId="0" fontId="14" fillId="0" borderId="3" xfId="0" applyFont="1" applyBorder="1" applyAlignment="1">
      <alignment horizontal="center" vertical="top" wrapText="1"/>
    </xf>
    <xf numFmtId="1" fontId="14" fillId="11" borderId="8" xfId="0" applyNumberFormat="1" applyFont="1" applyFill="1" applyBorder="1" applyAlignment="1" applyProtection="1">
      <alignment horizontal="left" vertical="top" wrapText="1"/>
      <protection hidden="1"/>
    </xf>
    <xf numFmtId="0" fontId="14" fillId="0" borderId="44" xfId="0" applyFont="1" applyFill="1" applyBorder="1" applyAlignment="1">
      <alignment horizontal="left" vertical="top" wrapText="1"/>
    </xf>
    <xf numFmtId="1" fontId="14" fillId="0" borderId="68" xfId="0" applyNumberFormat="1" applyFont="1" applyFill="1" applyBorder="1" applyAlignment="1">
      <alignment horizontal="left" vertical="top" wrapText="1"/>
    </xf>
    <xf numFmtId="1" fontId="14" fillId="0" borderId="12" xfId="0" applyNumberFormat="1" applyFont="1" applyFill="1" applyBorder="1" applyAlignment="1">
      <alignment horizontal="left" vertical="top" wrapText="1"/>
    </xf>
    <xf numFmtId="1" fontId="14" fillId="0" borderId="74" xfId="0" applyNumberFormat="1" applyFont="1" applyFill="1" applyBorder="1" applyAlignment="1">
      <alignment horizontal="left" vertical="top" wrapText="1"/>
    </xf>
    <xf numFmtId="1" fontId="14" fillId="0" borderId="44" xfId="0" applyNumberFormat="1" applyFont="1" applyFill="1" applyBorder="1" applyAlignment="1">
      <alignment horizontal="left" vertical="top" wrapText="1"/>
    </xf>
    <xf numFmtId="1" fontId="14" fillId="0" borderId="41" xfId="0" applyNumberFormat="1" applyFont="1" applyFill="1" applyBorder="1" applyAlignment="1">
      <alignment vertical="top" wrapText="1"/>
    </xf>
    <xf numFmtId="1" fontId="14" fillId="0" borderId="87" xfId="0" applyNumberFormat="1" applyFont="1" applyFill="1" applyBorder="1" applyAlignment="1">
      <alignment vertical="top" wrapText="1"/>
    </xf>
    <xf numFmtId="1" fontId="14" fillId="0" borderId="41" xfId="0" applyNumberFormat="1" applyFont="1" applyFill="1" applyBorder="1" applyAlignment="1">
      <alignment horizontal="left" vertical="top" wrapText="1"/>
    </xf>
    <xf numFmtId="49" fontId="14" fillId="0" borderId="68" xfId="0" applyNumberFormat="1" applyFont="1" applyBorder="1" applyAlignment="1">
      <alignment horizontal="left" vertical="top" wrapText="1"/>
    </xf>
    <xf numFmtId="0" fontId="47" fillId="0" borderId="67" xfId="0" applyNumberFormat="1" applyFont="1" applyBorder="1" applyAlignment="1">
      <alignment horizontal="left" vertical="top" wrapText="1"/>
    </xf>
    <xf numFmtId="0" fontId="47" fillId="0" borderId="41" xfId="0" applyFont="1" applyBorder="1" applyAlignment="1">
      <alignment horizontal="left" vertical="top" wrapText="1"/>
    </xf>
    <xf numFmtId="0" fontId="14" fillId="0" borderId="66" xfId="0" applyFont="1" applyFill="1" applyBorder="1" applyAlignment="1">
      <alignment vertical="top" wrapText="1"/>
    </xf>
    <xf numFmtId="0" fontId="14" fillId="0" borderId="79" xfId="0" applyFont="1" applyFill="1" applyBorder="1" applyAlignment="1">
      <alignment vertical="top" wrapText="1"/>
    </xf>
    <xf numFmtId="2" fontId="15" fillId="0" borderId="0" xfId="0" applyNumberFormat="1" applyFont="1" applyFill="1" applyBorder="1" applyAlignment="1">
      <alignment vertical="top" wrapText="1"/>
    </xf>
    <xf numFmtId="0" fontId="15" fillId="0" borderId="20" xfId="0" applyFont="1" applyBorder="1" applyAlignment="1">
      <alignment wrapText="1"/>
    </xf>
    <xf numFmtId="1" fontId="14" fillId="2" borderId="3" xfId="0" applyNumberFormat="1" applyFont="1" applyFill="1" applyBorder="1" applyAlignment="1" applyProtection="1">
      <alignment horizontal="center" vertical="top" wrapText="1"/>
      <protection hidden="1"/>
    </xf>
    <xf numFmtId="0" fontId="14" fillId="2" borderId="3" xfId="0" applyFont="1" applyFill="1" applyBorder="1" applyAlignment="1" applyProtection="1">
      <alignment horizontal="center" vertical="top" wrapText="1"/>
      <protection hidden="1"/>
    </xf>
    <xf numFmtId="1" fontId="14" fillId="0" borderId="30" xfId="0" applyNumberFormat="1" applyFont="1" applyBorder="1" applyAlignment="1">
      <alignment vertical="top" wrapText="1"/>
    </xf>
    <xf numFmtId="1" fontId="14" fillId="0" borderId="39" xfId="0" applyNumberFormat="1" applyFont="1" applyBorder="1" applyAlignment="1">
      <alignment vertical="top" wrapText="1"/>
    </xf>
    <xf numFmtId="0" fontId="47" fillId="0" borderId="4" xfId="0" applyFont="1" applyFill="1" applyBorder="1" applyAlignment="1">
      <alignment horizontal="left" vertical="top" wrapText="1"/>
    </xf>
    <xf numFmtId="0" fontId="47" fillId="0" borderId="4" xfId="0" applyFont="1" applyBorder="1" applyAlignment="1">
      <alignment horizontal="left" vertical="top" wrapText="1"/>
    </xf>
    <xf numFmtId="1" fontId="47" fillId="0" borderId="4" xfId="0" applyNumberFormat="1" applyFont="1" applyFill="1" applyBorder="1" applyAlignment="1">
      <alignment horizontal="left" vertical="top" wrapText="1"/>
    </xf>
    <xf numFmtId="0" fontId="14" fillId="0" borderId="17" xfId="0" applyFont="1" applyFill="1" applyBorder="1" applyAlignment="1">
      <alignment horizontal="left" vertical="top"/>
    </xf>
    <xf numFmtId="0" fontId="14" fillId="0" borderId="82" xfId="0" applyFont="1" applyBorder="1" applyAlignment="1">
      <alignment horizontal="center" vertical="top" wrapText="1"/>
    </xf>
    <xf numFmtId="0" fontId="14" fillId="0" borderId="79" xfId="0" applyFont="1" applyBorder="1" applyAlignment="1">
      <alignment vertical="top" wrapText="1"/>
    </xf>
    <xf numFmtId="2" fontId="14" fillId="12" borderId="56" xfId="0" applyNumberFormat="1" applyFont="1" applyFill="1" applyBorder="1" applyAlignment="1">
      <alignment horizontal="center" vertical="top"/>
    </xf>
    <xf numFmtId="1" fontId="14" fillId="0" borderId="41" xfId="0" applyNumberFormat="1" applyFont="1" applyBorder="1" applyAlignment="1">
      <alignment horizontal="left" vertical="top" wrapText="1"/>
    </xf>
    <xf numFmtId="2" fontId="14" fillId="2" borderId="86" xfId="0" applyNumberFormat="1" applyFont="1" applyFill="1" applyBorder="1" applyAlignment="1">
      <alignment horizontal="center" vertical="top"/>
    </xf>
    <xf numFmtId="0" fontId="14" fillId="0" borderId="4" xfId="0" applyFont="1" applyBorder="1" applyAlignment="1">
      <alignment horizontal="left" vertical="top"/>
    </xf>
    <xf numFmtId="0" fontId="14" fillId="0" borderId="30" xfId="0" applyNumberFormat="1" applyFont="1" applyBorder="1" applyAlignment="1">
      <alignment horizontal="left" vertical="top" wrapText="1"/>
    </xf>
    <xf numFmtId="0" fontId="14" fillId="0" borderId="19" xfId="0" applyNumberFormat="1" applyFont="1" applyBorder="1" applyAlignment="1">
      <alignment horizontal="left" vertical="top" wrapText="1"/>
    </xf>
    <xf numFmtId="0" fontId="14" fillId="0" borderId="88" xfId="0" applyFont="1" applyFill="1" applyBorder="1" applyAlignment="1">
      <alignment horizontal="left" vertical="top" wrapText="1"/>
    </xf>
    <xf numFmtId="1" fontId="14" fillId="0" borderId="87" xfId="0" applyNumberFormat="1" applyFont="1" applyBorder="1" applyAlignment="1">
      <alignment horizontal="left" vertical="top" wrapText="1"/>
    </xf>
    <xf numFmtId="1" fontId="14" fillId="0" borderId="44" xfId="0" applyNumberFormat="1" applyFont="1" applyFill="1" applyBorder="1" applyAlignment="1">
      <alignment vertical="top" wrapText="1"/>
    </xf>
    <xf numFmtId="1" fontId="14" fillId="0" borderId="39" xfId="0" applyNumberFormat="1" applyFont="1" applyFill="1" applyBorder="1" applyAlignment="1">
      <alignment horizontal="left" vertical="top" wrapText="1"/>
    </xf>
    <xf numFmtId="1" fontId="14" fillId="0" borderId="87" xfId="0" applyNumberFormat="1" applyFont="1" applyFill="1" applyBorder="1" applyAlignment="1">
      <alignment horizontal="left" vertical="top" wrapText="1"/>
    </xf>
    <xf numFmtId="0" fontId="14" fillId="0" borderId="4" xfId="0" applyNumberFormat="1" applyFont="1" applyFill="1" applyBorder="1" applyAlignment="1">
      <alignment horizontal="left" vertical="top" wrapText="1"/>
    </xf>
    <xf numFmtId="0" fontId="14" fillId="0" borderId="4" xfId="0" applyNumberFormat="1" applyFont="1" applyBorder="1" applyAlignment="1">
      <alignment horizontal="left" vertical="top" wrapText="1"/>
    </xf>
    <xf numFmtId="0" fontId="14" fillId="0" borderId="40" xfId="0" applyNumberFormat="1" applyFont="1" applyBorder="1" applyAlignment="1">
      <alignment horizontal="left" vertical="top" wrapText="1"/>
    </xf>
    <xf numFmtId="1" fontId="14" fillId="0" borderId="12" xfId="0" applyNumberFormat="1" applyFont="1" applyFill="1" applyBorder="1" applyAlignment="1">
      <alignment horizontal="center" vertical="top" wrapText="1"/>
    </xf>
    <xf numFmtId="2" fontId="14" fillId="12" borderId="13" xfId="0" applyNumberFormat="1" applyFont="1" applyFill="1" applyBorder="1" applyAlignment="1">
      <alignment horizontal="center" vertical="top" wrapText="1"/>
    </xf>
    <xf numFmtId="1" fontId="14" fillId="0" borderId="39" xfId="0" applyNumberFormat="1" applyFont="1" applyFill="1" applyBorder="1" applyAlignment="1">
      <alignment horizontal="center" vertical="top" wrapText="1"/>
    </xf>
    <xf numFmtId="0" fontId="47" fillId="0" borderId="26" xfId="0" applyFont="1" applyBorder="1" applyAlignment="1">
      <alignment horizontal="left" vertical="top"/>
    </xf>
    <xf numFmtId="0" fontId="14" fillId="0" borderId="0" xfId="0" applyNumberFormat="1" applyFont="1" applyBorder="1" applyAlignment="1">
      <alignment horizontal="left" vertical="top" wrapText="1"/>
    </xf>
    <xf numFmtId="1" fontId="14" fillId="0" borderId="0" xfId="0" applyNumberFormat="1" applyFont="1" applyBorder="1" applyAlignment="1">
      <alignment vertical="top" wrapText="1"/>
    </xf>
    <xf numFmtId="0" fontId="14" fillId="2" borderId="6" xfId="0" applyNumberFormat="1" applyFont="1" applyFill="1" applyBorder="1" applyAlignment="1">
      <alignment horizontal="center" vertical="top" wrapText="1"/>
    </xf>
    <xf numFmtId="2" fontId="14" fillId="3" borderId="57" xfId="0" applyNumberFormat="1" applyFont="1" applyFill="1" applyBorder="1" applyAlignment="1">
      <alignment horizontal="center" vertical="top" wrapText="1"/>
    </xf>
    <xf numFmtId="0" fontId="47" fillId="0" borderId="4" xfId="0" applyFont="1" applyFill="1" applyBorder="1" applyAlignment="1">
      <alignment vertical="top" wrapText="1"/>
    </xf>
    <xf numFmtId="0" fontId="14" fillId="0" borderId="87" xfId="0" applyFont="1" applyBorder="1" applyAlignment="1">
      <alignment horizontal="center" vertical="top" wrapText="1"/>
    </xf>
    <xf numFmtId="0" fontId="14" fillId="0" borderId="82" xfId="0" applyFont="1" applyFill="1" applyBorder="1" applyAlignment="1">
      <alignment horizontal="center" vertical="top" wrapText="1"/>
    </xf>
    <xf numFmtId="0" fontId="14" fillId="0" borderId="77" xfId="0" applyFont="1" applyFill="1" applyBorder="1" applyAlignment="1">
      <alignment vertical="top" wrapText="1"/>
    </xf>
    <xf numFmtId="0" fontId="14" fillId="0" borderId="44" xfId="0" applyFont="1" applyFill="1" applyBorder="1" applyAlignment="1">
      <alignment horizontal="center" vertical="top" wrapText="1"/>
    </xf>
    <xf numFmtId="1" fontId="41" fillId="0" borderId="20" xfId="0" applyNumberFormat="1" applyFont="1" applyBorder="1" applyAlignment="1">
      <alignment horizontal="center" vertical="top"/>
    </xf>
    <xf numFmtId="1" fontId="14" fillId="11" borderId="12" xfId="0" applyNumberFormat="1" applyFont="1" applyFill="1" applyBorder="1" applyAlignment="1">
      <alignment horizontal="left" vertical="top" wrapText="1"/>
    </xf>
    <xf numFmtId="0" fontId="52" fillId="0" borderId="26" xfId="0" applyFont="1" applyFill="1" applyBorder="1" applyAlignment="1">
      <alignment horizontal="left" vertical="top" wrapText="1"/>
    </xf>
    <xf numFmtId="1" fontId="14" fillId="11" borderId="39" xfId="0" applyNumberFormat="1" applyFont="1" applyFill="1" applyBorder="1" applyAlignment="1">
      <alignment horizontal="left" vertical="top" wrapText="1"/>
    </xf>
    <xf numFmtId="0" fontId="52" fillId="0" borderId="26" xfId="0" applyNumberFormat="1" applyFont="1" applyFill="1" applyBorder="1" applyAlignment="1">
      <alignment horizontal="left" vertical="top" wrapText="1"/>
    </xf>
    <xf numFmtId="2" fontId="14" fillId="12" borderId="46" xfId="0" applyNumberFormat="1" applyFont="1" applyFill="1" applyBorder="1" applyAlignment="1">
      <alignment horizontal="center" vertical="top" wrapText="1"/>
    </xf>
    <xf numFmtId="0" fontId="14" fillId="2" borderId="13" xfId="0" applyFont="1" applyFill="1" applyBorder="1" applyAlignment="1" applyProtection="1">
      <alignment horizontal="center" vertical="top" wrapText="1"/>
      <protection hidden="1"/>
    </xf>
    <xf numFmtId="2" fontId="14" fillId="2" borderId="87" xfId="0" applyNumberFormat="1" applyFont="1" applyFill="1" applyBorder="1" applyAlignment="1">
      <alignment horizontal="center" vertical="top"/>
    </xf>
    <xf numFmtId="2" fontId="14" fillId="2" borderId="3" xfId="0" applyNumberFormat="1" applyFont="1" applyFill="1" applyBorder="1" applyAlignment="1">
      <alignment horizontal="center" vertical="top"/>
    </xf>
    <xf numFmtId="1" fontId="14" fillId="2" borderId="6" xfId="0" applyNumberFormat="1" applyFont="1" applyFill="1" applyBorder="1" applyAlignment="1">
      <alignment horizontal="center" vertical="top"/>
    </xf>
    <xf numFmtId="2" fontId="14" fillId="2" borderId="46" xfId="0" applyNumberFormat="1" applyFont="1" applyFill="1" applyBorder="1" applyAlignment="1" applyProtection="1">
      <alignment horizontal="center" vertical="top" wrapText="1"/>
    </xf>
    <xf numFmtId="2" fontId="47" fillId="0" borderId="41" xfId="0" applyNumberFormat="1" applyFont="1" applyFill="1" applyBorder="1" applyAlignment="1">
      <alignment vertical="top" wrapText="1"/>
    </xf>
    <xf numFmtId="2" fontId="47" fillId="0" borderId="87" xfId="0" applyNumberFormat="1" applyFont="1" applyFill="1" applyBorder="1" applyAlignment="1">
      <alignment vertical="top" wrapText="1"/>
    </xf>
    <xf numFmtId="2" fontId="47" fillId="0" borderId="82" xfId="0" applyNumberFormat="1" applyFont="1" applyFill="1" applyBorder="1" applyAlignment="1">
      <alignment vertical="top" wrapText="1"/>
    </xf>
    <xf numFmtId="2" fontId="47" fillId="0" borderId="44" xfId="0" applyNumberFormat="1" applyFont="1" applyFill="1" applyBorder="1" applyAlignment="1">
      <alignment vertical="top" wrapText="1"/>
    </xf>
    <xf numFmtId="2" fontId="47" fillId="0" borderId="68" xfId="0" applyNumberFormat="1" applyFont="1" applyBorder="1" applyAlignment="1">
      <alignment vertical="top" wrapText="1"/>
    </xf>
    <xf numFmtId="1" fontId="47" fillId="0" borderId="12" xfId="0" applyNumberFormat="1" applyFont="1" applyFill="1" applyBorder="1" applyAlignment="1">
      <alignment vertical="top" wrapText="1"/>
    </xf>
    <xf numFmtId="1" fontId="47" fillId="0" borderId="87" xfId="0" applyNumberFormat="1" applyFont="1" applyBorder="1" applyAlignment="1">
      <alignment vertical="top" wrapText="1"/>
    </xf>
    <xf numFmtId="1" fontId="47" fillId="0" borderId="82" xfId="0" applyNumberFormat="1" applyFont="1" applyBorder="1" applyAlignment="1">
      <alignment vertical="top" wrapText="1"/>
    </xf>
    <xf numFmtId="2" fontId="47" fillId="0" borderId="87" xfId="0" applyNumberFormat="1" applyFont="1" applyBorder="1" applyAlignment="1">
      <alignment vertical="top" wrapText="1"/>
    </xf>
    <xf numFmtId="2" fontId="47" fillId="0" borderId="82" xfId="0" applyNumberFormat="1" applyFont="1" applyBorder="1" applyAlignment="1">
      <alignment vertical="top" wrapText="1"/>
    </xf>
    <xf numFmtId="2" fontId="47" fillId="0" borderId="74" xfId="0" applyNumberFormat="1" applyFont="1" applyBorder="1" applyAlignment="1">
      <alignment vertical="top" wrapText="1"/>
    </xf>
    <xf numFmtId="2" fontId="47" fillId="0" borderId="41" xfId="0" applyNumberFormat="1" applyFont="1" applyBorder="1" applyAlignment="1">
      <alignment vertical="top" wrapText="1"/>
    </xf>
    <xf numFmtId="2" fontId="47" fillId="0" borderId="44" xfId="0" applyNumberFormat="1" applyFont="1" applyBorder="1" applyAlignment="1">
      <alignment vertical="top" wrapText="1"/>
    </xf>
    <xf numFmtId="2" fontId="47" fillId="0" borderId="12" xfId="0" applyNumberFormat="1" applyFont="1" applyFill="1" applyBorder="1" applyAlignment="1">
      <alignment vertical="top" wrapText="1"/>
    </xf>
    <xf numFmtId="2" fontId="47" fillId="0" borderId="74" xfId="0" applyNumberFormat="1" applyFont="1" applyFill="1" applyBorder="1" applyAlignment="1">
      <alignment vertical="top" wrapText="1"/>
    </xf>
    <xf numFmtId="2" fontId="47" fillId="0" borderId="68" xfId="0" applyNumberFormat="1" applyFont="1" applyFill="1" applyBorder="1" applyAlignment="1">
      <alignment vertical="top" wrapText="1"/>
    </xf>
    <xf numFmtId="2" fontId="47" fillId="0" borderId="82" xfId="0" applyNumberFormat="1" applyFont="1" applyFill="1" applyBorder="1" applyAlignment="1">
      <alignment horizontal="left" vertical="top" wrapText="1"/>
    </xf>
    <xf numFmtId="2" fontId="47" fillId="0" borderId="44" xfId="0" applyNumberFormat="1" applyFont="1" applyFill="1" applyBorder="1" applyAlignment="1">
      <alignment horizontal="left" vertical="top" wrapText="1"/>
    </xf>
    <xf numFmtId="1" fontId="47" fillId="0" borderId="68" xfId="0" applyNumberFormat="1" applyFont="1" applyBorder="1" applyAlignment="1">
      <alignment vertical="top" wrapText="1"/>
    </xf>
    <xf numFmtId="1" fontId="47" fillId="0" borderId="74" xfId="0" applyNumberFormat="1" applyFont="1" applyBorder="1" applyAlignment="1">
      <alignment vertical="top" wrapText="1"/>
    </xf>
    <xf numFmtId="1" fontId="47" fillId="0" borderId="81" xfId="0" applyNumberFormat="1" applyFont="1" applyBorder="1" applyAlignment="1">
      <alignment horizontal="center" vertical="top" wrapText="1"/>
    </xf>
    <xf numFmtId="1" fontId="47" fillId="0" borderId="73" xfId="0" applyNumberFormat="1" applyFont="1" applyBorder="1" applyAlignment="1">
      <alignment horizontal="center" vertical="top" wrapText="1"/>
    </xf>
    <xf numFmtId="2" fontId="47" fillId="0" borderId="35" xfId="0" applyNumberFormat="1" applyFont="1" applyFill="1" applyBorder="1" applyAlignment="1">
      <alignment vertical="top" wrapText="1"/>
    </xf>
    <xf numFmtId="2" fontId="45" fillId="12" borderId="13" xfId="0" applyNumberFormat="1" applyFont="1" applyFill="1" applyBorder="1" applyAlignment="1" applyProtection="1">
      <alignment horizontal="center" vertical="top" wrapText="1"/>
      <protection hidden="1"/>
    </xf>
    <xf numFmtId="2" fontId="47" fillId="0" borderId="87" xfId="0" applyNumberFormat="1" applyFont="1" applyFill="1" applyBorder="1" applyAlignment="1">
      <alignment horizontal="left" vertical="top" wrapText="1"/>
    </xf>
    <xf numFmtId="0" fontId="14" fillId="0" borderId="74" xfId="0" applyFont="1" applyFill="1" applyBorder="1" applyAlignment="1">
      <alignment horizontal="left" vertical="top" wrapText="1"/>
    </xf>
    <xf numFmtId="1" fontId="14" fillId="0" borderId="49" xfId="0" applyNumberFormat="1" applyFont="1" applyFill="1" applyBorder="1" applyAlignment="1">
      <alignment horizontal="left" vertical="top" wrapText="1"/>
    </xf>
    <xf numFmtId="1" fontId="14" fillId="2" borderId="45" xfId="0" applyNumberFormat="1" applyFont="1" applyFill="1" applyBorder="1" applyAlignment="1" applyProtection="1">
      <alignment horizontal="center" vertical="top" wrapText="1"/>
      <protection hidden="1"/>
    </xf>
    <xf numFmtId="0" fontId="14" fillId="2" borderId="45" xfId="0" applyFont="1" applyFill="1" applyBorder="1" applyAlignment="1" applyProtection="1">
      <alignment horizontal="center" vertical="top" wrapText="1"/>
      <protection hidden="1"/>
    </xf>
    <xf numFmtId="2" fontId="14" fillId="12" borderId="53" xfId="0" applyNumberFormat="1" applyFont="1" applyFill="1" applyBorder="1" applyAlignment="1">
      <alignment horizontal="center" vertical="top"/>
    </xf>
    <xf numFmtId="2" fontId="14" fillId="12" borderId="47" xfId="0" applyNumberFormat="1" applyFont="1" applyFill="1" applyBorder="1" applyAlignment="1">
      <alignment horizontal="center" vertical="top" wrapText="1"/>
    </xf>
    <xf numFmtId="0" fontId="47" fillId="0" borderId="30" xfId="0" applyFont="1" applyFill="1" applyBorder="1" applyAlignment="1">
      <alignment horizontal="left" vertical="top"/>
    </xf>
    <xf numFmtId="1" fontId="14" fillId="11" borderId="19" xfId="0" applyNumberFormat="1" applyFont="1" applyFill="1" applyBorder="1" applyAlignment="1" applyProtection="1">
      <alignment horizontal="left" vertical="top" wrapText="1"/>
      <protection hidden="1"/>
    </xf>
    <xf numFmtId="0" fontId="14" fillId="0" borderId="30" xfId="0" applyFont="1" applyBorder="1" applyAlignment="1">
      <alignment horizontal="left" vertical="top" wrapText="1"/>
    </xf>
    <xf numFmtId="0" fontId="14" fillId="0" borderId="57" xfId="0" applyFont="1" applyFill="1" applyBorder="1" applyAlignment="1">
      <alignment vertical="top"/>
    </xf>
    <xf numFmtId="2" fontId="14" fillId="0" borderId="30" xfId="0" applyNumberFormat="1" applyFont="1" applyFill="1" applyBorder="1" applyAlignment="1">
      <alignment vertical="top" wrapText="1"/>
    </xf>
    <xf numFmtId="0" fontId="47" fillId="0" borderId="30" xfId="0" applyFont="1" applyFill="1" applyBorder="1" applyAlignment="1">
      <alignment vertical="top"/>
    </xf>
    <xf numFmtId="0" fontId="47" fillId="0" borderId="57" xfId="0" applyFont="1" applyFill="1" applyBorder="1" applyAlignment="1">
      <alignment vertical="top" wrapText="1"/>
    </xf>
    <xf numFmtId="0" fontId="47" fillId="0" borderId="30" xfId="0" applyFont="1" applyFill="1" applyBorder="1" applyAlignment="1">
      <alignment vertical="top" wrapText="1"/>
    </xf>
    <xf numFmtId="0" fontId="47" fillId="0" borderId="57" xfId="0" applyFont="1" applyFill="1" applyBorder="1" applyAlignment="1">
      <alignment vertical="top"/>
    </xf>
    <xf numFmtId="1" fontId="14" fillId="11" borderId="26" xfId="0" applyNumberFormat="1" applyFont="1" applyFill="1" applyBorder="1" applyAlignment="1" applyProtection="1">
      <alignment vertical="top" wrapText="1"/>
      <protection hidden="1"/>
    </xf>
    <xf numFmtId="1" fontId="14" fillId="11" borderId="4" xfId="0" applyNumberFormat="1" applyFont="1" applyFill="1" applyBorder="1" applyAlignment="1" applyProtection="1">
      <alignment vertical="top" wrapText="1"/>
      <protection hidden="1"/>
    </xf>
    <xf numFmtId="1" fontId="14" fillId="11" borderId="40" xfId="0" applyNumberFormat="1" applyFont="1" applyFill="1" applyBorder="1" applyAlignment="1" applyProtection="1">
      <alignment vertical="top" wrapText="1"/>
      <protection hidden="1"/>
    </xf>
    <xf numFmtId="0" fontId="19" fillId="4" borderId="4"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77" xfId="0" applyFont="1" applyFill="1" applyBorder="1" applyAlignment="1">
      <alignment horizontal="left" vertical="top" wrapText="1"/>
    </xf>
    <xf numFmtId="0" fontId="14" fillId="0" borderId="77" xfId="0" applyFont="1" applyBorder="1" applyAlignment="1">
      <alignment horizontal="left" vertical="top" wrapText="1"/>
    </xf>
    <xf numFmtId="0" fontId="14" fillId="0" borderId="39" xfId="0" applyFont="1" applyBorder="1" applyAlignment="1">
      <alignment horizontal="left" vertical="top" wrapText="1"/>
    </xf>
    <xf numFmtId="0" fontId="19" fillId="4" borderId="20" xfId="0" applyFont="1" applyFill="1" applyBorder="1" applyAlignment="1">
      <alignment horizontal="left" vertical="top" wrapText="1"/>
    </xf>
    <xf numFmtId="0" fontId="41" fillId="0" borderId="20" xfId="0" applyFont="1" applyBorder="1" applyAlignment="1">
      <alignment horizontal="center" vertical="top"/>
    </xf>
    <xf numFmtId="0" fontId="14" fillId="2" borderId="72" xfId="0" applyFont="1" applyFill="1" applyBorder="1" applyAlignment="1">
      <alignment horizontal="center" vertical="top" wrapText="1"/>
    </xf>
    <xf numFmtId="0" fontId="14" fillId="2" borderId="42" xfId="0" applyFont="1" applyFill="1" applyBorder="1" applyAlignment="1">
      <alignment horizontal="center" vertical="top" wrapText="1"/>
    </xf>
    <xf numFmtId="0" fontId="19" fillId="4" borderId="31" xfId="0" applyFont="1" applyFill="1" applyBorder="1" applyAlignment="1">
      <alignment horizontal="left" vertical="top" wrapText="1"/>
    </xf>
    <xf numFmtId="0" fontId="14" fillId="2" borderId="73" xfId="0" applyFont="1" applyFill="1" applyBorder="1" applyAlignment="1">
      <alignment horizontal="center" vertical="top" wrapText="1"/>
    </xf>
    <xf numFmtId="0" fontId="14" fillId="0" borderId="39" xfId="0" applyFont="1" applyFill="1" applyBorder="1" applyAlignment="1">
      <alignment horizontal="left" vertical="top" wrapText="1"/>
    </xf>
    <xf numFmtId="0" fontId="14" fillId="2" borderId="78" xfId="0" applyFont="1" applyFill="1" applyBorder="1" applyAlignment="1">
      <alignment horizontal="center" vertical="top" wrapText="1"/>
    </xf>
    <xf numFmtId="0" fontId="14" fillId="2" borderId="81" xfId="0" applyFont="1" applyFill="1" applyBorder="1" applyAlignment="1">
      <alignment horizontal="center" vertical="top" wrapText="1"/>
    </xf>
    <xf numFmtId="0" fontId="14" fillId="2" borderId="84" xfId="0" applyFont="1" applyFill="1" applyBorder="1" applyAlignment="1">
      <alignment horizontal="center" vertical="top" wrapText="1"/>
    </xf>
    <xf numFmtId="0" fontId="47" fillId="0" borderId="37" xfId="0" applyFont="1" applyBorder="1" applyAlignment="1">
      <alignment horizontal="left" vertical="top" wrapText="1"/>
    </xf>
    <xf numFmtId="0" fontId="47" fillId="0" borderId="57" xfId="0" applyFont="1" applyBorder="1" applyAlignment="1">
      <alignment horizontal="left" vertical="top"/>
    </xf>
    <xf numFmtId="0" fontId="47" fillId="0" borderId="0" xfId="0" applyFont="1" applyAlignment="1">
      <alignment vertical="top"/>
    </xf>
    <xf numFmtId="0" fontId="47" fillId="0" borderId="0" xfId="0" applyFont="1" applyAlignment="1">
      <alignment horizontal="left" vertical="top"/>
    </xf>
    <xf numFmtId="2" fontId="47" fillId="0" borderId="0" xfId="0" applyNumberFormat="1" applyFont="1" applyAlignment="1">
      <alignment horizontal="right" vertical="top"/>
    </xf>
    <xf numFmtId="0" fontId="14" fillId="0" borderId="21" xfId="0" applyFont="1" applyBorder="1" applyAlignment="1">
      <alignment vertical="top" wrapText="1"/>
    </xf>
    <xf numFmtId="0" fontId="14" fillId="0" borderId="21" xfId="0" applyFont="1" applyBorder="1" applyAlignment="1">
      <alignment horizontal="left" vertical="top" wrapText="1"/>
    </xf>
    <xf numFmtId="0" fontId="14" fillId="0" borderId="0" xfId="0" applyFont="1" applyBorder="1" applyAlignment="1">
      <alignment horizontal="center" vertical="top" wrapText="1"/>
    </xf>
    <xf numFmtId="0" fontId="14" fillId="0" borderId="0" xfId="0" applyFont="1" applyAlignment="1">
      <alignment horizontal="center" vertical="top" wrapText="1"/>
    </xf>
    <xf numFmtId="0" fontId="14" fillId="0" borderId="87" xfId="0" applyFont="1" applyFill="1" applyBorder="1" applyAlignment="1">
      <alignment horizontal="left" vertical="top" wrapText="1"/>
    </xf>
    <xf numFmtId="0" fontId="14" fillId="0" borderId="82" xfId="0" applyFont="1" applyFill="1" applyBorder="1" applyAlignment="1">
      <alignment horizontal="left" vertical="top" wrapText="1"/>
    </xf>
    <xf numFmtId="1" fontId="14" fillId="0" borderId="0" xfId="0" applyNumberFormat="1" applyFont="1" applyAlignment="1">
      <alignment horizontal="center" vertical="top" wrapText="1"/>
    </xf>
    <xf numFmtId="0" fontId="14" fillId="0" borderId="0" xfId="0" applyFont="1" applyAlignment="1">
      <alignment horizontal="center" vertical="top"/>
    </xf>
    <xf numFmtId="1" fontId="14" fillId="0" borderId="0" xfId="0" applyNumberFormat="1" applyFont="1" applyBorder="1" applyAlignment="1">
      <alignment horizontal="center" vertical="top" wrapText="1"/>
    </xf>
    <xf numFmtId="0" fontId="32" fillId="0" borderId="0" xfId="0" applyFont="1" applyAlignment="1">
      <alignment horizontal="center" vertical="top"/>
    </xf>
    <xf numFmtId="1" fontId="14" fillId="2" borderId="84" xfId="0" applyNumberFormat="1" applyFont="1" applyFill="1" applyBorder="1" applyAlignment="1">
      <alignment horizontal="center" vertical="top" wrapText="1"/>
    </xf>
    <xf numFmtId="2" fontId="14" fillId="9" borderId="4" xfId="0" applyNumberFormat="1" applyFont="1" applyFill="1" applyBorder="1" applyAlignment="1">
      <alignment horizontal="center" vertical="top" wrapText="1"/>
    </xf>
    <xf numFmtId="0" fontId="14" fillId="0" borderId="0" xfId="0" applyFont="1" applyBorder="1" applyAlignment="1" applyProtection="1">
      <alignment vertical="top" wrapText="1"/>
      <protection hidden="1"/>
    </xf>
    <xf numFmtId="1" fontId="14" fillId="0" borderId="82" xfId="0" applyNumberFormat="1" applyFont="1" applyFill="1" applyBorder="1" applyAlignment="1">
      <alignment horizontal="center" vertical="top" wrapText="1"/>
    </xf>
    <xf numFmtId="0" fontId="14" fillId="2" borderId="87" xfId="0" applyNumberFormat="1" applyFont="1" applyFill="1" applyBorder="1" applyAlignment="1">
      <alignment horizontal="center" vertical="top" wrapText="1"/>
    </xf>
    <xf numFmtId="49" fontId="14" fillId="0" borderId="6" xfId="0" applyNumberFormat="1" applyFont="1" applyBorder="1" applyAlignment="1">
      <alignment horizontal="center" vertical="top" wrapText="1"/>
    </xf>
    <xf numFmtId="49" fontId="14" fillId="0" borderId="73" xfId="0" applyNumberFormat="1" applyFont="1" applyBorder="1" applyAlignment="1">
      <alignment horizontal="center" vertical="top" wrapText="1"/>
    </xf>
    <xf numFmtId="0" fontId="14" fillId="0" borderId="0" xfId="0" applyFont="1" applyFill="1" applyBorder="1" applyAlignment="1" applyProtection="1">
      <alignment vertical="top" wrapText="1"/>
      <protection hidden="1"/>
    </xf>
    <xf numFmtId="2" fontId="14" fillId="4" borderId="61" xfId="0" applyNumberFormat="1" applyFont="1" applyFill="1" applyBorder="1" applyAlignment="1">
      <alignment horizontal="center" vertical="top" wrapText="1"/>
    </xf>
    <xf numFmtId="2" fontId="14" fillId="2" borderId="47" xfId="0" applyNumberFormat="1" applyFont="1" applyFill="1" applyBorder="1" applyAlignment="1" applyProtection="1">
      <alignment horizontal="center" vertical="top" wrapText="1"/>
    </xf>
    <xf numFmtId="1" fontId="14" fillId="0" borderId="67" xfId="0" applyNumberFormat="1" applyFont="1" applyBorder="1" applyAlignment="1">
      <alignment vertical="top" wrapText="1"/>
    </xf>
    <xf numFmtId="0" fontId="47" fillId="0" borderId="59" xfId="0" applyFont="1" applyFill="1" applyBorder="1" applyAlignment="1">
      <alignment vertical="top" wrapText="1"/>
    </xf>
    <xf numFmtId="0" fontId="47" fillId="0" borderId="0" xfId="0" applyNumberFormat="1" applyFont="1" applyFill="1" applyBorder="1" applyAlignment="1">
      <alignment vertical="top" wrapText="1"/>
    </xf>
    <xf numFmtId="1" fontId="14" fillId="2" borderId="51" xfId="0" applyNumberFormat="1" applyFont="1" applyFill="1" applyBorder="1" applyAlignment="1">
      <alignment horizontal="center" vertical="top"/>
    </xf>
    <xf numFmtId="1" fontId="14" fillId="0" borderId="0" xfId="0" applyNumberFormat="1" applyFont="1" applyAlignment="1" applyProtection="1">
      <alignment vertical="top"/>
      <protection hidden="1"/>
    </xf>
    <xf numFmtId="1" fontId="14" fillId="0" borderId="0" xfId="0" applyNumberFormat="1" applyFont="1" applyBorder="1" applyAlignment="1" applyProtection="1">
      <alignment vertical="top"/>
      <protection hidden="1"/>
    </xf>
    <xf numFmtId="2" fontId="14" fillId="0" borderId="0" xfId="0" applyNumberFormat="1" applyFont="1" applyFill="1" applyBorder="1" applyAlignment="1">
      <alignment vertical="top" wrapText="1"/>
    </xf>
    <xf numFmtId="2" fontId="14" fillId="0" borderId="67" xfId="0" applyNumberFormat="1" applyFont="1" applyFill="1" applyBorder="1" applyAlignment="1">
      <alignment vertical="top" wrapText="1"/>
    </xf>
    <xf numFmtId="0" fontId="47" fillId="0" borderId="67" xfId="0" applyNumberFormat="1" applyFont="1" applyFill="1" applyBorder="1" applyAlignment="1">
      <alignment vertical="top" wrapText="1"/>
    </xf>
    <xf numFmtId="0" fontId="46" fillId="0" borderId="0" xfId="0" applyFont="1" applyFill="1" applyBorder="1" applyAlignment="1">
      <alignment horizontal="left" vertical="top"/>
    </xf>
    <xf numFmtId="2" fontId="14" fillId="0" borderId="0" xfId="0" applyNumberFormat="1" applyFont="1" applyFill="1" applyBorder="1" applyAlignment="1">
      <alignment horizontal="right" vertical="top"/>
    </xf>
    <xf numFmtId="2" fontId="14" fillId="0" borderId="0" xfId="0" applyNumberFormat="1" applyFont="1" applyFill="1" applyAlignment="1">
      <alignment horizontal="right" vertical="top"/>
    </xf>
    <xf numFmtId="2" fontId="14" fillId="0" borderId="0" xfId="0" applyNumberFormat="1" applyFont="1" applyAlignment="1">
      <alignment horizontal="right" vertical="top"/>
    </xf>
    <xf numFmtId="0" fontId="0" fillId="0" borderId="0" xfId="0" applyProtection="1">
      <alignment vertical="top"/>
      <protection locked="0"/>
    </xf>
    <xf numFmtId="2" fontId="0" fillId="0" borderId="0" xfId="0" applyNumberFormat="1" applyProtection="1">
      <alignment vertical="top"/>
      <protection locked="0"/>
    </xf>
    <xf numFmtId="0" fontId="26" fillId="0" borderId="0" xfId="0" applyFont="1" applyBorder="1" applyAlignment="1" applyProtection="1">
      <alignment vertical="top"/>
      <protection locked="0"/>
    </xf>
    <xf numFmtId="0" fontId="14" fillId="0" borderId="10" xfId="0" applyFont="1" applyFill="1" applyBorder="1" applyAlignment="1">
      <alignment vertical="top" wrapText="1"/>
    </xf>
    <xf numFmtId="1" fontId="14" fillId="0" borderId="0" xfId="0" applyNumberFormat="1" applyFont="1" applyAlignment="1">
      <alignment vertical="top" wrapText="1"/>
    </xf>
    <xf numFmtId="1" fontId="14" fillId="0" borderId="59" xfId="0" applyNumberFormat="1" applyFont="1" applyBorder="1" applyAlignment="1">
      <alignment vertical="top" wrapText="1"/>
    </xf>
    <xf numFmtId="1" fontId="14" fillId="0" borderId="10" xfId="0" applyNumberFormat="1" applyFont="1" applyBorder="1" applyAlignment="1">
      <alignment vertical="top" wrapText="1"/>
    </xf>
    <xf numFmtId="1" fontId="14" fillId="0" borderId="10" xfId="0" applyNumberFormat="1" applyFont="1" applyFill="1" applyBorder="1" applyAlignment="1">
      <alignment vertical="top"/>
    </xf>
    <xf numFmtId="1" fontId="14" fillId="0" borderId="59" xfId="0" applyNumberFormat="1" applyFont="1" applyBorder="1" applyAlignment="1">
      <alignment vertical="top"/>
    </xf>
    <xf numFmtId="1" fontId="14" fillId="0" borderId="10" xfId="0" applyNumberFormat="1" applyFont="1" applyBorder="1" applyAlignment="1">
      <alignment vertical="top"/>
    </xf>
    <xf numFmtId="0" fontId="14" fillId="0" borderId="59" xfId="0" applyFont="1" applyBorder="1" applyAlignment="1">
      <alignment vertical="top"/>
    </xf>
    <xf numFmtId="0" fontId="14" fillId="0" borderId="0" xfId="0" applyNumberFormat="1" applyFont="1" applyBorder="1" applyAlignment="1" applyProtection="1">
      <alignment vertical="center" wrapText="1"/>
      <protection hidden="1"/>
    </xf>
    <xf numFmtId="1" fontId="14" fillId="0" borderId="59" xfId="0" applyNumberFormat="1" applyFont="1" applyFill="1" applyBorder="1" applyAlignment="1">
      <alignment vertical="top"/>
    </xf>
    <xf numFmtId="2" fontId="14" fillId="0" borderId="59" xfId="0" applyNumberFormat="1" applyFont="1" applyFill="1" applyBorder="1" applyAlignment="1" applyProtection="1">
      <alignment vertical="top" wrapText="1"/>
    </xf>
    <xf numFmtId="2" fontId="14" fillId="0" borderId="10" xfId="0" applyNumberFormat="1" applyFont="1" applyFill="1" applyBorder="1" applyAlignment="1" applyProtection="1">
      <alignment vertical="top" wrapText="1"/>
    </xf>
    <xf numFmtId="49" fontId="11" fillId="6" borderId="108" xfId="1" applyNumberFormat="1" applyFont="1" applyFill="1" applyBorder="1" applyAlignment="1">
      <alignment vertical="center" wrapText="1"/>
    </xf>
    <xf numFmtId="49" fontId="11" fillId="0" borderId="97" xfId="1" applyNumberFormat="1" applyFont="1" applyBorder="1" applyAlignment="1">
      <alignment horizontal="center" vertical="center" wrapText="1"/>
    </xf>
    <xf numFmtId="49" fontId="11" fillId="0" borderId="103" xfId="1" applyNumberFormat="1" applyFont="1" applyBorder="1" applyAlignment="1">
      <alignment horizontal="center" vertical="center" wrapText="1"/>
    </xf>
    <xf numFmtId="49" fontId="11" fillId="0" borderId="33" xfId="1" applyNumberFormat="1" applyFont="1" applyBorder="1" applyAlignment="1">
      <alignment horizontal="center" vertical="center" wrapText="1"/>
    </xf>
    <xf numFmtId="0" fontId="15" fillId="22" borderId="4" xfId="0" applyFont="1" applyFill="1" applyBorder="1" applyAlignment="1">
      <alignment horizontal="center" vertical="center" wrapText="1"/>
    </xf>
    <xf numFmtId="0" fontId="51" fillId="22" borderId="4" xfId="0" applyFont="1" applyFill="1" applyBorder="1" applyAlignment="1">
      <alignment horizontal="center" vertical="center" wrapText="1"/>
    </xf>
    <xf numFmtId="0" fontId="15" fillId="22" borderId="47" xfId="0" applyFont="1" applyFill="1" applyBorder="1" applyAlignment="1">
      <alignment horizontal="center" vertical="center" wrapText="1"/>
    </xf>
    <xf numFmtId="1" fontId="15" fillId="22" borderId="47" xfId="0" applyNumberFormat="1" applyFont="1" applyFill="1" applyBorder="1" applyAlignment="1" applyProtection="1">
      <alignment horizontal="center" vertical="center" wrapText="1"/>
      <protection hidden="1"/>
    </xf>
    <xf numFmtId="0" fontId="15" fillId="22" borderId="4" xfId="0" applyFont="1" applyFill="1" applyBorder="1" applyAlignment="1" applyProtection="1">
      <alignment horizontal="center" vertical="center" wrapText="1"/>
      <protection hidden="1"/>
    </xf>
    <xf numFmtId="2" fontId="15" fillId="22" borderId="47" xfId="0" applyNumberFormat="1" applyFont="1" applyFill="1" applyBorder="1" applyAlignment="1" applyProtection="1">
      <alignment horizontal="center" vertical="center" wrapText="1"/>
    </xf>
    <xf numFmtId="0" fontId="15" fillId="9" borderId="4" xfId="0" applyFont="1" applyFill="1" applyBorder="1" applyAlignment="1">
      <alignment horizontal="center" vertical="center" wrapText="1"/>
    </xf>
    <xf numFmtId="0" fontId="14" fillId="0" borderId="0" xfId="0" applyFont="1" applyBorder="1" applyAlignment="1">
      <alignment vertical="top" wrapText="1"/>
    </xf>
    <xf numFmtId="0" fontId="15" fillId="9" borderId="30" xfId="0" applyFont="1" applyFill="1" applyBorder="1" applyAlignment="1">
      <alignment horizontal="center" vertical="center" wrapText="1"/>
    </xf>
    <xf numFmtId="49" fontId="15" fillId="9" borderId="41" xfId="0" applyNumberFormat="1" applyFont="1" applyFill="1" applyBorder="1" applyAlignment="1">
      <alignment horizontal="center" vertical="center" wrapText="1"/>
    </xf>
    <xf numFmtId="0" fontId="15" fillId="9" borderId="47" xfId="0" applyFont="1" applyFill="1" applyBorder="1" applyAlignment="1">
      <alignment horizontal="center" vertical="center" wrapText="1"/>
    </xf>
    <xf numFmtId="1" fontId="15" fillId="9" borderId="4" xfId="0" applyNumberFormat="1" applyFont="1" applyFill="1" applyBorder="1" applyAlignment="1" applyProtection="1">
      <alignment horizontal="center" vertical="center" wrapText="1"/>
      <protection hidden="1"/>
    </xf>
    <xf numFmtId="0" fontId="15" fillId="9" borderId="47" xfId="0" applyFont="1" applyFill="1" applyBorder="1" applyAlignment="1" applyProtection="1">
      <alignment horizontal="center" vertical="center" wrapText="1"/>
      <protection hidden="1"/>
    </xf>
    <xf numFmtId="2" fontId="15" fillId="9" borderId="30" xfId="0" applyNumberFormat="1" applyFont="1" applyFill="1" applyBorder="1" applyAlignment="1" applyProtection="1">
      <alignment horizontal="center" vertical="center" wrapText="1"/>
    </xf>
    <xf numFmtId="0" fontId="51" fillId="9" borderId="4" xfId="0" applyFont="1" applyFill="1" applyBorder="1" applyAlignment="1">
      <alignment horizontal="center" vertical="center" wrapText="1"/>
    </xf>
    <xf numFmtId="0" fontId="51" fillId="9" borderId="41" xfId="0" applyFont="1" applyFill="1" applyBorder="1" applyAlignment="1">
      <alignment horizontal="center" vertical="center" wrapText="1"/>
    </xf>
    <xf numFmtId="0" fontId="17" fillId="9" borderId="4" xfId="0" applyFont="1" applyFill="1" applyBorder="1" applyAlignment="1">
      <alignment horizontal="left" vertical="top" wrapText="1"/>
    </xf>
    <xf numFmtId="0" fontId="17" fillId="9" borderId="89" xfId="0" applyFont="1" applyFill="1" applyBorder="1" applyAlignment="1">
      <alignment horizontal="left" vertical="top" wrapText="1"/>
    </xf>
    <xf numFmtId="1" fontId="41" fillId="0" borderId="89" xfId="0" applyNumberFormat="1" applyFont="1" applyBorder="1" applyAlignment="1">
      <alignment horizontal="center" vertical="top" wrapText="1"/>
    </xf>
    <xf numFmtId="0" fontId="17" fillId="9" borderId="4" xfId="0" applyFont="1" applyFill="1" applyBorder="1" applyAlignment="1">
      <alignment horizontal="center" vertical="center" wrapText="1"/>
    </xf>
    <xf numFmtId="1" fontId="14" fillId="0" borderId="26" xfId="0" applyNumberFormat="1" applyFont="1" applyFill="1" applyBorder="1" applyAlignment="1" applyProtection="1">
      <alignment vertical="top" wrapText="1"/>
      <protection hidden="1"/>
    </xf>
    <xf numFmtId="2" fontId="14" fillId="9" borderId="57" xfId="0" applyNumberFormat="1" applyFont="1" applyFill="1" applyBorder="1" applyAlignment="1">
      <alignment horizontal="center" vertical="top" wrapText="1"/>
    </xf>
    <xf numFmtId="2" fontId="47" fillId="18" borderId="37" xfId="0" applyNumberFormat="1" applyFont="1" applyFill="1" applyBorder="1" applyAlignment="1">
      <alignment horizontal="right" vertical="top"/>
    </xf>
    <xf numFmtId="2" fontId="47" fillId="18" borderId="63" xfId="0" applyNumberFormat="1" applyFont="1" applyFill="1" applyBorder="1" applyAlignment="1">
      <alignment horizontal="right" vertical="top"/>
    </xf>
    <xf numFmtId="0" fontId="17" fillId="9" borderId="20" xfId="0" applyFont="1" applyFill="1" applyBorder="1" applyAlignment="1" applyProtection="1">
      <alignment horizontal="center" vertical="center" wrapText="1"/>
    </xf>
    <xf numFmtId="0" fontId="17" fillId="9" borderId="0" xfId="0" applyFont="1" applyFill="1" applyBorder="1" applyAlignment="1" applyProtection="1">
      <alignment horizontal="center" vertical="center" wrapText="1"/>
    </xf>
    <xf numFmtId="0" fontId="14" fillId="0" borderId="0" xfId="0" applyFont="1" applyBorder="1" applyAlignment="1" applyProtection="1">
      <alignment vertical="top" wrapText="1"/>
    </xf>
    <xf numFmtId="0" fontId="14" fillId="0" borderId="10" xfId="0" applyFont="1" applyBorder="1" applyAlignment="1" applyProtection="1">
      <alignment vertical="top" wrapText="1"/>
    </xf>
    <xf numFmtId="0" fontId="14" fillId="0" borderId="30" xfId="0" applyFont="1" applyFill="1" applyBorder="1" applyAlignment="1" applyProtection="1">
      <alignment horizontal="left" vertical="top" wrapText="1"/>
    </xf>
    <xf numFmtId="0" fontId="14" fillId="0" borderId="102" xfId="0" applyFont="1" applyFill="1" applyBorder="1" applyAlignment="1" applyProtection="1">
      <alignment horizontal="left" vertical="top" wrapText="1"/>
    </xf>
    <xf numFmtId="0" fontId="14" fillId="0" borderId="106" xfId="0" applyFont="1" applyFill="1" applyBorder="1" applyAlignment="1" applyProtection="1">
      <alignment horizontal="left" vertical="top" wrapText="1"/>
    </xf>
    <xf numFmtId="0" fontId="14" fillId="0" borderId="35" xfId="0" applyFont="1" applyFill="1" applyBorder="1" applyAlignment="1" applyProtection="1">
      <alignment horizontal="left" vertical="top" wrapText="1"/>
    </xf>
    <xf numFmtId="49" fontId="14" fillId="0" borderId="102" xfId="0" applyNumberFormat="1" applyFont="1" applyFill="1" applyBorder="1" applyAlignment="1" applyProtection="1">
      <alignment horizontal="left" vertical="top" wrapText="1"/>
    </xf>
    <xf numFmtId="49" fontId="14" fillId="0" borderId="106" xfId="0" applyNumberFormat="1" applyFont="1" applyFill="1" applyBorder="1" applyAlignment="1" applyProtection="1">
      <alignment horizontal="left" vertical="top" wrapText="1"/>
    </xf>
    <xf numFmtId="0" fontId="14" fillId="0" borderId="35" xfId="0" applyFont="1" applyBorder="1" applyAlignment="1" applyProtection="1">
      <alignment vertical="top" wrapText="1"/>
    </xf>
    <xf numFmtId="0" fontId="14" fillId="0" borderId="0"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14" fillId="0" borderId="96" xfId="0" applyFont="1" applyFill="1" applyBorder="1" applyAlignment="1" applyProtection="1">
      <alignment horizontal="left" vertical="top" wrapText="1"/>
    </xf>
    <xf numFmtId="0" fontId="14" fillId="0" borderId="59" xfId="0" applyFont="1" applyFill="1" applyBorder="1" applyAlignment="1" applyProtection="1">
      <alignment horizontal="left" vertical="top" wrapText="1"/>
    </xf>
    <xf numFmtId="0" fontId="14" fillId="0" borderId="102" xfId="0" applyFont="1" applyBorder="1" applyAlignment="1" applyProtection="1">
      <alignment vertical="top" wrapText="1"/>
    </xf>
    <xf numFmtId="0" fontId="14" fillId="0" borderId="106" xfId="0" applyFont="1" applyBorder="1" applyAlignment="1" applyProtection="1">
      <alignment vertical="top" wrapText="1"/>
    </xf>
    <xf numFmtId="16" fontId="14" fillId="0" borderId="96" xfId="0" applyNumberFormat="1" applyFont="1" applyFill="1" applyBorder="1" applyAlignment="1" applyProtection="1">
      <alignment horizontal="left" vertical="top" wrapText="1"/>
    </xf>
    <xf numFmtId="16" fontId="14" fillId="0" borderId="106" xfId="0" applyNumberFormat="1" applyFont="1" applyFill="1" applyBorder="1" applyAlignment="1" applyProtection="1">
      <alignment horizontal="left" vertical="top" wrapText="1"/>
    </xf>
    <xf numFmtId="17" fontId="14" fillId="0" borderId="96" xfId="0" applyNumberFormat="1" applyFont="1" applyFill="1" applyBorder="1" applyAlignment="1" applyProtection="1">
      <alignment horizontal="left" vertical="top" wrapText="1"/>
    </xf>
    <xf numFmtId="17" fontId="14" fillId="0" borderId="106" xfId="0" applyNumberFormat="1" applyFont="1" applyFill="1" applyBorder="1" applyAlignment="1" applyProtection="1">
      <alignment horizontal="left" vertical="top" wrapText="1"/>
    </xf>
    <xf numFmtId="0" fontId="14" fillId="0" borderId="30" xfId="0" applyFont="1" applyFill="1" applyBorder="1" applyAlignment="1" applyProtection="1">
      <alignment horizontal="left" vertical="top"/>
    </xf>
    <xf numFmtId="0" fontId="14" fillId="0" borderId="59" xfId="0" applyFont="1" applyBorder="1" applyAlignment="1" applyProtection="1">
      <alignment vertical="top" wrapText="1"/>
    </xf>
    <xf numFmtId="0" fontId="14" fillId="0" borderId="0" xfId="0" applyFont="1" applyAlignment="1" applyProtection="1">
      <alignment horizontal="center" vertical="top" wrapText="1"/>
      <protection locked="0"/>
    </xf>
    <xf numFmtId="0" fontId="56" fillId="0" borderId="0" xfId="0" applyFont="1" applyFill="1" applyBorder="1" applyAlignment="1">
      <alignment horizontal="right" vertical="center"/>
    </xf>
    <xf numFmtId="2" fontId="13" fillId="0" borderId="0" xfId="0" applyNumberFormat="1" applyFont="1" applyFill="1" applyBorder="1" applyAlignment="1">
      <alignment horizontal="center"/>
    </xf>
    <xf numFmtId="2" fontId="62" fillId="0" borderId="0" xfId="0" applyNumberFormat="1" applyFont="1" applyFill="1" applyBorder="1" applyAlignment="1" applyProtection="1">
      <alignment horizontal="center" wrapText="1"/>
      <protection hidden="1"/>
    </xf>
    <xf numFmtId="2" fontId="62" fillId="0" borderId="0" xfId="0" applyNumberFormat="1" applyFont="1" applyFill="1" applyBorder="1" applyAlignment="1" applyProtection="1">
      <alignment horizontal="center" vertical="top"/>
      <protection hidden="1"/>
    </xf>
    <xf numFmtId="0" fontId="65" fillId="0" borderId="0" xfId="0" applyFont="1" applyFill="1" applyBorder="1" applyProtection="1">
      <alignment vertical="top"/>
      <protection hidden="1"/>
    </xf>
    <xf numFmtId="2" fontId="67" fillId="0" borderId="0" xfId="0" applyNumberFormat="1" applyFont="1" applyFill="1" applyBorder="1" applyAlignment="1" applyProtection="1">
      <alignment horizontal="center" wrapText="1"/>
      <protection hidden="1"/>
    </xf>
    <xf numFmtId="0" fontId="59" fillId="0" borderId="0" xfId="3" applyFont="1" applyFill="1" applyBorder="1" applyProtection="1">
      <protection hidden="1"/>
    </xf>
    <xf numFmtId="1" fontId="61" fillId="0" borderId="0" xfId="3" applyNumberFormat="1" applyFont="1" applyFill="1" applyBorder="1" applyProtection="1">
      <protection hidden="1"/>
    </xf>
    <xf numFmtId="0" fontId="68" fillId="0" borderId="0" xfId="3" applyFont="1" applyFill="1" applyBorder="1" applyProtection="1">
      <protection hidden="1"/>
    </xf>
    <xf numFmtId="2" fontId="59" fillId="0" borderId="0" xfId="3" applyNumberFormat="1" applyFont="1" applyFill="1" applyBorder="1" applyProtection="1">
      <protection hidden="1"/>
    </xf>
    <xf numFmtId="0" fontId="62" fillId="0" borderId="0" xfId="0" applyFont="1" applyFill="1" applyBorder="1" applyProtection="1">
      <alignment vertical="top"/>
      <protection hidden="1"/>
    </xf>
    <xf numFmtId="0" fontId="61" fillId="0" borderId="0" xfId="0" applyFont="1" applyFill="1" applyBorder="1" applyAlignment="1" applyProtection="1">
      <alignment wrapText="1"/>
      <protection hidden="1"/>
    </xf>
    <xf numFmtId="0" fontId="61" fillId="0" borderId="0" xfId="0" applyFont="1" applyFill="1" applyBorder="1" applyAlignment="1" applyProtection="1">
      <alignment horizontal="center"/>
      <protection hidden="1"/>
    </xf>
    <xf numFmtId="0" fontId="60" fillId="0" borderId="0" xfId="0" applyFont="1" applyFill="1" applyBorder="1" applyAlignment="1" applyProtection="1">
      <protection hidden="1"/>
    </xf>
    <xf numFmtId="0" fontId="69" fillId="0" borderId="0" xfId="0" applyFont="1" applyFill="1" applyBorder="1" applyAlignment="1" applyProtection="1">
      <protection hidden="1"/>
    </xf>
    <xf numFmtId="2" fontId="62" fillId="0" borderId="0" xfId="0" applyNumberFormat="1" applyFont="1" applyFill="1" applyBorder="1" applyAlignment="1" applyProtection="1">
      <alignment horizontal="center"/>
      <protection hidden="1"/>
    </xf>
    <xf numFmtId="2" fontId="65" fillId="0" borderId="0" xfId="0" applyNumberFormat="1" applyFont="1" applyFill="1" applyBorder="1" applyProtection="1">
      <alignment vertical="top"/>
      <protection hidden="1"/>
    </xf>
    <xf numFmtId="0" fontId="70" fillId="0" borderId="0" xfId="0" applyFont="1" applyFill="1" applyBorder="1" applyAlignment="1" applyProtection="1">
      <alignment vertical="center" wrapText="1"/>
      <protection hidden="1"/>
    </xf>
    <xf numFmtId="0" fontId="69" fillId="0" borderId="0" xfId="0" applyFont="1" applyFill="1" applyBorder="1" applyProtection="1">
      <alignment vertical="top"/>
      <protection hidden="1"/>
    </xf>
    <xf numFmtId="2" fontId="69" fillId="0" borderId="0" xfId="0" applyNumberFormat="1" applyFont="1" applyFill="1" applyBorder="1" applyProtection="1">
      <alignment vertical="top"/>
      <protection hidden="1"/>
    </xf>
    <xf numFmtId="165" fontId="69" fillId="0" borderId="0" xfId="0" applyNumberFormat="1" applyFont="1" applyFill="1" applyBorder="1" applyProtection="1">
      <alignment vertical="top"/>
      <protection hidden="1"/>
    </xf>
    <xf numFmtId="0" fontId="26" fillId="0" borderId="0" xfId="0" applyFont="1" applyBorder="1" applyAlignment="1">
      <alignment vertical="top" wrapText="1"/>
    </xf>
    <xf numFmtId="0" fontId="13" fillId="0" borderId="31" xfId="0" applyFont="1" applyFill="1" applyBorder="1">
      <alignment vertical="top"/>
    </xf>
    <xf numFmtId="0" fontId="13" fillId="0" borderId="24" xfId="0" applyFont="1" applyFill="1" applyBorder="1">
      <alignment vertical="top"/>
    </xf>
    <xf numFmtId="0" fontId="13" fillId="0" borderId="95" xfId="0" applyFont="1" applyFill="1" applyBorder="1">
      <alignment vertical="top"/>
    </xf>
    <xf numFmtId="0" fontId="13" fillId="0" borderId="90" xfId="0" applyFont="1" applyFill="1" applyBorder="1">
      <alignment vertical="top"/>
    </xf>
    <xf numFmtId="2" fontId="0" fillId="0" borderId="0" xfId="0" applyNumberFormat="1" applyAlignment="1">
      <alignment horizontal="center" vertical="top"/>
    </xf>
    <xf numFmtId="49" fontId="54" fillId="15" borderId="113" xfId="2" applyNumberFormat="1" applyFont="1" applyFill="1" applyBorder="1" applyAlignment="1">
      <alignment horizontal="center" vertical="center" wrapText="1"/>
    </xf>
    <xf numFmtId="2" fontId="60" fillId="0" borderId="0" xfId="0" applyNumberFormat="1" applyFont="1">
      <alignment vertical="top"/>
    </xf>
    <xf numFmtId="1" fontId="18" fillId="7" borderId="26" xfId="1" applyNumberFormat="1" applyFont="1" applyFill="1" applyBorder="1" applyAlignment="1" applyProtection="1">
      <alignment vertical="center"/>
      <protection locked="0"/>
    </xf>
    <xf numFmtId="2" fontId="18" fillId="7" borderId="40" xfId="1" applyNumberFormat="1" applyFont="1" applyFill="1" applyBorder="1" applyAlignment="1" applyProtection="1">
      <alignment vertical="center"/>
      <protection locked="0"/>
    </xf>
    <xf numFmtId="2" fontId="18" fillId="7" borderId="26" xfId="1" applyNumberFormat="1" applyFont="1" applyFill="1" applyBorder="1" applyAlignment="1" applyProtection="1">
      <alignment vertical="center"/>
      <protection locked="0"/>
    </xf>
    <xf numFmtId="49" fontId="54" fillId="0" borderId="105" xfId="2" applyNumberFormat="1" applyFont="1" applyBorder="1" applyAlignment="1" applyProtection="1">
      <alignment horizontal="center" vertical="center" wrapText="1"/>
      <protection locked="0"/>
    </xf>
    <xf numFmtId="1" fontId="55" fillId="0" borderId="105" xfId="2" applyNumberFormat="1" applyFont="1" applyBorder="1" applyAlignment="1" applyProtection="1">
      <alignment horizontal="center" vertical="center"/>
      <protection locked="0"/>
    </xf>
    <xf numFmtId="1" fontId="18" fillId="7" borderId="41" xfId="1" applyNumberFormat="1" applyFont="1" applyFill="1" applyBorder="1" applyAlignment="1">
      <alignment horizontal="center" vertical="center"/>
    </xf>
    <xf numFmtId="49" fontId="54" fillId="15" borderId="105" xfId="2" applyNumberFormat="1" applyFont="1" applyFill="1" applyBorder="1" applyAlignment="1">
      <alignment horizontal="center" vertical="center" wrapText="1"/>
    </xf>
    <xf numFmtId="0" fontId="54" fillId="15" borderId="105" xfId="2" applyFont="1" applyFill="1" applyBorder="1" applyAlignment="1" applyProtection="1">
      <alignment horizontal="center" vertical="center" wrapText="1"/>
      <protection locked="0"/>
    </xf>
    <xf numFmtId="1" fontId="14" fillId="7" borderId="41" xfId="1" applyNumberFormat="1" applyFont="1" applyFill="1" applyBorder="1" applyAlignment="1">
      <alignment horizontal="center" vertical="center"/>
    </xf>
    <xf numFmtId="2" fontId="13" fillId="11" borderId="21" xfId="0" applyNumberFormat="1" applyFont="1" applyFill="1" applyBorder="1" applyAlignment="1" applyProtection="1">
      <alignment horizontal="center" vertical="top"/>
      <protection hidden="1"/>
    </xf>
    <xf numFmtId="2" fontId="13" fillId="0" borderId="0" xfId="0" applyNumberFormat="1" applyFont="1" applyFill="1" applyBorder="1" applyProtection="1">
      <alignment vertical="top"/>
      <protection hidden="1"/>
    </xf>
    <xf numFmtId="2" fontId="19" fillId="0" borderId="0" xfId="0" applyNumberFormat="1" applyFont="1" applyFill="1" applyBorder="1" applyProtection="1">
      <alignment vertical="top"/>
      <protection hidden="1"/>
    </xf>
    <xf numFmtId="0" fontId="53" fillId="0" borderId="0" xfId="3" applyFont="1" applyFill="1" applyBorder="1" applyProtection="1">
      <protection hidden="1"/>
    </xf>
    <xf numFmtId="0" fontId="18" fillId="0" borderId="0" xfId="0" applyFont="1" applyFill="1" applyBorder="1" applyAlignment="1" applyProtection="1">
      <protection hidden="1"/>
    </xf>
    <xf numFmtId="0" fontId="13" fillId="0" borderId="0" xfId="0" applyFont="1" applyFill="1" applyBorder="1" applyProtection="1">
      <alignment vertical="top"/>
      <protection hidden="1"/>
    </xf>
    <xf numFmtId="1" fontId="14" fillId="0" borderId="116" xfId="0" applyNumberFormat="1" applyFont="1" applyFill="1" applyBorder="1" applyAlignment="1" applyProtection="1">
      <alignment horizontal="left" vertical="top" wrapText="1"/>
    </xf>
    <xf numFmtId="0" fontId="14" fillId="0" borderId="116" xfId="0" applyFont="1" applyBorder="1" applyAlignment="1" applyProtection="1">
      <alignment vertical="top" wrapText="1"/>
    </xf>
    <xf numFmtId="0" fontId="46" fillId="0" borderId="0" xfId="0" applyFont="1" applyFill="1" applyBorder="1" applyAlignment="1">
      <alignment vertical="top"/>
    </xf>
    <xf numFmtId="0" fontId="14" fillId="0" borderId="116" xfId="0" applyFont="1" applyFill="1" applyBorder="1" applyAlignment="1" applyProtection="1">
      <alignment horizontal="left" vertical="top" wrapText="1"/>
    </xf>
    <xf numFmtId="49" fontId="14" fillId="0" borderId="111" xfId="0" applyNumberFormat="1" applyFont="1" applyBorder="1" applyAlignment="1">
      <alignment horizontal="left" vertical="top" wrapText="1"/>
    </xf>
    <xf numFmtId="1" fontId="14" fillId="2" borderId="109" xfId="0" applyNumberFormat="1" applyFont="1" applyFill="1" applyBorder="1" applyAlignment="1">
      <alignment horizontal="center" vertical="top" wrapText="1"/>
    </xf>
    <xf numFmtId="2" fontId="14" fillId="2" borderId="109" xfId="0" applyNumberFormat="1" applyFont="1" applyFill="1" applyBorder="1" applyAlignment="1">
      <alignment horizontal="center" vertical="top" wrapText="1"/>
    </xf>
    <xf numFmtId="1" fontId="14" fillId="2" borderId="100" xfId="0" applyNumberFormat="1" applyFont="1" applyFill="1" applyBorder="1" applyAlignment="1">
      <alignment horizontal="center" vertical="top" wrapText="1"/>
    </xf>
    <xf numFmtId="2" fontId="14" fillId="2" borderId="100" xfId="0" applyNumberFormat="1" applyFont="1" applyFill="1" applyBorder="1" applyAlignment="1">
      <alignment horizontal="center" vertical="top" wrapText="1"/>
    </xf>
    <xf numFmtId="49" fontId="14" fillId="0" borderId="105" xfId="0" applyNumberFormat="1" applyFont="1" applyFill="1" applyBorder="1" applyAlignment="1">
      <alignment horizontal="left" vertical="top" wrapText="1"/>
    </xf>
    <xf numFmtId="49" fontId="14" fillId="0" borderId="101" xfId="0" applyNumberFormat="1" applyFont="1" applyFill="1" applyBorder="1" applyAlignment="1">
      <alignment horizontal="left" vertical="top" wrapText="1"/>
    </xf>
    <xf numFmtId="49" fontId="14" fillId="0" borderId="116" xfId="0" applyNumberFormat="1" applyFont="1" applyFill="1" applyBorder="1" applyAlignment="1">
      <alignment horizontal="left" vertical="top" wrapText="1"/>
    </xf>
    <xf numFmtId="49" fontId="14" fillId="0" borderId="44" xfId="0" applyNumberFormat="1" applyFont="1" applyFill="1" applyBorder="1" applyAlignment="1">
      <alignment horizontal="left" vertical="top" wrapText="1"/>
    </xf>
    <xf numFmtId="2" fontId="14" fillId="2" borderId="43" xfId="0" applyNumberFormat="1" applyFont="1" applyFill="1" applyBorder="1" applyAlignment="1">
      <alignment horizontal="center" vertical="top" wrapText="1"/>
    </xf>
    <xf numFmtId="2" fontId="14" fillId="8" borderId="109" xfId="0" applyNumberFormat="1" applyFont="1" applyFill="1" applyBorder="1" applyAlignment="1">
      <alignment horizontal="center" vertical="top" wrapText="1"/>
    </xf>
    <xf numFmtId="1" fontId="14" fillId="8" borderId="101" xfId="0" applyNumberFormat="1" applyFont="1" applyFill="1" applyBorder="1" applyAlignment="1">
      <alignment horizontal="center" vertical="top" wrapText="1"/>
    </xf>
    <xf numFmtId="49" fontId="15" fillId="9" borderId="27" xfId="0" applyNumberFormat="1" applyFont="1" applyFill="1" applyBorder="1" applyAlignment="1">
      <alignment horizontal="center" vertical="center" wrapText="1"/>
    </xf>
    <xf numFmtId="0" fontId="14" fillId="0" borderId="100" xfId="0" applyFont="1" applyFill="1" applyBorder="1" applyAlignment="1">
      <alignment vertical="top" wrapText="1"/>
    </xf>
    <xf numFmtId="0" fontId="14" fillId="0" borderId="100" xfId="0" applyFont="1" applyFill="1" applyBorder="1" applyAlignment="1">
      <alignment horizontal="center" vertical="top" wrapText="1"/>
    </xf>
    <xf numFmtId="1" fontId="14" fillId="2" borderId="105" xfId="0" applyNumberFormat="1" applyFont="1" applyFill="1" applyBorder="1" applyAlignment="1">
      <alignment horizontal="center" vertical="top" wrapText="1"/>
    </xf>
    <xf numFmtId="1" fontId="14" fillId="2" borderId="102" xfId="0" applyNumberFormat="1" applyFont="1" applyFill="1" applyBorder="1" applyAlignment="1">
      <alignment horizontal="center" vertical="top" wrapText="1"/>
    </xf>
    <xf numFmtId="1" fontId="14" fillId="2" borderId="101" xfId="0" applyNumberFormat="1" applyFont="1" applyFill="1" applyBorder="1" applyAlignment="1">
      <alignment horizontal="center" vertical="top" wrapText="1"/>
    </xf>
    <xf numFmtId="0" fontId="14" fillId="0" borderId="100" xfId="0" applyFont="1" applyBorder="1" applyAlignment="1">
      <alignment horizontal="center" vertical="top" wrapText="1"/>
    </xf>
    <xf numFmtId="0" fontId="14" fillId="0" borderId="100" xfId="0" applyFont="1" applyBorder="1" applyAlignment="1">
      <alignment horizontal="left" vertical="top" wrapText="1"/>
    </xf>
    <xf numFmtId="0" fontId="15" fillId="9" borderId="20" xfId="0" applyFont="1" applyFill="1" applyBorder="1" applyAlignment="1">
      <alignment horizontal="center" vertical="center" wrapText="1"/>
    </xf>
    <xf numFmtId="0" fontId="15" fillId="9" borderId="59" xfId="0" applyFont="1" applyFill="1" applyBorder="1" applyAlignment="1">
      <alignment horizontal="center" vertical="center" wrapText="1"/>
    </xf>
    <xf numFmtId="1" fontId="15" fillId="9" borderId="20" xfId="0" applyNumberFormat="1" applyFont="1" applyFill="1" applyBorder="1" applyAlignment="1" applyProtection="1">
      <alignment horizontal="center" vertical="center" wrapText="1"/>
      <protection hidden="1"/>
    </xf>
    <xf numFmtId="0" fontId="15" fillId="9" borderId="59" xfId="0" applyFont="1" applyFill="1" applyBorder="1" applyAlignment="1" applyProtection="1">
      <alignment horizontal="center" vertical="center" wrapText="1"/>
      <protection hidden="1"/>
    </xf>
    <xf numFmtId="2" fontId="15" fillId="9" borderId="31" xfId="0" applyNumberFormat="1" applyFont="1" applyFill="1" applyBorder="1" applyAlignment="1" applyProtection="1">
      <alignment horizontal="center" vertical="center" wrapText="1"/>
    </xf>
    <xf numFmtId="2" fontId="14" fillId="2" borderId="109" xfId="0" applyNumberFormat="1" applyFont="1" applyFill="1" applyBorder="1" applyAlignment="1">
      <alignment horizontal="center" vertical="top"/>
    </xf>
    <xf numFmtId="2" fontId="14" fillId="2" borderId="100" xfId="0" applyNumberFormat="1" applyFont="1" applyFill="1" applyBorder="1" applyAlignment="1">
      <alignment horizontal="center" vertical="top"/>
    </xf>
    <xf numFmtId="49" fontId="47" fillId="0" borderId="100" xfId="0" applyNumberFormat="1" applyFont="1" applyFill="1" applyBorder="1" applyAlignment="1">
      <alignment horizontal="center" vertical="top" wrapText="1"/>
    </xf>
    <xf numFmtId="0" fontId="14" fillId="0" borderId="111" xfId="0" applyFont="1" applyFill="1" applyBorder="1" applyAlignment="1">
      <alignment vertical="top" wrapText="1"/>
    </xf>
    <xf numFmtId="1" fontId="14" fillId="2" borderId="100" xfId="0" applyNumberFormat="1" applyFont="1" applyFill="1" applyBorder="1" applyAlignment="1">
      <alignment horizontal="center" vertical="top"/>
    </xf>
    <xf numFmtId="1" fontId="14" fillId="2" borderId="102" xfId="0" applyNumberFormat="1" applyFont="1" applyFill="1" applyBorder="1" applyAlignment="1">
      <alignment horizontal="center" vertical="top"/>
    </xf>
    <xf numFmtId="0" fontId="51" fillId="9" borderId="20" xfId="0" applyFont="1" applyFill="1" applyBorder="1" applyAlignment="1">
      <alignment horizontal="center" vertical="center" wrapText="1"/>
    </xf>
    <xf numFmtId="1" fontId="47" fillId="0" borderId="100" xfId="0" applyNumberFormat="1" applyFont="1" applyFill="1" applyBorder="1" applyAlignment="1">
      <alignment horizontal="center" vertical="top" wrapText="1"/>
    </xf>
    <xf numFmtId="49" fontId="14" fillId="0" borderId="100" xfId="0" applyNumberFormat="1" applyFont="1" applyFill="1" applyBorder="1" applyAlignment="1">
      <alignment horizontal="center" vertical="top" wrapText="1"/>
    </xf>
    <xf numFmtId="0" fontId="18" fillId="4" borderId="0" xfId="0" applyFont="1" applyFill="1" applyAlignment="1"/>
    <xf numFmtId="0" fontId="14" fillId="8" borderId="105" xfId="0" applyFont="1" applyFill="1" applyBorder="1" applyAlignment="1">
      <alignment horizontal="center" vertical="top" wrapText="1"/>
    </xf>
    <xf numFmtId="0" fontId="14" fillId="8" borderId="100" xfId="0" applyFont="1" applyFill="1" applyBorder="1" applyAlignment="1">
      <alignment horizontal="center" vertical="top" wrapText="1"/>
    </xf>
    <xf numFmtId="0" fontId="14" fillId="8" borderId="113" xfId="0" applyFont="1" applyFill="1" applyBorder="1" applyAlignment="1">
      <alignment horizontal="center" vertical="top" wrapText="1"/>
    </xf>
    <xf numFmtId="0" fontId="15" fillId="9" borderId="31" xfId="0" applyFont="1" applyFill="1" applyBorder="1" applyAlignment="1">
      <alignment horizontal="center" vertical="center" wrapText="1"/>
    </xf>
    <xf numFmtId="0" fontId="14" fillId="8" borderId="101" xfId="0" applyFont="1" applyFill="1" applyBorder="1" applyAlignment="1">
      <alignment horizontal="center" vertical="top" wrapText="1"/>
    </xf>
    <xf numFmtId="2" fontId="14" fillId="8" borderId="104" xfId="0" applyNumberFormat="1" applyFont="1" applyFill="1" applyBorder="1" applyAlignment="1">
      <alignment horizontal="center" vertical="top" wrapText="1"/>
    </xf>
    <xf numFmtId="2" fontId="14" fillId="2" borderId="104" xfId="0" applyNumberFormat="1" applyFont="1" applyFill="1" applyBorder="1" applyAlignment="1">
      <alignment horizontal="center" vertical="top"/>
    </xf>
    <xf numFmtId="2" fontId="14" fillId="3" borderId="40" xfId="0" applyNumberFormat="1" applyFont="1" applyFill="1" applyBorder="1" applyAlignment="1">
      <alignment horizontal="center" vertical="top" wrapText="1"/>
    </xf>
    <xf numFmtId="0" fontId="14" fillId="0" borderId="111" xfId="0" applyFont="1" applyFill="1" applyBorder="1" applyAlignment="1">
      <alignment horizontal="left" vertical="top" wrapText="1"/>
    </xf>
    <xf numFmtId="1" fontId="14" fillId="0" borderId="100" xfId="0" applyNumberFormat="1" applyFont="1" applyFill="1" applyBorder="1" applyAlignment="1">
      <alignment horizontal="center" vertical="top" wrapText="1"/>
    </xf>
    <xf numFmtId="1" fontId="14" fillId="2" borderId="114" xfId="0" applyNumberFormat="1" applyFont="1" applyFill="1" applyBorder="1" applyAlignment="1" applyProtection="1">
      <alignment horizontal="center" vertical="top" wrapText="1"/>
      <protection hidden="1"/>
    </xf>
    <xf numFmtId="0" fontId="14" fillId="2" borderId="114" xfId="0" applyFont="1" applyFill="1" applyBorder="1" applyAlignment="1" applyProtection="1">
      <alignment horizontal="center" vertical="top" wrapText="1"/>
      <protection hidden="1"/>
    </xf>
    <xf numFmtId="2" fontId="14" fillId="12" borderId="99" xfId="0" applyNumberFormat="1" applyFont="1" applyFill="1" applyBorder="1" applyAlignment="1">
      <alignment horizontal="center" vertical="top" wrapText="1"/>
    </xf>
    <xf numFmtId="0" fontId="52" fillId="0" borderId="116" xfId="0" applyNumberFormat="1" applyFont="1" applyFill="1" applyBorder="1" applyAlignment="1">
      <alignment horizontal="left" vertical="top" wrapText="1"/>
    </xf>
    <xf numFmtId="0" fontId="14" fillId="0" borderId="101" xfId="0" applyFont="1" applyBorder="1" applyAlignment="1">
      <alignment horizontal="left" vertical="top" wrapText="1"/>
    </xf>
    <xf numFmtId="0" fontId="14" fillId="0" borderId="116" xfId="0" applyFont="1" applyBorder="1" applyAlignment="1">
      <alignment horizontal="left" vertical="top" wrapText="1"/>
    </xf>
    <xf numFmtId="2" fontId="14" fillId="8" borderId="113" xfId="0" applyNumberFormat="1" applyFont="1" applyFill="1" applyBorder="1" applyAlignment="1">
      <alignment horizontal="center" vertical="top" wrapText="1"/>
    </xf>
    <xf numFmtId="1" fontId="14" fillId="8" borderId="100" xfId="0" applyNumberFormat="1" applyFont="1" applyFill="1" applyBorder="1" applyAlignment="1">
      <alignment horizontal="center" vertical="top"/>
    </xf>
    <xf numFmtId="0" fontId="14" fillId="0" borderId="101" xfId="0" applyFont="1" applyFill="1" applyBorder="1" applyAlignment="1">
      <alignment horizontal="center" vertical="top" wrapText="1"/>
    </xf>
    <xf numFmtId="1" fontId="14" fillId="0" borderId="105" xfId="0" applyNumberFormat="1" applyFont="1" applyBorder="1" applyAlignment="1">
      <alignment horizontal="center" vertical="top" wrapText="1"/>
    </xf>
    <xf numFmtId="1" fontId="14" fillId="2" borderId="113" xfId="0" applyNumberFormat="1" applyFont="1" applyFill="1" applyBorder="1" applyAlignment="1">
      <alignment horizontal="center" vertical="top"/>
    </xf>
    <xf numFmtId="2" fontId="14" fillId="2" borderId="104" xfId="0" applyNumberFormat="1" applyFont="1" applyFill="1" applyBorder="1" applyAlignment="1">
      <alignment horizontal="center" vertical="top" wrapText="1"/>
    </xf>
    <xf numFmtId="1" fontId="14" fillId="0" borderId="44" xfId="0" applyNumberFormat="1" applyFont="1" applyBorder="1" applyAlignment="1">
      <alignment horizontal="center" vertical="top" wrapText="1"/>
    </xf>
    <xf numFmtId="1" fontId="14" fillId="2" borderId="113" xfId="0" applyNumberFormat="1" applyFont="1" applyFill="1" applyBorder="1" applyAlignment="1">
      <alignment horizontal="center" vertical="top" wrapText="1"/>
    </xf>
    <xf numFmtId="1" fontId="14" fillId="0" borderId="100" xfId="0" applyNumberFormat="1" applyFont="1" applyBorder="1" applyAlignment="1">
      <alignment horizontal="center" vertical="top" wrapText="1"/>
    </xf>
    <xf numFmtId="0" fontId="14" fillId="2" borderId="100" xfId="0" applyNumberFormat="1" applyFont="1" applyFill="1" applyBorder="1" applyAlignment="1">
      <alignment horizontal="center" vertical="top" wrapText="1"/>
    </xf>
    <xf numFmtId="0" fontId="14" fillId="0" borderId="111" xfId="0" applyFont="1" applyBorder="1" applyAlignment="1">
      <alignment vertical="top" wrapText="1"/>
    </xf>
    <xf numFmtId="49" fontId="14" fillId="0" borderId="101" xfId="0" applyNumberFormat="1" applyFont="1" applyFill="1" applyBorder="1" applyAlignment="1">
      <alignment horizontal="center" vertical="top" wrapText="1"/>
    </xf>
    <xf numFmtId="49" fontId="14" fillId="0" borderId="105" xfId="0" applyNumberFormat="1" applyFont="1" applyFill="1" applyBorder="1" applyAlignment="1">
      <alignment horizontal="center" vertical="top" wrapText="1"/>
    </xf>
    <xf numFmtId="49" fontId="14" fillId="0" borderId="44" xfId="0" applyNumberFormat="1" applyFont="1" applyFill="1" applyBorder="1" applyAlignment="1">
      <alignment horizontal="center" vertical="top" wrapText="1"/>
    </xf>
    <xf numFmtId="2" fontId="14" fillId="3" borderId="116" xfId="0" applyNumberFormat="1" applyFont="1" applyFill="1" applyBorder="1" applyAlignment="1">
      <alignment horizontal="center" vertical="top" wrapText="1"/>
    </xf>
    <xf numFmtId="1" fontId="14" fillId="0" borderId="102" xfId="0" applyNumberFormat="1" applyFont="1" applyBorder="1" applyAlignment="1">
      <alignment horizontal="left" vertical="top" wrapText="1"/>
    </xf>
    <xf numFmtId="1" fontId="14" fillId="0" borderId="10" xfId="0" applyNumberFormat="1" applyFont="1" applyBorder="1" applyAlignment="1">
      <alignment horizontal="left" vertical="top" wrapText="1"/>
    </xf>
    <xf numFmtId="1" fontId="14" fillId="2" borderId="53" xfId="0" applyNumberFormat="1" applyFont="1" applyFill="1" applyBorder="1" applyAlignment="1">
      <alignment horizontal="center" vertical="top" wrapText="1"/>
    </xf>
    <xf numFmtId="0" fontId="47" fillId="0" borderId="100" xfId="0" applyFont="1" applyFill="1" applyBorder="1" applyAlignment="1">
      <alignment horizontal="center" vertical="top" wrapText="1"/>
    </xf>
    <xf numFmtId="0" fontId="14" fillId="0" borderId="87" xfId="0" applyFont="1" applyFill="1" applyBorder="1" applyAlignment="1">
      <alignment horizontal="center" vertical="top" wrapText="1"/>
    </xf>
    <xf numFmtId="2" fontId="47" fillId="0" borderId="73" xfId="0" applyNumberFormat="1" applyFont="1" applyFill="1" applyBorder="1" applyAlignment="1">
      <alignment horizontal="center" vertical="top" wrapText="1"/>
    </xf>
    <xf numFmtId="0" fontId="14" fillId="0" borderId="116" xfId="0" applyFont="1" applyFill="1" applyBorder="1" applyAlignment="1">
      <alignment horizontal="left" vertical="top" wrapText="1"/>
    </xf>
    <xf numFmtId="0" fontId="14" fillId="0" borderId="111" xfId="0" applyFont="1" applyFill="1" applyBorder="1" applyAlignment="1">
      <alignment horizontal="center" vertical="top" wrapText="1"/>
    </xf>
    <xf numFmtId="2" fontId="14" fillId="0" borderId="43" xfId="0" applyNumberFormat="1" applyFont="1" applyFill="1" applyBorder="1" applyAlignment="1">
      <alignment horizontal="center" vertical="top" wrapText="1"/>
    </xf>
    <xf numFmtId="0" fontId="14" fillId="0" borderId="116" xfId="0" applyFont="1" applyFill="1" applyBorder="1" applyAlignment="1">
      <alignment vertical="top" wrapText="1"/>
    </xf>
    <xf numFmtId="0" fontId="14" fillId="0" borderId="105" xfId="0" applyNumberFormat="1" applyFont="1" applyFill="1" applyBorder="1" applyAlignment="1">
      <alignment horizontal="center" vertical="top" wrapText="1"/>
    </xf>
    <xf numFmtId="0" fontId="14" fillId="0" borderId="112" xfId="0" applyNumberFormat="1" applyFont="1" applyFill="1" applyBorder="1" applyAlignment="1">
      <alignment horizontal="left" vertical="top" wrapText="1"/>
    </xf>
    <xf numFmtId="0" fontId="47" fillId="0" borderId="116" xfId="0" applyFont="1" applyFill="1" applyBorder="1" applyAlignment="1">
      <alignment vertical="top" wrapText="1"/>
    </xf>
    <xf numFmtId="1" fontId="14" fillId="2" borderId="99" xfId="0" applyNumberFormat="1" applyFont="1" applyFill="1" applyBorder="1" applyAlignment="1">
      <alignment horizontal="center" vertical="top" wrapText="1"/>
    </xf>
    <xf numFmtId="1" fontId="47" fillId="0" borderId="100" xfId="0" applyNumberFormat="1" applyFont="1" applyBorder="1" applyAlignment="1">
      <alignment horizontal="center" vertical="top" wrapText="1"/>
    </xf>
    <xf numFmtId="0" fontId="14" fillId="0" borderId="110" xfId="0" applyFont="1" applyFill="1" applyBorder="1" applyAlignment="1" applyProtection="1">
      <alignment horizontal="left" vertical="top" wrapText="1"/>
    </xf>
    <xf numFmtId="1" fontId="14" fillId="2" borderId="101" xfId="0" applyNumberFormat="1" applyFont="1" applyFill="1" applyBorder="1" applyAlignment="1">
      <alignment horizontal="center" vertical="top"/>
    </xf>
    <xf numFmtId="1" fontId="47" fillId="0" borderId="111" xfId="0" applyNumberFormat="1" applyFont="1" applyFill="1" applyBorder="1" applyAlignment="1">
      <alignment vertical="top" wrapText="1"/>
    </xf>
    <xf numFmtId="1" fontId="47" fillId="0" borderId="73" xfId="0" applyNumberFormat="1" applyFont="1" applyFill="1" applyBorder="1" applyAlignment="1">
      <alignment horizontal="center" vertical="top" wrapText="1"/>
    </xf>
    <xf numFmtId="1" fontId="47" fillId="0" borderId="44" xfId="0" applyNumberFormat="1" applyFont="1" applyFill="1" applyBorder="1" applyAlignment="1">
      <alignment vertical="top" wrapText="1"/>
    </xf>
    <xf numFmtId="2" fontId="47" fillId="0" borderId="101" xfId="0" applyNumberFormat="1" applyFont="1" applyBorder="1" applyAlignment="1">
      <alignment vertical="top" wrapText="1"/>
    </xf>
    <xf numFmtId="2" fontId="47" fillId="0" borderId="105" xfId="0" applyNumberFormat="1" applyFont="1" applyBorder="1" applyAlignment="1">
      <alignment vertical="top" wrapText="1"/>
    </xf>
    <xf numFmtId="2" fontId="47" fillId="0" borderId="40" xfId="0" applyNumberFormat="1" applyFont="1" applyFill="1" applyBorder="1" applyAlignment="1">
      <alignment horizontal="left" vertical="top" wrapText="1"/>
    </xf>
    <xf numFmtId="1" fontId="14" fillId="11" borderId="116" xfId="0" applyNumberFormat="1" applyFont="1" applyFill="1" applyBorder="1" applyAlignment="1" applyProtection="1">
      <alignment vertical="top" wrapText="1"/>
      <protection hidden="1"/>
    </xf>
    <xf numFmtId="2" fontId="14" fillId="12" borderId="99" xfId="0" applyNumberFormat="1" applyFont="1" applyFill="1" applyBorder="1" applyAlignment="1">
      <alignment horizontal="center" vertical="top"/>
    </xf>
    <xf numFmtId="0" fontId="47" fillId="0" borderId="116" xfId="0" applyFont="1" applyBorder="1" applyAlignment="1">
      <alignment horizontal="left" vertical="top" wrapText="1"/>
    </xf>
    <xf numFmtId="2" fontId="14" fillId="9" borderId="47" xfId="0" applyNumberFormat="1" applyFont="1" applyFill="1" applyBorder="1" applyAlignment="1">
      <alignment horizontal="center" vertical="top" wrapText="1"/>
    </xf>
    <xf numFmtId="0" fontId="14" fillId="2" borderId="100" xfId="0" applyFont="1" applyFill="1" applyBorder="1" applyAlignment="1">
      <alignment horizontal="center" vertical="top" wrapText="1"/>
    </xf>
    <xf numFmtId="0" fontId="14" fillId="0" borderId="105" xfId="0" applyFont="1" applyBorder="1" applyAlignment="1">
      <alignment horizontal="left" vertical="top" wrapText="1"/>
    </xf>
    <xf numFmtId="0" fontId="49" fillId="0" borderId="116" xfId="0" applyFont="1" applyBorder="1" applyAlignment="1">
      <alignment horizontal="center" vertical="top" wrapText="1"/>
    </xf>
    <xf numFmtId="0" fontId="47" fillId="0" borderId="118" xfId="0" applyFont="1" applyBorder="1" applyAlignment="1">
      <alignment vertical="top" wrapText="1"/>
    </xf>
    <xf numFmtId="0" fontId="47" fillId="0" borderId="112" xfId="0" applyFont="1" applyBorder="1" applyAlignment="1">
      <alignment vertical="top" wrapText="1"/>
    </xf>
    <xf numFmtId="0" fontId="47" fillId="0" borderId="112" xfId="0" applyNumberFormat="1" applyFont="1" applyBorder="1" applyAlignment="1">
      <alignment vertical="top" wrapText="1"/>
    </xf>
    <xf numFmtId="0" fontId="14" fillId="0" borderId="112" xfId="0" applyFont="1" applyFill="1" applyBorder="1" applyAlignment="1">
      <alignment vertical="top" wrapText="1"/>
    </xf>
    <xf numFmtId="0" fontId="17" fillId="0" borderId="20" xfId="0" applyFont="1" applyBorder="1" applyAlignment="1">
      <alignment horizontal="center" vertical="center" wrapText="1"/>
    </xf>
    <xf numFmtId="0" fontId="14" fillId="0" borderId="118" xfId="0" applyFont="1" applyBorder="1" applyAlignment="1">
      <alignment horizontal="left" vertical="top" wrapText="1"/>
    </xf>
    <xf numFmtId="0" fontId="14" fillId="0" borderId="112" xfId="0" applyNumberFormat="1" applyFont="1" applyBorder="1" applyAlignment="1">
      <alignment horizontal="left" vertical="top" wrapText="1"/>
    </xf>
    <xf numFmtId="0" fontId="14" fillId="0" borderId="112" xfId="0" applyNumberFormat="1" applyFont="1" applyFill="1" applyBorder="1" applyAlignment="1">
      <alignment vertical="top" wrapText="1"/>
    </xf>
    <xf numFmtId="0" fontId="14" fillId="0" borderId="112" xfId="0" applyFont="1" applyBorder="1" applyAlignment="1">
      <alignment vertical="top" wrapText="1"/>
    </xf>
    <xf numFmtId="0" fontId="17" fillId="0" borderId="116" xfId="0" applyFont="1" applyFill="1" applyBorder="1" applyAlignment="1">
      <alignment horizontal="center" vertical="center" wrapText="1"/>
    </xf>
    <xf numFmtId="0" fontId="17" fillId="0" borderId="116" xfId="0" applyFont="1" applyBorder="1" applyAlignment="1">
      <alignment horizontal="center" vertical="top" wrapText="1"/>
    </xf>
    <xf numFmtId="0" fontId="14" fillId="0" borderId="118" xfId="0" applyFont="1" applyBorder="1" applyAlignment="1">
      <alignment vertical="top" wrapText="1"/>
    </xf>
    <xf numFmtId="0" fontId="14" fillId="0" borderId="59" xfId="0" applyFont="1" applyBorder="1" applyAlignment="1">
      <alignment vertical="top" wrapText="1"/>
    </xf>
    <xf numFmtId="0" fontId="14" fillId="0" borderId="116" xfId="1" applyFont="1" applyBorder="1" applyAlignment="1" applyProtection="1">
      <alignment vertical="top" wrapText="1"/>
    </xf>
    <xf numFmtId="0" fontId="14" fillId="0" borderId="116" xfId="1" applyFont="1" applyFill="1" applyBorder="1" applyAlignment="1">
      <alignment horizontal="left" vertical="top" wrapText="1"/>
    </xf>
    <xf numFmtId="0" fontId="15" fillId="0" borderId="116" xfId="0" applyFont="1" applyFill="1" applyBorder="1" applyAlignment="1">
      <alignment horizontal="center" vertical="center" wrapText="1"/>
    </xf>
    <xf numFmtId="1" fontId="14" fillId="0" borderId="116" xfId="0" applyNumberFormat="1" applyFont="1" applyFill="1" applyBorder="1" applyAlignment="1" applyProtection="1">
      <alignment horizontal="left" vertical="top" wrapText="1"/>
      <protection hidden="1"/>
    </xf>
    <xf numFmtId="0" fontId="49" fillId="0" borderId="116" xfId="0" applyFont="1" applyBorder="1" applyAlignment="1">
      <alignment horizontal="center" vertical="center" wrapText="1"/>
    </xf>
    <xf numFmtId="0" fontId="47" fillId="0" borderId="112" xfId="0" applyNumberFormat="1" applyFont="1" applyFill="1" applyBorder="1" applyAlignment="1">
      <alignment vertical="top" wrapText="1"/>
    </xf>
    <xf numFmtId="0" fontId="47" fillId="0" borderId="107" xfId="0" applyNumberFormat="1" applyFont="1" applyBorder="1" applyAlignment="1">
      <alignment vertical="top" wrapText="1"/>
    </xf>
    <xf numFmtId="0" fontId="51" fillId="0" borderId="20" xfId="0" applyFont="1" applyFill="1" applyBorder="1" applyAlignment="1">
      <alignment horizontal="center" vertical="top" wrapText="1"/>
    </xf>
    <xf numFmtId="1" fontId="14" fillId="0" borderId="116" xfId="0" applyNumberFormat="1" applyFont="1" applyFill="1" applyBorder="1" applyAlignment="1" applyProtection="1">
      <alignment horizontal="left" vertical="center" wrapText="1"/>
      <protection hidden="1"/>
    </xf>
    <xf numFmtId="0" fontId="14" fillId="0" borderId="107" xfId="0" applyFont="1" applyFill="1" applyBorder="1" applyAlignment="1">
      <alignment horizontal="left" vertical="top" wrapText="1"/>
    </xf>
    <xf numFmtId="0" fontId="47" fillId="0" borderId="116" xfId="0" applyFont="1" applyBorder="1" applyAlignment="1">
      <alignment vertical="top" wrapText="1"/>
    </xf>
    <xf numFmtId="0" fontId="47" fillId="0" borderId="116" xfId="0" applyFont="1" applyFill="1" applyBorder="1" applyAlignment="1">
      <alignment horizontal="left" vertical="top" wrapText="1"/>
    </xf>
    <xf numFmtId="0" fontId="52" fillId="0" borderId="116" xfId="0" applyFont="1" applyFill="1" applyBorder="1" applyAlignment="1">
      <alignment horizontal="left" vertical="top" wrapText="1"/>
    </xf>
    <xf numFmtId="49" fontId="47" fillId="0" borderId="112" xfId="0" applyNumberFormat="1" applyFont="1" applyBorder="1" applyAlignment="1">
      <alignment vertical="top" wrapText="1"/>
    </xf>
    <xf numFmtId="0" fontId="47" fillId="0" borderId="116" xfId="0" applyFont="1" applyBorder="1" applyAlignment="1">
      <alignment horizontal="left" vertical="top"/>
    </xf>
    <xf numFmtId="0" fontId="17" fillId="0" borderId="20" xfId="0" applyFont="1" applyFill="1" applyBorder="1" applyAlignment="1">
      <alignment horizontal="center" vertical="center" wrapText="1"/>
    </xf>
    <xf numFmtId="0" fontId="47" fillId="0" borderId="118" xfId="0" applyFont="1" applyBorder="1" applyAlignment="1">
      <alignment horizontal="left" vertical="top" wrapText="1"/>
    </xf>
    <xf numFmtId="49" fontId="47" fillId="0" borderId="112" xfId="0" applyNumberFormat="1" applyFont="1" applyBorder="1" applyAlignment="1">
      <alignment horizontal="left" vertical="top" wrapText="1"/>
    </xf>
    <xf numFmtId="0" fontId="47" fillId="0" borderId="112" xfId="0" applyFont="1" applyBorder="1" applyAlignment="1">
      <alignment horizontal="left" vertical="top" wrapText="1"/>
    </xf>
    <xf numFmtId="0" fontId="49" fillId="0" borderId="116" xfId="0" applyFont="1" applyFill="1" applyBorder="1" applyAlignment="1">
      <alignment horizontal="center" vertical="center" wrapText="1"/>
    </xf>
    <xf numFmtId="0" fontId="47" fillId="0" borderId="112" xfId="0" applyNumberFormat="1" applyFont="1" applyBorder="1" applyAlignment="1">
      <alignment horizontal="left" vertical="top" wrapText="1"/>
    </xf>
    <xf numFmtId="0" fontId="17" fillId="0" borderId="116" xfId="0" applyFont="1" applyBorder="1" applyAlignment="1">
      <alignment horizontal="center" vertical="center" wrapText="1"/>
    </xf>
    <xf numFmtId="0" fontId="15" fillId="0" borderId="106" xfId="0" applyFont="1" applyFill="1" applyBorder="1" applyAlignment="1" applyProtection="1">
      <alignment horizontal="left" vertical="top" wrapText="1"/>
    </xf>
    <xf numFmtId="0" fontId="14" fillId="0" borderId="110" xfId="0" applyFont="1" applyBorder="1" applyAlignment="1" applyProtection="1">
      <alignment vertical="top" wrapText="1"/>
    </xf>
    <xf numFmtId="17" fontId="14" fillId="0" borderId="110" xfId="0" applyNumberFormat="1" applyFont="1" applyFill="1" applyBorder="1" applyAlignment="1" applyProtection="1">
      <alignment horizontal="left" vertical="top" wrapText="1"/>
    </xf>
    <xf numFmtId="1" fontId="14" fillId="0" borderId="30" xfId="0" applyNumberFormat="1" applyFont="1" applyFill="1" applyBorder="1" applyAlignment="1" applyProtection="1">
      <alignment horizontal="left" vertical="top" wrapText="1"/>
    </xf>
    <xf numFmtId="0" fontId="14" fillId="0" borderId="111" xfId="0" applyFont="1" applyBorder="1" applyAlignment="1">
      <alignment horizontal="left" vertical="top" wrapText="1"/>
    </xf>
    <xf numFmtId="2" fontId="14" fillId="3" borderId="116" xfId="0" applyNumberFormat="1" applyFont="1" applyFill="1" applyBorder="1" applyAlignment="1">
      <alignment horizontal="center" vertical="top"/>
    </xf>
    <xf numFmtId="1" fontId="14" fillId="2" borderId="96" xfId="0" applyNumberFormat="1" applyFont="1" applyFill="1" applyBorder="1" applyAlignment="1">
      <alignment horizontal="center" vertical="top" wrapText="1"/>
    </xf>
    <xf numFmtId="1" fontId="14" fillId="2" borderId="104" xfId="0" applyNumberFormat="1" applyFont="1" applyFill="1" applyBorder="1" applyAlignment="1">
      <alignment horizontal="center" vertical="top" wrapText="1"/>
    </xf>
    <xf numFmtId="0" fontId="14" fillId="0" borderId="69" xfId="0" applyFont="1" applyFill="1" applyBorder="1" applyAlignment="1">
      <alignment horizontal="left" vertical="top" wrapText="1"/>
    </xf>
    <xf numFmtId="2" fontId="14" fillId="2" borderId="121" xfId="0" applyNumberFormat="1" applyFont="1" applyFill="1" applyBorder="1" applyAlignment="1">
      <alignment horizontal="center" vertical="top" wrapText="1"/>
    </xf>
    <xf numFmtId="0" fontId="14" fillId="0" borderId="120" xfId="0" applyFont="1" applyFill="1" applyBorder="1" applyAlignment="1">
      <alignment horizontal="left" vertical="top" wrapText="1"/>
    </xf>
    <xf numFmtId="0" fontId="14" fillId="0" borderId="116" xfId="0" applyFont="1" applyFill="1" applyBorder="1" applyAlignment="1">
      <alignment horizontal="left" vertical="top"/>
    </xf>
    <xf numFmtId="0" fontId="13" fillId="0" borderId="91" xfId="0" applyFont="1" applyFill="1" applyBorder="1">
      <alignment vertical="top"/>
    </xf>
    <xf numFmtId="0" fontId="13" fillId="0" borderId="40" xfId="0" applyFont="1" applyFill="1" applyBorder="1">
      <alignment vertical="top"/>
    </xf>
    <xf numFmtId="1" fontId="14" fillId="11" borderId="116" xfId="0" applyNumberFormat="1" applyFont="1" applyFill="1" applyBorder="1" applyAlignment="1" applyProtection="1">
      <alignment horizontal="left" vertical="top" wrapText="1"/>
      <protection hidden="1"/>
    </xf>
    <xf numFmtId="0" fontId="14" fillId="2" borderId="99" xfId="0" applyFont="1" applyFill="1" applyBorder="1" applyAlignment="1" applyProtection="1">
      <alignment horizontal="center" vertical="top" wrapText="1"/>
      <protection hidden="1"/>
    </xf>
    <xf numFmtId="0" fontId="47" fillId="0" borderId="30" xfId="0" applyFont="1" applyBorder="1" applyAlignment="1">
      <alignment horizontal="left" vertical="top"/>
    </xf>
    <xf numFmtId="0" fontId="47" fillId="0" borderId="116" xfId="0" applyFont="1" applyFill="1" applyBorder="1" applyAlignment="1">
      <alignment horizontal="left" vertical="top"/>
    </xf>
    <xf numFmtId="2" fontId="47" fillId="18" borderId="117" xfId="0" applyNumberFormat="1" applyFont="1" applyFill="1" applyBorder="1" applyAlignment="1">
      <alignment horizontal="right" vertical="top"/>
    </xf>
    <xf numFmtId="0" fontId="47" fillId="0" borderId="19" xfId="0" applyFont="1" applyFill="1" applyBorder="1" applyAlignment="1">
      <alignment horizontal="left" vertical="top"/>
    </xf>
    <xf numFmtId="0" fontId="14" fillId="0" borderId="117" xfId="0" applyFont="1" applyFill="1" applyBorder="1" applyAlignment="1" applyProtection="1">
      <alignment horizontal="left" vertical="top" wrapText="1"/>
      <protection hidden="1"/>
    </xf>
    <xf numFmtId="0" fontId="14" fillId="0" borderId="114" xfId="0" applyFont="1" applyFill="1" applyBorder="1" applyAlignment="1" applyProtection="1">
      <alignment horizontal="left" vertical="top" wrapText="1"/>
      <protection hidden="1"/>
    </xf>
    <xf numFmtId="0" fontId="47" fillId="11" borderId="116" xfId="0" applyFont="1" applyFill="1" applyBorder="1" applyAlignment="1">
      <alignment horizontal="left" vertical="top"/>
    </xf>
    <xf numFmtId="2" fontId="14" fillId="12" borderId="41" xfId="0" applyNumberFormat="1" applyFont="1" applyFill="1" applyBorder="1" applyAlignment="1">
      <alignment horizontal="center" vertical="top"/>
    </xf>
    <xf numFmtId="0" fontId="47" fillId="0" borderId="47" xfId="0" applyFont="1" applyFill="1" applyBorder="1" applyAlignment="1">
      <alignment vertical="top"/>
    </xf>
    <xf numFmtId="0" fontId="47" fillId="0" borderId="31" xfId="0" applyFont="1" applyFill="1" applyBorder="1" applyAlignment="1">
      <alignment horizontal="left" vertical="top"/>
    </xf>
    <xf numFmtId="2" fontId="14" fillId="9" borderId="116" xfId="0" applyNumberFormat="1" applyFont="1" applyFill="1" applyBorder="1" applyAlignment="1">
      <alignment horizontal="center" vertical="top"/>
    </xf>
    <xf numFmtId="0" fontId="14" fillId="0" borderId="68" xfId="0" applyFont="1" applyFill="1" applyBorder="1" applyAlignment="1">
      <alignment vertical="top" wrapText="1"/>
    </xf>
    <xf numFmtId="0" fontId="14" fillId="0" borderId="96" xfId="0" applyFont="1" applyFill="1" applyBorder="1" applyAlignment="1" applyProtection="1">
      <alignment vertical="top" wrapText="1"/>
    </xf>
    <xf numFmtId="0" fontId="14" fillId="0" borderId="106" xfId="0" applyFont="1" applyFill="1" applyBorder="1" applyAlignment="1" applyProtection="1">
      <alignment vertical="top" wrapText="1"/>
    </xf>
    <xf numFmtId="0" fontId="14" fillId="0" borderId="35" xfId="0" applyFont="1" applyFill="1" applyBorder="1" applyAlignment="1" applyProtection="1">
      <alignment vertical="top" wrapText="1"/>
    </xf>
    <xf numFmtId="0" fontId="14" fillId="2" borderId="113" xfId="0" applyFont="1" applyFill="1" applyBorder="1" applyAlignment="1">
      <alignment horizontal="center" vertical="top" wrapText="1"/>
    </xf>
    <xf numFmtId="1" fontId="14" fillId="0" borderId="111" xfId="0" applyNumberFormat="1" applyFont="1" applyBorder="1" applyAlignment="1">
      <alignment horizontal="left" vertical="top" wrapText="1"/>
    </xf>
    <xf numFmtId="0" fontId="14" fillId="2" borderId="109" xfId="0" applyFont="1" applyFill="1" applyBorder="1" applyAlignment="1">
      <alignment horizontal="center" vertical="top" wrapText="1"/>
    </xf>
    <xf numFmtId="0" fontId="14" fillId="2" borderId="104" xfId="0" applyFont="1" applyFill="1" applyBorder="1" applyAlignment="1">
      <alignment horizontal="center" vertical="top" wrapText="1"/>
    </xf>
    <xf numFmtId="1" fontId="14" fillId="8" borderId="105" xfId="0" applyNumberFormat="1" applyFont="1" applyFill="1" applyBorder="1" applyAlignment="1">
      <alignment horizontal="center" vertical="top" wrapText="1"/>
    </xf>
    <xf numFmtId="1" fontId="14" fillId="8" borderId="111" xfId="0" applyNumberFormat="1" applyFont="1" applyFill="1" applyBorder="1" applyAlignment="1">
      <alignment horizontal="center" vertical="top" wrapText="1"/>
    </xf>
    <xf numFmtId="0" fontId="14" fillId="0" borderId="102" xfId="0" applyFont="1" applyFill="1" applyBorder="1" applyAlignment="1">
      <alignment vertical="top" wrapText="1"/>
    </xf>
    <xf numFmtId="0" fontId="14" fillId="0" borderId="101" xfId="0" applyFont="1" applyFill="1" applyBorder="1" applyAlignment="1">
      <alignment vertical="top" wrapText="1"/>
    </xf>
    <xf numFmtId="0" fontId="14" fillId="0" borderId="105" xfId="0" applyFont="1" applyFill="1" applyBorder="1" applyAlignment="1">
      <alignment vertical="top" wrapText="1"/>
    </xf>
    <xf numFmtId="1" fontId="14" fillId="2" borderId="45" xfId="0" applyNumberFormat="1" applyFont="1" applyFill="1" applyBorder="1" applyAlignment="1">
      <alignment horizontal="center" vertical="top"/>
    </xf>
    <xf numFmtId="0" fontId="31" fillId="0" borderId="0" xfId="0" applyNumberFormat="1" applyFont="1" applyAlignment="1">
      <alignment vertical="top"/>
    </xf>
    <xf numFmtId="0" fontId="14" fillId="0" borderId="0" xfId="0" applyNumberFormat="1" applyFont="1" applyAlignment="1">
      <alignment vertical="top"/>
    </xf>
    <xf numFmtId="49" fontId="47" fillId="0" borderId="73" xfId="0" applyNumberFormat="1" applyFont="1" applyFill="1" applyBorder="1" applyAlignment="1">
      <alignment horizontal="center" vertical="top" wrapText="1"/>
    </xf>
    <xf numFmtId="2" fontId="14" fillId="2" borderId="73" xfId="0" applyNumberFormat="1" applyFont="1" applyFill="1" applyBorder="1" applyAlignment="1">
      <alignment horizontal="center" vertical="top"/>
    </xf>
    <xf numFmtId="2" fontId="14" fillId="0" borderId="45" xfId="0" applyNumberFormat="1" applyFont="1" applyBorder="1" applyAlignment="1">
      <alignment horizontal="center" vertical="top" wrapText="1"/>
    </xf>
    <xf numFmtId="0" fontId="31" fillId="0" borderId="0" xfId="0" applyNumberFormat="1" applyFont="1" applyBorder="1" applyAlignment="1">
      <alignment horizontal="center" vertical="top"/>
    </xf>
    <xf numFmtId="0" fontId="14" fillId="0" borderId="0" xfId="0" applyNumberFormat="1" applyFont="1" applyBorder="1" applyAlignment="1">
      <alignment vertical="top"/>
    </xf>
    <xf numFmtId="2" fontId="14" fillId="0" borderId="45" xfId="0" applyNumberFormat="1" applyFont="1" applyFill="1" applyBorder="1" applyAlignment="1">
      <alignment horizontal="center" vertical="top" wrapText="1"/>
    </xf>
    <xf numFmtId="2" fontId="14" fillId="0" borderId="19" xfId="0" applyNumberFormat="1" applyFont="1" applyFill="1" applyBorder="1" applyAlignment="1">
      <alignment horizontal="left" vertical="top" wrapText="1"/>
    </xf>
    <xf numFmtId="2" fontId="47" fillId="0" borderId="40" xfId="0" applyNumberFormat="1" applyFont="1" applyFill="1" applyBorder="1" applyAlignment="1">
      <alignment vertical="top" wrapText="1"/>
    </xf>
    <xf numFmtId="0" fontId="14" fillId="0" borderId="49" xfId="0" applyFont="1" applyFill="1" applyBorder="1" applyAlignment="1">
      <alignment vertical="top" wrapText="1"/>
    </xf>
    <xf numFmtId="0" fontId="14" fillId="2" borderId="78" xfId="0" applyNumberFormat="1" applyFont="1" applyFill="1" applyBorder="1" applyAlignment="1">
      <alignment horizontal="center" vertical="top"/>
    </xf>
    <xf numFmtId="0" fontId="14" fillId="2" borderId="43" xfId="0" applyNumberFormat="1" applyFont="1" applyFill="1" applyBorder="1" applyAlignment="1">
      <alignment horizontal="center" vertical="top"/>
    </xf>
    <xf numFmtId="2" fontId="14" fillId="0" borderId="49" xfId="0" applyNumberFormat="1" applyFont="1" applyFill="1" applyBorder="1" applyAlignment="1">
      <alignment horizontal="center" vertical="top" wrapText="1"/>
    </xf>
    <xf numFmtId="0" fontId="14" fillId="11" borderId="40" xfId="0" applyFont="1" applyFill="1" applyBorder="1" applyAlignment="1">
      <alignment horizontal="left" vertical="top"/>
    </xf>
    <xf numFmtId="1" fontId="14" fillId="0" borderId="49" xfId="0" applyNumberFormat="1" applyFont="1" applyBorder="1" applyAlignment="1">
      <alignment vertical="top" wrapText="1"/>
    </xf>
    <xf numFmtId="0" fontId="14" fillId="2" borderId="113" xfId="0" applyNumberFormat="1" applyFont="1" applyFill="1" applyBorder="1" applyAlignment="1">
      <alignment horizontal="center" vertical="top" wrapText="1"/>
    </xf>
    <xf numFmtId="0" fontId="47" fillId="0" borderId="10" xfId="0" applyNumberFormat="1" applyFont="1" applyFill="1" applyBorder="1" applyAlignment="1">
      <alignment horizontal="center" vertical="top" wrapText="1"/>
    </xf>
    <xf numFmtId="0" fontId="47" fillId="0" borderId="116" xfId="0" applyNumberFormat="1" applyFont="1" applyFill="1" applyBorder="1" applyAlignment="1">
      <alignment horizontal="left" vertical="top" wrapText="1"/>
    </xf>
    <xf numFmtId="2" fontId="14" fillId="12" borderId="30" xfId="0" applyNumberFormat="1" applyFont="1" applyFill="1" applyBorder="1" applyAlignment="1">
      <alignment horizontal="center" vertical="top"/>
    </xf>
    <xf numFmtId="1" fontId="14" fillId="9" borderId="116" xfId="0" applyNumberFormat="1" applyFont="1" applyFill="1" applyBorder="1" applyAlignment="1">
      <alignment horizontal="center" vertical="top" wrapText="1"/>
    </xf>
    <xf numFmtId="0" fontId="14" fillId="2" borderId="55" xfId="0" applyNumberFormat="1" applyFont="1" applyFill="1" applyBorder="1" applyAlignment="1">
      <alignment horizontal="center" vertical="top" wrapText="1"/>
    </xf>
    <xf numFmtId="0" fontId="14" fillId="9" borderId="116" xfId="0" applyNumberFormat="1" applyFont="1" applyFill="1" applyBorder="1" applyAlignment="1">
      <alignment horizontal="center" vertical="top" wrapText="1"/>
    </xf>
    <xf numFmtId="0" fontId="14" fillId="2" borderId="45" xfId="0" applyNumberFormat="1" applyFont="1" applyFill="1" applyBorder="1" applyAlignment="1">
      <alignment horizontal="center" vertical="top"/>
    </xf>
    <xf numFmtId="0" fontId="14" fillId="9" borderId="116" xfId="0" applyNumberFormat="1" applyFont="1" applyFill="1" applyBorder="1" applyAlignment="1">
      <alignment horizontal="center" vertical="top"/>
    </xf>
    <xf numFmtId="0" fontId="47" fillId="0" borderId="0" xfId="0" applyFont="1" applyFill="1" applyBorder="1" applyAlignment="1">
      <alignment horizontal="left" vertical="top"/>
    </xf>
    <xf numFmtId="2" fontId="47" fillId="0" borderId="100" xfId="0" applyNumberFormat="1" applyFont="1" applyBorder="1" applyAlignment="1">
      <alignment horizontal="center" vertical="top"/>
    </xf>
    <xf numFmtId="2" fontId="47" fillId="0" borderId="105" xfId="0" applyNumberFormat="1" applyFont="1" applyFill="1" applyBorder="1" applyAlignment="1">
      <alignment vertical="top" wrapText="1"/>
    </xf>
    <xf numFmtId="2" fontId="47" fillId="0" borderId="101" xfId="0" applyNumberFormat="1" applyFont="1" applyFill="1" applyBorder="1" applyAlignment="1">
      <alignment vertical="top" wrapText="1"/>
    </xf>
    <xf numFmtId="2" fontId="47" fillId="0" borderId="116" xfId="0" applyNumberFormat="1" applyFont="1" applyFill="1" applyBorder="1" applyAlignment="1">
      <alignment vertical="top" wrapText="1"/>
    </xf>
    <xf numFmtId="2" fontId="47" fillId="0" borderId="47" xfId="0" applyNumberFormat="1" applyFont="1" applyFill="1" applyBorder="1" applyAlignment="1">
      <alignment vertical="top" wrapText="1"/>
    </xf>
    <xf numFmtId="1" fontId="47" fillId="0" borderId="99" xfId="0" applyNumberFormat="1" applyFont="1" applyFill="1" applyBorder="1" applyAlignment="1">
      <alignment horizontal="center" vertical="top" wrapText="1"/>
    </xf>
    <xf numFmtId="0" fontId="14" fillId="0" borderId="116" xfId="0" applyFont="1" applyBorder="1" applyAlignment="1">
      <alignment horizontal="left" vertical="top"/>
    </xf>
    <xf numFmtId="1" fontId="14" fillId="0" borderId="101" xfId="0" applyNumberFormat="1" applyFont="1" applyFill="1" applyBorder="1" applyAlignment="1">
      <alignment horizontal="left" vertical="top" wrapText="1"/>
    </xf>
    <xf numFmtId="1" fontId="14" fillId="0" borderId="105" xfId="0" applyNumberFormat="1" applyFont="1" applyFill="1" applyBorder="1" applyAlignment="1">
      <alignment horizontal="left" vertical="top" wrapText="1"/>
    </xf>
    <xf numFmtId="0" fontId="47" fillId="0" borderId="101" xfId="0" applyFont="1" applyBorder="1" applyAlignment="1">
      <alignment vertical="top" wrapText="1"/>
    </xf>
    <xf numFmtId="0" fontId="47" fillId="0" borderId="49" xfId="0" applyFont="1" applyBorder="1" applyAlignment="1">
      <alignment vertical="top" wrapText="1"/>
    </xf>
    <xf numFmtId="1" fontId="47" fillId="0" borderId="45" xfId="0" applyNumberFormat="1" applyFont="1" applyBorder="1" applyAlignment="1">
      <alignment horizontal="center" vertical="top" wrapText="1"/>
    </xf>
    <xf numFmtId="2" fontId="47" fillId="0" borderId="111" xfId="0" applyNumberFormat="1" applyFont="1" applyBorder="1" applyAlignment="1">
      <alignment vertical="top" wrapText="1"/>
    </xf>
    <xf numFmtId="1" fontId="47" fillId="0" borderId="102" xfId="0" applyNumberFormat="1" applyFont="1" applyBorder="1" applyAlignment="1">
      <alignment horizontal="left" vertical="top" wrapText="1"/>
    </xf>
    <xf numFmtId="1" fontId="47" fillId="0" borderId="10" xfId="0" applyNumberFormat="1" applyFont="1" applyBorder="1" applyAlignment="1">
      <alignment horizontal="left" vertical="top" wrapText="1"/>
    </xf>
    <xf numFmtId="0" fontId="14" fillId="0" borderId="12" xfId="0" applyFont="1" applyFill="1" applyBorder="1" applyAlignment="1">
      <alignment horizontal="center" vertical="top" wrapText="1"/>
    </xf>
    <xf numFmtId="0" fontId="47" fillId="0" borderId="107" xfId="0" applyFont="1" applyBorder="1" applyAlignment="1">
      <alignment horizontal="left" vertical="top" wrapText="1"/>
    </xf>
    <xf numFmtId="0" fontId="14" fillId="0" borderId="101" xfId="0" applyFont="1" applyFill="1" applyBorder="1" applyAlignment="1">
      <alignment horizontal="left" vertical="top" wrapText="1"/>
    </xf>
    <xf numFmtId="0" fontId="14" fillId="0" borderId="105" xfId="0" applyFont="1" applyFill="1" applyBorder="1" applyAlignment="1">
      <alignment horizontal="left" vertical="top" wrapText="1"/>
    </xf>
    <xf numFmtId="0" fontId="14" fillId="0" borderId="104" xfId="0" applyFont="1" applyBorder="1" applyAlignment="1" applyProtection="1">
      <alignment horizontal="center" vertical="top"/>
      <protection locked="0"/>
    </xf>
    <xf numFmtId="0" fontId="14" fillId="0" borderId="116" xfId="0" applyFont="1" applyFill="1" applyBorder="1" applyAlignment="1" applyProtection="1">
      <alignment horizontal="left" vertical="top"/>
    </xf>
    <xf numFmtId="0" fontId="47" fillId="0" borderId="43" xfId="0" applyNumberFormat="1" applyFont="1" applyFill="1" applyBorder="1" applyAlignment="1">
      <alignment horizontal="center" vertical="top" wrapText="1"/>
    </xf>
    <xf numFmtId="0" fontId="14" fillId="0" borderId="66" xfId="0" applyFont="1" applyFill="1" applyBorder="1" applyAlignment="1">
      <alignment horizontal="left" vertical="top" wrapText="1"/>
    </xf>
    <xf numFmtId="0" fontId="14" fillId="0" borderId="0" xfId="0" applyFont="1" applyBorder="1" applyAlignment="1">
      <alignment vertical="top" wrapText="1"/>
    </xf>
    <xf numFmtId="0" fontId="14" fillId="0" borderId="106" xfId="0" applyFont="1" applyBorder="1" applyAlignment="1">
      <alignment vertical="top" wrapText="1"/>
    </xf>
    <xf numFmtId="0" fontId="14" fillId="0" borderId="102" xfId="1" applyFont="1" applyBorder="1" applyAlignment="1" applyProtection="1">
      <alignment vertical="top" wrapText="1"/>
    </xf>
    <xf numFmtId="0" fontId="14" fillId="0" borderId="106" xfId="1" applyFont="1" applyBorder="1" applyAlignment="1">
      <alignment vertical="top" wrapText="1"/>
    </xf>
    <xf numFmtId="49" fontId="14" fillId="0" borderId="35" xfId="0" applyNumberFormat="1" applyFont="1" applyFill="1" applyBorder="1" applyAlignment="1" applyProtection="1">
      <alignment horizontal="left" vertical="top" wrapText="1"/>
    </xf>
    <xf numFmtId="0" fontId="14" fillId="14" borderId="31" xfId="0" applyFont="1" applyFill="1" applyBorder="1" applyAlignment="1" applyProtection="1">
      <alignment horizontal="center" vertical="top" wrapText="1"/>
      <protection locked="0"/>
    </xf>
    <xf numFmtId="0" fontId="14" fillId="14" borderId="70" xfId="0" applyFont="1" applyFill="1" applyBorder="1" applyAlignment="1" applyProtection="1">
      <alignment horizontal="center" vertical="top" wrapText="1"/>
      <protection locked="0"/>
    </xf>
    <xf numFmtId="0" fontId="14" fillId="14" borderId="95" xfId="0" applyFont="1" applyFill="1" applyBorder="1" applyAlignment="1" applyProtection="1">
      <alignment horizontal="center" vertical="top" wrapText="1"/>
      <protection locked="0"/>
    </xf>
    <xf numFmtId="0" fontId="14" fillId="14" borderId="57" xfId="0" applyFont="1" applyFill="1" applyBorder="1" applyAlignment="1" applyProtection="1">
      <alignment horizontal="center" vertical="top" wrapText="1"/>
      <protection locked="0"/>
    </xf>
    <xf numFmtId="0" fontId="14" fillId="0" borderId="109" xfId="0" applyFont="1" applyBorder="1" applyAlignment="1" applyProtection="1">
      <alignment horizontal="center" vertical="top"/>
      <protection locked="0"/>
    </xf>
    <xf numFmtId="0" fontId="14" fillId="0" borderId="42" xfId="0" applyFont="1" applyBorder="1" applyAlignment="1" applyProtection="1">
      <alignment horizontal="center" vertical="top"/>
      <protection locked="0"/>
    </xf>
    <xf numFmtId="0" fontId="14" fillId="0" borderId="99" xfId="0" applyFont="1" applyBorder="1" applyAlignment="1" applyProtection="1">
      <alignment horizontal="center" vertical="top"/>
      <protection locked="0"/>
    </xf>
    <xf numFmtId="0" fontId="14" fillId="0" borderId="104" xfId="0" applyFont="1" applyFill="1" applyBorder="1" applyAlignment="1" applyProtection="1">
      <alignment horizontal="center" vertical="top"/>
      <protection locked="0"/>
    </xf>
    <xf numFmtId="1" fontId="14" fillId="0" borderId="99" xfId="0" applyNumberFormat="1" applyFont="1" applyFill="1" applyBorder="1" applyAlignment="1" applyProtection="1">
      <alignment horizontal="center" vertical="top" wrapText="1"/>
      <protection locked="0"/>
    </xf>
    <xf numFmtId="0" fontId="14" fillId="0" borderId="116" xfId="1" applyFont="1" applyFill="1" applyBorder="1" applyAlignment="1" applyProtection="1">
      <alignment horizontal="left" vertical="top"/>
    </xf>
    <xf numFmtId="49" fontId="14" fillId="0" borderId="110" xfId="0" applyNumberFormat="1" applyFont="1" applyFill="1" applyBorder="1" applyAlignment="1" applyProtection="1">
      <alignment horizontal="left" vertical="top" wrapText="1"/>
    </xf>
    <xf numFmtId="0" fontId="14" fillId="14" borderId="8" xfId="0" applyFont="1" applyFill="1" applyBorder="1" applyAlignment="1" applyProtection="1">
      <alignment horizontal="center" vertical="top" wrapText="1"/>
      <protection locked="0"/>
    </xf>
    <xf numFmtId="0" fontId="14" fillId="0" borderId="116" xfId="1" applyFont="1" applyFill="1" applyBorder="1" applyAlignment="1" applyProtection="1">
      <alignment horizontal="left" vertical="top" wrapText="1"/>
    </xf>
    <xf numFmtId="0" fontId="14" fillId="0" borderId="106" xfId="0" applyFont="1" applyBorder="1" applyAlignment="1" applyProtection="1">
      <alignment horizontal="center" vertical="top"/>
      <protection locked="0"/>
    </xf>
    <xf numFmtId="0" fontId="14" fillId="0" borderId="35" xfId="0" applyFont="1" applyBorder="1" applyAlignment="1" applyProtection="1">
      <alignment horizontal="center" vertical="top"/>
      <protection locked="0"/>
    </xf>
    <xf numFmtId="0" fontId="14" fillId="0" borderId="33" xfId="0" applyFont="1" applyFill="1" applyBorder="1" applyAlignment="1" applyProtection="1">
      <alignment horizontal="left" vertical="top" wrapText="1"/>
    </xf>
    <xf numFmtId="0" fontId="14" fillId="0" borderId="50" xfId="0" applyFont="1" applyBorder="1" applyAlignment="1" applyProtection="1">
      <alignment vertical="top" wrapText="1"/>
    </xf>
    <xf numFmtId="0" fontId="14" fillId="0" borderId="120" xfId="0" applyFont="1" applyBorder="1" applyAlignment="1" applyProtection="1">
      <alignment vertical="top" wrapText="1"/>
    </xf>
    <xf numFmtId="0" fontId="14" fillId="0" borderId="33" xfId="0" applyFont="1" applyBorder="1" applyAlignment="1" applyProtection="1">
      <alignment vertical="top" wrapText="1"/>
    </xf>
    <xf numFmtId="0" fontId="14" fillId="0" borderId="110" xfId="0" applyFont="1" applyBorder="1" applyAlignment="1" applyProtection="1">
      <alignment horizontal="center" vertical="top"/>
      <protection locked="0"/>
    </xf>
    <xf numFmtId="0" fontId="14" fillId="0" borderId="60" xfId="0" applyFont="1" applyBorder="1" applyAlignment="1" applyProtection="1">
      <alignment vertical="top" wrapText="1"/>
    </xf>
    <xf numFmtId="1" fontId="14" fillId="0" borderId="59" xfId="0" applyNumberFormat="1" applyFont="1" applyBorder="1" applyAlignment="1" applyProtection="1">
      <alignment horizontal="center" vertical="top" wrapText="1"/>
      <protection locked="0"/>
    </xf>
    <xf numFmtId="0" fontId="14" fillId="0" borderId="115" xfId="0" applyFont="1" applyBorder="1" applyAlignment="1" applyProtection="1">
      <alignment horizontal="center" vertical="top"/>
      <protection locked="0"/>
    </xf>
    <xf numFmtId="1" fontId="14" fillId="0" borderId="115" xfId="0" applyNumberFormat="1" applyFont="1" applyBorder="1" applyAlignment="1" applyProtection="1">
      <alignment horizontal="center" vertical="top" wrapText="1"/>
      <protection locked="0"/>
    </xf>
    <xf numFmtId="0" fontId="14" fillId="0" borderId="120" xfId="0" applyFont="1" applyFill="1" applyBorder="1" applyAlignment="1" applyProtection="1">
      <alignment horizontal="left" vertical="top" wrapText="1"/>
    </xf>
    <xf numFmtId="0" fontId="14" fillId="4" borderId="34" xfId="0" applyFont="1" applyFill="1" applyBorder="1" applyAlignment="1" applyProtection="1">
      <alignment horizontal="center" vertical="top"/>
      <protection locked="0"/>
    </xf>
    <xf numFmtId="0" fontId="14" fillId="4" borderId="104" xfId="0" applyFont="1" applyFill="1" applyBorder="1" applyAlignment="1" applyProtection="1">
      <alignment horizontal="center" vertical="top"/>
      <protection locked="0"/>
    </xf>
    <xf numFmtId="0" fontId="14" fillId="4" borderId="53" xfId="0" applyFont="1" applyFill="1" applyBorder="1" applyAlignment="1">
      <alignment horizontal="center" vertical="top"/>
    </xf>
    <xf numFmtId="0" fontId="14" fillId="0" borderId="121" xfId="0" applyFont="1" applyFill="1" applyBorder="1" applyAlignment="1" applyProtection="1">
      <alignment horizontal="center" vertical="top" wrapText="1"/>
      <protection locked="0"/>
    </xf>
    <xf numFmtId="0" fontId="14" fillId="14" borderId="96" xfId="0" applyFont="1" applyFill="1" applyBorder="1" applyAlignment="1" applyProtection="1">
      <alignment horizontal="center" vertical="top" wrapText="1"/>
      <protection locked="0"/>
    </xf>
    <xf numFmtId="0" fontId="14" fillId="14" borderId="102" xfId="0" applyFont="1" applyFill="1" applyBorder="1" applyAlignment="1" applyProtection="1">
      <alignment horizontal="center" vertical="top" wrapText="1"/>
      <protection locked="0"/>
    </xf>
    <xf numFmtId="2" fontId="23" fillId="21" borderId="41" xfId="1" applyNumberFormat="1" applyFont="1" applyFill="1" applyBorder="1" applyAlignment="1">
      <alignment horizontal="center" vertical="center"/>
    </xf>
    <xf numFmtId="2" fontId="18" fillId="21" borderId="41" xfId="1" applyNumberFormat="1" applyFont="1" applyFill="1" applyBorder="1" applyAlignment="1">
      <alignment horizontal="center" vertical="center"/>
    </xf>
    <xf numFmtId="0" fontId="0" fillId="0" borderId="0" xfId="0" applyBorder="1" applyAlignment="1" applyProtection="1">
      <alignment vertical="top"/>
      <protection locked="0"/>
    </xf>
    <xf numFmtId="0" fontId="15" fillId="0" borderId="118" xfId="0" applyFont="1" applyFill="1" applyBorder="1" applyAlignment="1" applyProtection="1">
      <alignment horizontal="center" wrapText="1"/>
      <protection locked="0"/>
    </xf>
    <xf numFmtId="0" fontId="13" fillId="0" borderId="112" xfId="0" applyFont="1" applyFill="1" applyBorder="1" applyAlignment="1" applyProtection="1">
      <alignment horizontal="center" vertical="top" wrapText="1"/>
      <protection locked="0"/>
    </xf>
    <xf numFmtId="14" fontId="13" fillId="0" borderId="112" xfId="0" applyNumberFormat="1" applyFont="1" applyFill="1" applyBorder="1" applyAlignment="1" applyProtection="1">
      <alignment horizontal="center" vertical="top" wrapText="1"/>
      <protection locked="0"/>
    </xf>
    <xf numFmtId="164" fontId="13" fillId="0" borderId="112" xfId="0" applyNumberFormat="1" applyFont="1" applyBorder="1" applyAlignment="1" applyProtection="1">
      <alignment horizontal="center" vertical="top" wrapText="1"/>
      <protection locked="0"/>
    </xf>
    <xf numFmtId="2" fontId="13" fillId="0" borderId="112" xfId="0" applyNumberFormat="1" applyFont="1" applyBorder="1" applyAlignment="1" applyProtection="1">
      <alignment horizontal="center" vertical="top" wrapText="1"/>
      <protection locked="0"/>
    </xf>
    <xf numFmtId="9" fontId="13" fillId="0" borderId="112" xfId="0" applyNumberFormat="1" applyFont="1" applyBorder="1" applyAlignment="1" applyProtection="1">
      <alignment horizontal="center" vertical="top" wrapText="1"/>
      <protection locked="0"/>
    </xf>
    <xf numFmtId="1" fontId="13" fillId="0" borderId="112" xfId="0" applyNumberFormat="1" applyFont="1" applyFill="1" applyBorder="1" applyAlignment="1" applyProtection="1">
      <alignment horizontal="center" vertical="top" wrapText="1"/>
      <protection locked="0"/>
    </xf>
    <xf numFmtId="0" fontId="26" fillId="0" borderId="21" xfId="0" applyFont="1" applyBorder="1" applyAlignment="1" applyProtection="1">
      <alignment vertical="top" wrapText="1"/>
      <protection locked="0"/>
    </xf>
    <xf numFmtId="0" fontId="26" fillId="0" borderId="0" xfId="0" applyFont="1" applyFill="1" applyBorder="1" applyAlignment="1" applyProtection="1">
      <alignment vertical="top"/>
      <protection locked="0"/>
    </xf>
    <xf numFmtId="0" fontId="26" fillId="0" borderId="96" xfId="0" applyFont="1" applyBorder="1" applyAlignment="1">
      <alignment vertical="top" wrapText="1"/>
    </xf>
    <xf numFmtId="0" fontId="26" fillId="0" borderId="106" xfId="0" applyFont="1" applyBorder="1" applyAlignment="1">
      <alignment vertical="top" wrapText="1"/>
    </xf>
    <xf numFmtId="0" fontId="26" fillId="0" borderId="35" xfId="0" applyFont="1" applyBorder="1" applyAlignment="1" applyProtection="1">
      <alignment vertical="top" wrapText="1"/>
      <protection locked="0"/>
    </xf>
    <xf numFmtId="0" fontId="14" fillId="0" borderId="118" xfId="0" applyFont="1" applyBorder="1" applyAlignment="1">
      <alignment horizontal="center" vertical="top" wrapText="1"/>
    </xf>
    <xf numFmtId="0" fontId="14" fillId="0" borderId="112" xfId="0" applyFont="1" applyBorder="1" applyAlignment="1">
      <alignment horizontal="center" vertical="top" wrapText="1"/>
    </xf>
    <xf numFmtId="2" fontId="75" fillId="21" borderId="41" xfId="1" applyNumberFormat="1" applyFont="1" applyFill="1" applyBorder="1" applyAlignment="1">
      <alignment horizontal="center" vertical="center"/>
    </xf>
    <xf numFmtId="2" fontId="23" fillId="21" borderId="4" xfId="1" applyNumberFormat="1" applyFont="1" applyFill="1" applyBorder="1" applyAlignment="1">
      <alignment horizontal="center" vertical="center"/>
    </xf>
    <xf numFmtId="0" fontId="14" fillId="0" borderId="101" xfId="0" applyFont="1" applyBorder="1" applyAlignment="1">
      <alignment vertical="top" wrapText="1"/>
    </xf>
    <xf numFmtId="0" fontId="14" fillId="0" borderId="105" xfId="0" applyFont="1" applyBorder="1" applyAlignment="1">
      <alignment vertical="top" wrapText="1"/>
    </xf>
    <xf numFmtId="0" fontId="24" fillId="9" borderId="30" xfId="0" applyFont="1" applyFill="1" applyBorder="1" applyAlignment="1">
      <alignment horizontal="center" vertical="center" wrapText="1"/>
    </xf>
    <xf numFmtId="0" fontId="24" fillId="9" borderId="4" xfId="0" applyFont="1" applyFill="1" applyBorder="1" applyAlignment="1">
      <alignment horizontal="center" vertical="center" wrapText="1"/>
    </xf>
    <xf numFmtId="49" fontId="24" fillId="9" borderId="41" xfId="0" applyNumberFormat="1" applyFont="1" applyFill="1" applyBorder="1" applyAlignment="1">
      <alignment horizontal="center" vertical="center" wrapText="1"/>
    </xf>
    <xf numFmtId="0" fontId="24" fillId="9" borderId="47" xfId="0" applyFont="1" applyFill="1" applyBorder="1" applyAlignment="1">
      <alignment horizontal="center" vertical="center" wrapText="1"/>
    </xf>
    <xf numFmtId="1" fontId="24" fillId="9" borderId="4" xfId="0" applyNumberFormat="1" applyFont="1" applyFill="1" applyBorder="1" applyAlignment="1" applyProtection="1">
      <alignment horizontal="center" vertical="center" wrapText="1"/>
      <protection hidden="1"/>
    </xf>
    <xf numFmtId="0" fontId="24" fillId="9" borderId="47" xfId="0" applyFont="1" applyFill="1" applyBorder="1" applyAlignment="1" applyProtection="1">
      <alignment horizontal="center" vertical="center" wrapText="1"/>
      <protection hidden="1"/>
    </xf>
    <xf numFmtId="2" fontId="24" fillId="9" borderId="30" xfId="0" applyNumberFormat="1" applyFont="1" applyFill="1" applyBorder="1" applyAlignment="1" applyProtection="1">
      <alignment horizontal="center" vertical="center" wrapText="1"/>
    </xf>
    <xf numFmtId="0" fontId="74" fillId="9" borderId="4" xfId="0" applyFont="1" applyFill="1" applyBorder="1" applyAlignment="1">
      <alignment horizontal="center" vertical="center" wrapText="1"/>
    </xf>
    <xf numFmtId="0" fontId="74" fillId="9" borderId="41" xfId="0" applyFont="1" applyFill="1" applyBorder="1" applyAlignment="1">
      <alignment horizontal="center" vertical="center" wrapText="1"/>
    </xf>
    <xf numFmtId="0" fontId="31" fillId="0" borderId="0" xfId="0" applyFont="1" applyAlignment="1">
      <alignment horizontal="center" wrapText="1"/>
    </xf>
    <xf numFmtId="0" fontId="31" fillId="0" borderId="0" xfId="0" applyFont="1" applyAlignment="1">
      <alignment wrapText="1"/>
    </xf>
    <xf numFmtId="0" fontId="24" fillId="22" borderId="4" xfId="0" applyFont="1" applyFill="1" applyBorder="1" applyAlignment="1">
      <alignment horizontal="center" vertical="center" wrapText="1"/>
    </xf>
    <xf numFmtId="0" fontId="74" fillId="22" borderId="4" xfId="0" applyFont="1" applyFill="1" applyBorder="1" applyAlignment="1">
      <alignment horizontal="center" vertical="center" wrapText="1"/>
    </xf>
    <xf numFmtId="0" fontId="24" fillId="22" borderId="47" xfId="0" applyFont="1" applyFill="1" applyBorder="1" applyAlignment="1">
      <alignment horizontal="center" vertical="center" wrapText="1"/>
    </xf>
    <xf numFmtId="1" fontId="24" fillId="22" borderId="47" xfId="0" applyNumberFormat="1" applyFont="1" applyFill="1" applyBorder="1" applyAlignment="1" applyProtection="1">
      <alignment horizontal="center" vertical="center" wrapText="1"/>
      <protection hidden="1"/>
    </xf>
    <xf numFmtId="0" fontId="24" fillId="22" borderId="4" xfId="0" applyFont="1" applyFill="1" applyBorder="1" applyAlignment="1" applyProtection="1">
      <alignment horizontal="center" vertical="center" wrapText="1"/>
      <protection hidden="1"/>
    </xf>
    <xf numFmtId="2" fontId="24" fillId="22" borderId="47" xfId="0" applyNumberFormat="1" applyFont="1" applyFill="1" applyBorder="1" applyAlignment="1" applyProtection="1">
      <alignment horizontal="center" vertical="center" wrapText="1"/>
    </xf>
    <xf numFmtId="0" fontId="24" fillId="0" borderId="0" xfId="0" applyFont="1" applyAlignment="1">
      <alignment horizontal="center" vertical="center" wrapText="1"/>
    </xf>
    <xf numFmtId="0" fontId="14" fillId="0" borderId="3" xfId="0" applyFont="1" applyBorder="1" applyAlignment="1">
      <alignment horizontal="left" vertical="top" wrapText="1"/>
    </xf>
    <xf numFmtId="0" fontId="15" fillId="22" borderId="116" xfId="0" applyFont="1" applyFill="1" applyBorder="1" applyAlignment="1">
      <alignment horizontal="center" vertical="center" wrapText="1"/>
    </xf>
    <xf numFmtId="0" fontId="24" fillId="9" borderId="116" xfId="0" applyFont="1" applyFill="1" applyBorder="1" applyAlignment="1">
      <alignment horizontal="center" vertical="center" wrapText="1"/>
    </xf>
    <xf numFmtId="1" fontId="24" fillId="9" borderId="116" xfId="0" applyNumberFormat="1" applyFont="1" applyFill="1" applyBorder="1" applyAlignment="1" applyProtection="1">
      <alignment horizontal="center" vertical="center" wrapText="1"/>
      <protection hidden="1"/>
    </xf>
    <xf numFmtId="0" fontId="74" fillId="9" borderId="116" xfId="0" applyFont="1" applyFill="1" applyBorder="1" applyAlignment="1">
      <alignment horizontal="center" vertical="center" wrapText="1"/>
    </xf>
    <xf numFmtId="0" fontId="24" fillId="22" borderId="89" xfId="0" applyFont="1" applyFill="1" applyBorder="1" applyAlignment="1">
      <alignment horizontal="center" vertical="center" wrapText="1"/>
    </xf>
    <xf numFmtId="49" fontId="24" fillId="9" borderId="27" xfId="0" applyNumberFormat="1" applyFont="1" applyFill="1" applyBorder="1" applyAlignment="1">
      <alignment horizontal="center" vertical="center" wrapText="1"/>
    </xf>
    <xf numFmtId="1" fontId="14" fillId="0" borderId="114" xfId="0" applyNumberFormat="1" applyFont="1" applyBorder="1" applyAlignment="1">
      <alignment horizontal="center" vertical="top" wrapText="1"/>
    </xf>
    <xf numFmtId="0" fontId="14" fillId="0" borderId="116" xfId="0" applyFont="1" applyBorder="1" applyAlignment="1">
      <alignment vertical="top" wrapText="1"/>
    </xf>
    <xf numFmtId="0" fontId="14" fillId="0" borderId="39" xfId="0" applyFont="1" applyBorder="1" applyAlignment="1">
      <alignment vertical="top" wrapText="1"/>
    </xf>
    <xf numFmtId="2" fontId="14" fillId="4" borderId="116" xfId="0" applyNumberFormat="1" applyFont="1" applyFill="1" applyBorder="1" applyAlignment="1">
      <alignment horizontal="center" vertical="top" wrapText="1"/>
    </xf>
    <xf numFmtId="0" fontId="47" fillId="0" borderId="59" xfId="0" applyFont="1" applyBorder="1" applyAlignment="1">
      <alignment horizontal="left" vertical="top" wrapText="1"/>
    </xf>
    <xf numFmtId="0" fontId="14" fillId="0" borderId="10" xfId="0" applyFont="1" applyBorder="1" applyAlignment="1">
      <alignment vertical="top" wrapText="1"/>
    </xf>
    <xf numFmtId="1" fontId="41" fillId="0" borderId="27" xfId="0" applyNumberFormat="1" applyFont="1" applyBorder="1" applyAlignment="1">
      <alignment horizontal="center" vertical="top" wrapText="1"/>
    </xf>
    <xf numFmtId="0" fontId="24" fillId="0" borderId="47" xfId="0" applyFont="1" applyBorder="1" applyAlignment="1">
      <alignment horizontal="center" vertical="center" wrapText="1"/>
    </xf>
    <xf numFmtId="0" fontId="24" fillId="0" borderId="10" xfId="0" applyFont="1" applyBorder="1" applyAlignment="1">
      <alignment horizontal="center" vertical="center" wrapText="1"/>
    </xf>
    <xf numFmtId="0" fontId="35" fillId="0" borderId="0" xfId="0" applyFont="1" applyBorder="1" applyAlignment="1">
      <alignment vertical="top" wrapText="1"/>
    </xf>
    <xf numFmtId="0" fontId="24" fillId="0" borderId="0" xfId="0" applyFont="1" applyBorder="1" applyAlignment="1">
      <alignment horizontal="center" vertical="center" wrapText="1"/>
    </xf>
    <xf numFmtId="0" fontId="24" fillId="0" borderId="57" xfId="0" applyFont="1" applyBorder="1" applyAlignment="1">
      <alignment horizontal="center" vertical="center" wrapText="1"/>
    </xf>
    <xf numFmtId="0" fontId="74" fillId="22" borderId="40" xfId="0" applyFont="1" applyFill="1" applyBorder="1" applyAlignment="1">
      <alignment horizontal="center" vertical="center" wrapText="1"/>
    </xf>
    <xf numFmtId="0" fontId="24" fillId="0" borderId="0" xfId="0" applyFont="1" applyAlignment="1">
      <alignment vertical="top" wrapText="1"/>
    </xf>
    <xf numFmtId="0" fontId="47" fillId="0" borderId="102" xfId="0" applyFont="1" applyFill="1" applyBorder="1" applyAlignment="1">
      <alignment horizontal="left" vertical="top" wrapText="1"/>
    </xf>
    <xf numFmtId="0" fontId="47" fillId="0" borderId="110" xfId="0" applyFont="1" applyFill="1" applyBorder="1" applyAlignment="1">
      <alignment horizontal="left" vertical="top" wrapText="1"/>
    </xf>
    <xf numFmtId="0" fontId="47" fillId="0" borderId="117" xfId="0" applyNumberFormat="1" applyFont="1" applyFill="1" applyBorder="1" applyAlignment="1">
      <alignment horizontal="left" vertical="top" wrapText="1"/>
    </xf>
    <xf numFmtId="1" fontId="14" fillId="0" borderId="116" xfId="0" applyNumberFormat="1" applyFont="1" applyBorder="1" applyAlignment="1">
      <alignment horizontal="left" vertical="top" wrapText="1"/>
    </xf>
    <xf numFmtId="2" fontId="14" fillId="9" borderId="30" xfId="0" applyNumberFormat="1" applyFont="1" applyFill="1" applyBorder="1" applyAlignment="1">
      <alignment horizontal="center" vertical="top"/>
    </xf>
    <xf numFmtId="0" fontId="47" fillId="0" borderId="101" xfId="0" applyFont="1" applyFill="1" applyBorder="1" applyAlignment="1">
      <alignment horizontal="left" vertical="top" wrapText="1"/>
    </xf>
    <xf numFmtId="0" fontId="47" fillId="0" borderId="105" xfId="0" applyFont="1" applyFill="1" applyBorder="1" applyAlignment="1">
      <alignment horizontal="left" vertical="top" wrapText="1"/>
    </xf>
    <xf numFmtId="0" fontId="47" fillId="0" borderId="44" xfId="0" applyFont="1" applyFill="1" applyBorder="1" applyAlignment="1">
      <alignment horizontal="left" vertical="top" wrapText="1"/>
    </xf>
    <xf numFmtId="49" fontId="47" fillId="0" borderId="41" xfId="0" applyNumberFormat="1" applyFont="1" applyFill="1" applyBorder="1" applyAlignment="1">
      <alignment horizontal="left" vertical="top" wrapText="1"/>
    </xf>
    <xf numFmtId="49" fontId="47" fillId="0" borderId="101" xfId="0" applyNumberFormat="1" applyFont="1" applyFill="1" applyBorder="1" applyAlignment="1">
      <alignment horizontal="left" vertical="top" wrapText="1"/>
    </xf>
    <xf numFmtId="49" fontId="47" fillId="0" borderId="105" xfId="0" applyNumberFormat="1" applyFont="1" applyFill="1" applyBorder="1" applyAlignment="1">
      <alignment horizontal="left" vertical="top" wrapText="1"/>
    </xf>
    <xf numFmtId="49" fontId="47" fillId="0" borderId="111" xfId="0" applyNumberFormat="1" applyFont="1" applyFill="1" applyBorder="1" applyAlignment="1">
      <alignment horizontal="left" vertical="top" wrapText="1"/>
    </xf>
    <xf numFmtId="0" fontId="14" fillId="0" borderId="47" xfId="0" applyFont="1" applyFill="1" applyBorder="1" applyAlignment="1">
      <alignment horizontal="left" vertical="top" wrapText="1"/>
    </xf>
    <xf numFmtId="0" fontId="14" fillId="0" borderId="99" xfId="0" applyFont="1" applyFill="1" applyBorder="1" applyAlignment="1">
      <alignment horizontal="center" vertical="top" wrapText="1"/>
    </xf>
    <xf numFmtId="1" fontId="14" fillId="2" borderId="114" xfId="0" applyNumberFormat="1" applyFont="1" applyFill="1" applyBorder="1" applyAlignment="1">
      <alignment horizontal="center" vertical="top" wrapText="1"/>
    </xf>
    <xf numFmtId="0" fontId="14" fillId="0" borderId="116" xfId="0" applyNumberFormat="1" applyFont="1" applyFill="1" applyBorder="1" applyAlignment="1">
      <alignment horizontal="left" vertical="top" wrapText="1"/>
    </xf>
    <xf numFmtId="49" fontId="14" fillId="0" borderId="43" xfId="0" applyNumberFormat="1" applyFont="1" applyFill="1" applyBorder="1" applyAlignment="1">
      <alignment horizontal="center" vertical="top" wrapText="1"/>
    </xf>
    <xf numFmtId="49" fontId="14" fillId="0" borderId="47" xfId="0" applyNumberFormat="1" applyFont="1" applyFill="1" applyBorder="1" applyAlignment="1">
      <alignment horizontal="left" vertical="top" wrapText="1"/>
    </xf>
    <xf numFmtId="2" fontId="14" fillId="2" borderId="122" xfId="0" applyNumberFormat="1" applyFont="1" applyFill="1" applyBorder="1" applyAlignment="1">
      <alignment horizontal="center" vertical="top" wrapText="1"/>
    </xf>
    <xf numFmtId="2" fontId="14" fillId="0" borderId="99" xfId="0" applyNumberFormat="1" applyFont="1" applyFill="1" applyBorder="1" applyAlignment="1">
      <alignment horizontal="center" vertical="top" wrapText="1"/>
    </xf>
    <xf numFmtId="0" fontId="14" fillId="2" borderId="114" xfId="0" applyNumberFormat="1" applyFont="1" applyFill="1" applyBorder="1" applyAlignment="1">
      <alignment horizontal="center" vertical="top" wrapText="1"/>
    </xf>
    <xf numFmtId="2" fontId="14" fillId="0" borderId="114" xfId="0" applyNumberFormat="1" applyFont="1" applyFill="1" applyBorder="1" applyAlignment="1">
      <alignment horizontal="center" vertical="top" wrapText="1"/>
    </xf>
    <xf numFmtId="2" fontId="14" fillId="0" borderId="10" xfId="0" applyNumberFormat="1" applyFont="1" applyFill="1" applyBorder="1" applyAlignment="1">
      <alignment horizontal="center" vertical="top" wrapText="1"/>
    </xf>
    <xf numFmtId="0" fontId="14" fillId="0" borderId="117" xfId="0" applyNumberFormat="1" applyFont="1" applyBorder="1" applyAlignment="1">
      <alignment vertical="top" wrapText="1"/>
    </xf>
    <xf numFmtId="0" fontId="14" fillId="2" borderId="113" xfId="0" applyNumberFormat="1" applyFont="1" applyFill="1" applyBorder="1" applyAlignment="1">
      <alignment horizontal="center" vertical="top"/>
    </xf>
    <xf numFmtId="0" fontId="47" fillId="0" borderId="41" xfId="0" applyNumberFormat="1" applyFont="1" applyFill="1" applyBorder="1" applyAlignment="1">
      <alignment horizontal="left" vertical="top" wrapText="1"/>
    </xf>
    <xf numFmtId="0" fontId="47" fillId="0" borderId="49" xfId="0" applyNumberFormat="1" applyFont="1" applyFill="1" applyBorder="1" applyAlignment="1">
      <alignment horizontal="left" vertical="top" wrapText="1"/>
    </xf>
    <xf numFmtId="0" fontId="24" fillId="9" borderId="20" xfId="0" applyFont="1" applyFill="1" applyBorder="1" applyAlignment="1">
      <alignment horizontal="center" vertical="center" wrapText="1"/>
    </xf>
    <xf numFmtId="0" fontId="24" fillId="9" borderId="59" xfId="0" applyFont="1" applyFill="1" applyBorder="1" applyAlignment="1">
      <alignment horizontal="center" vertical="center" wrapText="1"/>
    </xf>
    <xf numFmtId="1" fontId="24" fillId="9" borderId="20" xfId="0" applyNumberFormat="1" applyFont="1" applyFill="1" applyBorder="1" applyAlignment="1" applyProtection="1">
      <alignment horizontal="center" vertical="center" wrapText="1"/>
      <protection hidden="1"/>
    </xf>
    <xf numFmtId="0" fontId="24" fillId="9" borderId="59" xfId="0" applyFont="1" applyFill="1" applyBorder="1" applyAlignment="1" applyProtection="1">
      <alignment horizontal="center" vertical="center" wrapText="1"/>
      <protection hidden="1"/>
    </xf>
    <xf numFmtId="2" fontId="24" fillId="9" borderId="31" xfId="0" applyNumberFormat="1" applyFont="1" applyFill="1" applyBorder="1" applyAlignment="1" applyProtection="1">
      <alignment horizontal="center" vertical="center" wrapText="1"/>
    </xf>
    <xf numFmtId="0" fontId="74" fillId="9" borderId="20" xfId="0" applyFont="1" applyFill="1" applyBorder="1" applyAlignment="1">
      <alignment horizontal="center" vertical="center" wrapText="1"/>
    </xf>
    <xf numFmtId="1" fontId="14" fillId="9" borderId="116" xfId="0" applyNumberFormat="1" applyFont="1" applyFill="1" applyBorder="1" applyAlignment="1">
      <alignment horizontal="center" vertical="top"/>
    </xf>
    <xf numFmtId="2" fontId="14" fillId="9" borderId="55" xfId="0" applyNumberFormat="1" applyFont="1" applyFill="1" applyBorder="1" applyAlignment="1">
      <alignment horizontal="center" vertical="top"/>
    </xf>
    <xf numFmtId="0" fontId="14" fillId="0" borderId="117" xfId="0" applyFont="1" applyFill="1" applyBorder="1" applyAlignment="1">
      <alignment vertical="top" wrapText="1"/>
    </xf>
    <xf numFmtId="0" fontId="14" fillId="0" borderId="117" xfId="0" applyFont="1" applyBorder="1" applyAlignment="1">
      <alignment vertical="top" wrapText="1"/>
    </xf>
    <xf numFmtId="2" fontId="47" fillId="0" borderId="47" xfId="0" applyNumberFormat="1" applyFont="1" applyBorder="1" applyAlignment="1">
      <alignment vertical="top" wrapText="1"/>
    </xf>
    <xf numFmtId="1" fontId="47" fillId="0" borderId="99" xfId="0" applyNumberFormat="1" applyFont="1" applyBorder="1" applyAlignment="1">
      <alignment horizontal="center" vertical="top" wrapText="1"/>
    </xf>
    <xf numFmtId="1" fontId="14" fillId="2" borderId="114" xfId="0" applyNumberFormat="1" applyFont="1" applyFill="1" applyBorder="1" applyAlignment="1">
      <alignment horizontal="center" vertical="top"/>
    </xf>
    <xf numFmtId="0" fontId="14" fillId="0" borderId="47" xfId="0" applyFont="1" applyFill="1" applyBorder="1" applyAlignment="1">
      <alignment vertical="top" wrapText="1"/>
    </xf>
    <xf numFmtId="0" fontId="14" fillId="0" borderId="114" xfId="0" applyFont="1" applyFill="1" applyBorder="1" applyAlignment="1">
      <alignment horizontal="center" vertical="top" wrapText="1"/>
    </xf>
    <xf numFmtId="1" fontId="14" fillId="0" borderId="117" xfId="0" applyNumberFormat="1" applyFont="1" applyFill="1" applyBorder="1" applyAlignment="1">
      <alignment horizontal="left" vertical="top" wrapText="1"/>
    </xf>
    <xf numFmtId="0" fontId="14" fillId="0" borderId="70" xfId="0" applyNumberFormat="1" applyFont="1" applyFill="1" applyBorder="1" applyAlignment="1">
      <alignment horizontal="left" vertical="top" wrapText="1"/>
    </xf>
    <xf numFmtId="0" fontId="14" fillId="0" borderId="100" xfId="0" applyNumberFormat="1" applyFont="1" applyFill="1" applyBorder="1" applyAlignment="1">
      <alignment horizontal="center" vertical="top" wrapText="1"/>
    </xf>
    <xf numFmtId="0" fontId="14" fillId="0" borderId="120" xfId="0" applyNumberFormat="1" applyFont="1" applyFill="1" applyBorder="1" applyAlignment="1">
      <alignment horizontal="left" vertical="top" wrapText="1"/>
    </xf>
    <xf numFmtId="0" fontId="14" fillId="0" borderId="24" xfId="0" applyNumberFormat="1" applyFont="1" applyFill="1" applyBorder="1" applyAlignment="1">
      <alignment horizontal="left" vertical="top" wrapText="1"/>
    </xf>
    <xf numFmtId="0" fontId="14" fillId="0" borderId="43" xfId="0" applyNumberFormat="1" applyFont="1" applyFill="1" applyBorder="1" applyAlignment="1">
      <alignment horizontal="center" vertical="top" wrapText="1"/>
    </xf>
    <xf numFmtId="0" fontId="47" fillId="0" borderId="17" xfId="0" applyNumberFormat="1" applyFont="1" applyFill="1" applyBorder="1" applyAlignment="1">
      <alignment vertical="top" wrapText="1"/>
    </xf>
    <xf numFmtId="2" fontId="14" fillId="3" borderId="55" xfId="0" applyNumberFormat="1" applyFont="1" applyFill="1" applyBorder="1" applyAlignment="1">
      <alignment horizontal="center" vertical="top" wrapText="1"/>
    </xf>
    <xf numFmtId="2" fontId="14" fillId="2" borderId="114" xfId="0" applyNumberFormat="1" applyFont="1" applyFill="1" applyBorder="1" applyAlignment="1" applyProtection="1">
      <alignment horizontal="center" vertical="top" wrapText="1"/>
    </xf>
    <xf numFmtId="0" fontId="24" fillId="22" borderId="116" xfId="0" applyFont="1" applyFill="1" applyBorder="1" applyAlignment="1">
      <alignment horizontal="center" vertical="center" wrapText="1"/>
    </xf>
    <xf numFmtId="0" fontId="14" fillId="0" borderId="30" xfId="0" applyFont="1" applyFill="1" applyBorder="1" applyAlignment="1">
      <alignment vertical="top" wrapText="1"/>
    </xf>
    <xf numFmtId="1" fontId="14" fillId="2" borderId="49" xfId="0" applyNumberFormat="1" applyFont="1" applyFill="1" applyBorder="1" applyAlignment="1">
      <alignment horizontal="center" vertical="top"/>
    </xf>
    <xf numFmtId="0" fontId="24" fillId="9" borderId="19" xfId="0" applyFont="1" applyFill="1" applyBorder="1" applyAlignment="1">
      <alignment horizontal="center" vertical="center" wrapText="1"/>
    </xf>
    <xf numFmtId="0" fontId="24" fillId="9" borderId="26" xfId="0" applyFont="1" applyFill="1" applyBorder="1" applyAlignment="1">
      <alignment horizontal="center" vertical="center" wrapText="1"/>
    </xf>
    <xf numFmtId="49" fontId="24" fillId="9" borderId="67" xfId="0" applyNumberFormat="1" applyFont="1" applyFill="1" applyBorder="1" applyAlignment="1">
      <alignment horizontal="center" vertical="center" wrapText="1"/>
    </xf>
    <xf numFmtId="0" fontId="24" fillId="9" borderId="0" xfId="0" applyFont="1" applyFill="1" applyBorder="1" applyAlignment="1">
      <alignment horizontal="center" vertical="center" wrapText="1"/>
    </xf>
    <xf numFmtId="1" fontId="24" fillId="9" borderId="26" xfId="0" applyNumberFormat="1" applyFont="1" applyFill="1" applyBorder="1" applyAlignment="1" applyProtection="1">
      <alignment horizontal="center" vertical="center" wrapText="1"/>
      <protection hidden="1"/>
    </xf>
    <xf numFmtId="0" fontId="24" fillId="9" borderId="0" xfId="0" applyFont="1" applyFill="1" applyBorder="1" applyAlignment="1" applyProtection="1">
      <alignment horizontal="center" vertical="center" wrapText="1"/>
      <protection hidden="1"/>
    </xf>
    <xf numFmtId="2" fontId="24" fillId="9" borderId="57" xfId="0" applyNumberFormat="1" applyFont="1" applyFill="1" applyBorder="1" applyAlignment="1" applyProtection="1">
      <alignment horizontal="center" vertical="center" wrapText="1"/>
    </xf>
    <xf numFmtId="0" fontId="74" fillId="9" borderId="26" xfId="0" applyFont="1" applyFill="1" applyBorder="1" applyAlignment="1">
      <alignment horizontal="center" vertical="center" wrapText="1"/>
    </xf>
    <xf numFmtId="0" fontId="74" fillId="9" borderId="68" xfId="0" applyFont="1" applyFill="1" applyBorder="1" applyAlignment="1">
      <alignment horizontal="center" vertical="center" wrapText="1"/>
    </xf>
    <xf numFmtId="49" fontId="47" fillId="0" borderId="0" xfId="0" applyNumberFormat="1" applyFont="1" applyBorder="1" applyAlignment="1">
      <alignment vertical="top" wrapText="1"/>
    </xf>
    <xf numFmtId="0" fontId="24" fillId="0" borderId="75" xfId="0" applyFont="1" applyBorder="1" applyAlignment="1">
      <alignment horizontal="center" vertical="center" wrapText="1"/>
    </xf>
    <xf numFmtId="0" fontId="31" fillId="0" borderId="0" xfId="0" applyFont="1" applyAlignment="1">
      <alignment horizontal="center" vertical="center" wrapText="1"/>
    </xf>
    <xf numFmtId="1" fontId="14" fillId="0" borderId="117" xfId="0" applyNumberFormat="1" applyFont="1" applyFill="1" applyBorder="1" applyAlignment="1" applyProtection="1">
      <alignment horizontal="left" vertical="top" wrapText="1"/>
      <protection hidden="1"/>
    </xf>
    <xf numFmtId="2" fontId="14" fillId="12" borderId="115" xfId="0" applyNumberFormat="1" applyFont="1" applyFill="1" applyBorder="1" applyAlignment="1">
      <alignment horizontal="center" vertical="top"/>
    </xf>
    <xf numFmtId="0" fontId="14" fillId="0" borderId="63" xfId="0" applyFont="1" applyFill="1" applyBorder="1" applyAlignment="1" applyProtection="1">
      <alignment horizontal="left" vertical="top" wrapText="1"/>
      <protection hidden="1"/>
    </xf>
    <xf numFmtId="0" fontId="14" fillId="0" borderId="60" xfId="0" applyFont="1" applyFill="1" applyBorder="1" applyAlignment="1" applyProtection="1">
      <alignment horizontal="left" vertical="top" wrapText="1"/>
      <protection hidden="1"/>
    </xf>
    <xf numFmtId="0" fontId="24" fillId="9" borderId="31" xfId="0" applyFont="1" applyFill="1" applyBorder="1" applyAlignment="1">
      <alignment horizontal="center" vertical="center" wrapText="1"/>
    </xf>
    <xf numFmtId="0" fontId="14" fillId="0" borderId="114" xfId="0" applyFont="1" applyBorder="1" applyAlignment="1">
      <alignment horizontal="center" vertical="top" wrapText="1"/>
    </xf>
    <xf numFmtId="0" fontId="14" fillId="2" borderId="114" xfId="0" applyFont="1" applyFill="1" applyBorder="1" applyAlignment="1">
      <alignment horizontal="center" vertical="top" wrapText="1"/>
    </xf>
    <xf numFmtId="2" fontId="14" fillId="9" borderId="0" xfId="0" applyNumberFormat="1" applyFont="1" applyFill="1" applyBorder="1" applyAlignment="1">
      <alignment horizontal="center" vertical="top" wrapText="1"/>
    </xf>
    <xf numFmtId="165" fontId="22" fillId="0" borderId="0" xfId="0" applyNumberFormat="1" applyFont="1" applyBorder="1">
      <alignment vertical="top"/>
    </xf>
    <xf numFmtId="0" fontId="19" fillId="0" borderId="0" xfId="0" applyFont="1" applyFill="1" applyBorder="1">
      <alignment vertical="top"/>
    </xf>
    <xf numFmtId="0" fontId="64" fillId="0" borderId="0" xfId="0" applyFont="1" applyFill="1" applyBorder="1" applyAlignment="1" applyProtection="1">
      <alignment vertical="top" wrapText="1"/>
      <protection hidden="1"/>
    </xf>
    <xf numFmtId="0" fontId="66" fillId="0" borderId="0" xfId="0" applyFont="1" applyFill="1" applyBorder="1" applyAlignment="1" applyProtection="1">
      <alignment vertical="top" wrapText="1"/>
      <protection hidden="1"/>
    </xf>
    <xf numFmtId="0" fontId="27" fillId="0" borderId="0" xfId="0" applyFont="1" applyFill="1" applyBorder="1" applyAlignment="1">
      <alignment horizontal="center" vertical="top" wrapText="1"/>
    </xf>
    <xf numFmtId="2" fontId="34" fillId="0" borderId="0" xfId="0" applyNumberFormat="1" applyFont="1" applyFill="1" applyBorder="1" applyAlignment="1">
      <alignment vertical="top" wrapText="1"/>
    </xf>
    <xf numFmtId="2" fontId="63" fillId="0" borderId="0" xfId="0" applyNumberFormat="1" applyFont="1" applyFill="1" applyBorder="1" applyAlignment="1" applyProtection="1">
      <alignment vertical="top" wrapText="1"/>
      <protection hidden="1"/>
    </xf>
    <xf numFmtId="2" fontId="13" fillId="11" borderId="118" xfId="0" applyNumberFormat="1" applyFont="1" applyFill="1" applyBorder="1" applyAlignment="1" applyProtection="1">
      <alignment horizontal="center" vertical="top"/>
      <protection hidden="1"/>
    </xf>
    <xf numFmtId="2" fontId="13" fillId="11" borderId="112" xfId="0" applyNumberFormat="1" applyFont="1" applyFill="1" applyBorder="1" applyAlignment="1" applyProtection="1">
      <alignment horizontal="center" vertical="top"/>
      <protection hidden="1"/>
    </xf>
    <xf numFmtId="0" fontId="77" fillId="0" borderId="30" xfId="0" applyFont="1" applyFill="1" applyBorder="1" applyAlignment="1"/>
    <xf numFmtId="2" fontId="19" fillId="0" borderId="116" xfId="0" applyNumberFormat="1" applyFont="1" applyFill="1" applyBorder="1" applyAlignment="1">
      <alignment horizontal="center"/>
    </xf>
    <xf numFmtId="2" fontId="13" fillId="11" borderId="26" xfId="0" applyNumberFormat="1" applyFont="1" applyFill="1" applyBorder="1" applyAlignment="1" applyProtection="1">
      <alignment horizontal="center" vertical="top"/>
      <protection hidden="1"/>
    </xf>
    <xf numFmtId="0" fontId="79" fillId="0" borderId="31" xfId="0" applyFont="1" applyBorder="1">
      <alignment vertical="top"/>
    </xf>
    <xf numFmtId="0" fontId="51" fillId="0" borderId="51" xfId="0" applyFont="1" applyFill="1" applyBorder="1" applyAlignment="1">
      <alignment horizontal="center"/>
    </xf>
    <xf numFmtId="0" fontId="51" fillId="0" borderId="64" xfId="0" applyFont="1" applyFill="1" applyBorder="1" applyAlignment="1">
      <alignment horizontal="center"/>
    </xf>
    <xf numFmtId="0" fontId="80" fillId="0" borderId="116" xfId="0" applyFont="1" applyBorder="1">
      <alignment vertical="top"/>
    </xf>
    <xf numFmtId="0" fontId="47" fillId="8" borderId="100" xfId="0" applyFont="1" applyFill="1" applyBorder="1" applyAlignment="1">
      <alignment horizontal="center" vertical="top"/>
    </xf>
    <xf numFmtId="0" fontId="47" fillId="8" borderId="105" xfId="0" applyFont="1" applyFill="1" applyBorder="1" applyAlignment="1">
      <alignment horizontal="center" vertical="top"/>
    </xf>
    <xf numFmtId="0" fontId="47" fillId="8" borderId="121" xfId="0" applyFont="1" applyFill="1" applyBorder="1" applyAlignment="1">
      <alignment horizontal="center" vertical="top"/>
    </xf>
    <xf numFmtId="0" fontId="79" fillId="0" borderId="31" xfId="0" applyFont="1" applyBorder="1" applyAlignment="1"/>
    <xf numFmtId="0" fontId="47" fillId="0" borderId="100" xfId="0" applyFont="1" applyFill="1" applyBorder="1" applyAlignment="1">
      <alignment horizontal="center" vertical="top"/>
    </xf>
    <xf numFmtId="0" fontId="47" fillId="0" borderId="121" xfId="0" applyFont="1" applyFill="1" applyBorder="1" applyAlignment="1">
      <alignment horizontal="center" vertical="top"/>
    </xf>
    <xf numFmtId="0" fontId="79" fillId="0" borderId="57" xfId="0" applyFont="1" applyBorder="1" applyAlignment="1"/>
    <xf numFmtId="0" fontId="79" fillId="0" borderId="19" xfId="0" applyFont="1" applyBorder="1" applyAlignment="1"/>
    <xf numFmtId="0" fontId="80" fillId="0" borderId="57" xfId="0" applyFont="1" applyBorder="1">
      <alignment vertical="top"/>
    </xf>
    <xf numFmtId="0" fontId="80" fillId="0" borderId="120" xfId="0" applyFont="1" applyBorder="1" applyAlignment="1"/>
    <xf numFmtId="0" fontId="79" fillId="0" borderId="120" xfId="0" applyFont="1" applyFill="1" applyBorder="1">
      <alignment vertical="top"/>
    </xf>
    <xf numFmtId="0" fontId="79" fillId="0" borderId="120" xfId="0" applyFont="1" applyBorder="1">
      <alignment vertical="top"/>
    </xf>
    <xf numFmtId="0" fontId="79" fillId="0" borderId="33" xfId="0" applyFont="1" applyBorder="1">
      <alignment vertical="top"/>
    </xf>
    <xf numFmtId="0" fontId="47" fillId="0" borderId="43" xfId="0" applyFont="1" applyFill="1" applyBorder="1" applyAlignment="1">
      <alignment horizontal="center" vertical="top"/>
    </xf>
    <xf numFmtId="0" fontId="47" fillId="0" borderId="34" xfId="0" applyFont="1" applyFill="1" applyBorder="1" applyAlignment="1">
      <alignment horizontal="center" vertical="top"/>
    </xf>
    <xf numFmtId="1" fontId="55" fillId="0" borderId="100" xfId="2" applyNumberFormat="1" applyFont="1" applyBorder="1" applyAlignment="1" applyProtection="1">
      <alignment horizontal="center" vertical="center"/>
      <protection locked="0"/>
    </xf>
    <xf numFmtId="1" fontId="18" fillId="7" borderId="63" xfId="1" applyNumberFormat="1" applyFont="1" applyFill="1" applyBorder="1" applyAlignment="1" applyProtection="1">
      <alignment vertical="center"/>
      <protection locked="0"/>
    </xf>
    <xf numFmtId="0" fontId="54" fillId="15" borderId="96" xfId="2" applyFont="1" applyFill="1" applyBorder="1" applyAlignment="1">
      <alignment horizontal="center" vertical="center" wrapText="1"/>
    </xf>
    <xf numFmtId="49" fontId="54" fillId="15" borderId="106" xfId="2" applyNumberFormat="1" applyFont="1" applyFill="1" applyBorder="1" applyAlignment="1">
      <alignment horizontal="center" vertical="center" wrapText="1"/>
    </xf>
    <xf numFmtId="49" fontId="54" fillId="0" borderId="106" xfId="2" applyNumberFormat="1" applyFont="1" applyBorder="1" applyAlignment="1" applyProtection="1">
      <alignment horizontal="center" vertical="center" wrapText="1"/>
      <protection locked="0"/>
    </xf>
    <xf numFmtId="0" fontId="54" fillId="15" borderId="106" xfId="2" applyFont="1" applyFill="1" applyBorder="1" applyAlignment="1" applyProtection="1">
      <alignment horizontal="center" vertical="center" wrapText="1"/>
      <protection locked="0"/>
    </xf>
    <xf numFmtId="1" fontId="54" fillId="0" borderId="106" xfId="2" applyNumberFormat="1" applyFont="1" applyBorder="1" applyAlignment="1" applyProtection="1">
      <alignment horizontal="center" vertical="center"/>
      <protection locked="0"/>
    </xf>
    <xf numFmtId="1" fontId="14" fillId="7" borderId="47" xfId="1" applyNumberFormat="1" applyFont="1" applyFill="1" applyBorder="1" applyAlignment="1">
      <alignment horizontal="center" vertical="center"/>
    </xf>
    <xf numFmtId="2" fontId="18" fillId="21" borderId="47" xfId="1" applyNumberFormat="1" applyFont="1" applyFill="1" applyBorder="1" applyAlignment="1">
      <alignment horizontal="center" vertical="center"/>
    </xf>
    <xf numFmtId="1" fontId="55" fillId="15" borderId="106" xfId="2" applyNumberFormat="1" applyFont="1" applyFill="1" applyBorder="1" applyAlignment="1" applyProtection="1">
      <alignment horizontal="center" vertical="center"/>
      <protection locked="0"/>
    </xf>
    <xf numFmtId="1" fontId="18" fillId="7" borderId="56" xfId="1" applyNumberFormat="1" applyFont="1" applyFill="1" applyBorder="1" applyAlignment="1" applyProtection="1">
      <alignment vertical="center"/>
      <protection locked="0"/>
    </xf>
    <xf numFmtId="1" fontId="18" fillId="7" borderId="47" xfId="1" applyNumberFormat="1" applyFont="1" applyFill="1" applyBorder="1" applyAlignment="1">
      <alignment horizontal="center" vertical="center"/>
    </xf>
    <xf numFmtId="1" fontId="18" fillId="7" borderId="0" xfId="1" applyNumberFormat="1" applyFont="1" applyFill="1" applyBorder="1" applyAlignment="1" applyProtection="1">
      <alignment vertical="center"/>
      <protection locked="0"/>
    </xf>
    <xf numFmtId="1" fontId="18" fillId="7" borderId="13" xfId="1" applyNumberFormat="1" applyFont="1" applyFill="1" applyBorder="1" applyAlignment="1" applyProtection="1">
      <alignment vertical="center"/>
      <protection locked="0"/>
    </xf>
    <xf numFmtId="49" fontId="18" fillId="7" borderId="0" xfId="1" applyNumberFormat="1" applyFont="1" applyFill="1" applyBorder="1" applyAlignment="1" applyProtection="1">
      <alignment vertical="center"/>
      <protection locked="0"/>
    </xf>
    <xf numFmtId="0" fontId="18" fillId="7" borderId="6" xfId="1" applyFont="1" applyFill="1" applyBorder="1" applyAlignment="1" applyProtection="1">
      <alignment vertical="center"/>
      <protection locked="0"/>
    </xf>
    <xf numFmtId="49" fontId="18" fillId="7" borderId="51" xfId="1" applyNumberFormat="1" applyFont="1" applyFill="1" applyBorder="1" applyAlignment="1" applyProtection="1">
      <alignment vertical="center"/>
      <protection locked="0"/>
    </xf>
    <xf numFmtId="49" fontId="18" fillId="7" borderId="6" xfId="1" applyNumberFormat="1" applyFont="1" applyFill="1" applyBorder="1" applyAlignment="1" applyProtection="1">
      <alignment vertical="center"/>
      <protection locked="0"/>
    </xf>
    <xf numFmtId="49" fontId="54" fillId="15" borderId="120" xfId="2" applyNumberFormat="1" applyFont="1" applyFill="1" applyBorder="1" applyAlignment="1">
      <alignment horizontal="center" vertical="center" wrapText="1"/>
    </xf>
    <xf numFmtId="49" fontId="54" fillId="0" borderId="100" xfId="2" applyNumberFormat="1" applyFont="1" applyBorder="1" applyAlignment="1" applyProtection="1">
      <alignment horizontal="center" vertical="center" wrapText="1"/>
      <protection locked="0"/>
    </xf>
    <xf numFmtId="0" fontId="54" fillId="15" borderId="100" xfId="2" applyFont="1" applyFill="1" applyBorder="1" applyAlignment="1" applyProtection="1">
      <alignment horizontal="center" vertical="center" wrapText="1"/>
      <protection locked="0"/>
    </xf>
    <xf numFmtId="1" fontId="55" fillId="0" borderId="44" xfId="2" applyNumberFormat="1" applyFont="1" applyBorder="1" applyAlignment="1" applyProtection="1">
      <alignment horizontal="center" vertical="center"/>
      <protection locked="0"/>
    </xf>
    <xf numFmtId="1" fontId="18" fillId="7" borderId="6" xfId="1" applyNumberFormat="1" applyFont="1" applyFill="1" applyBorder="1" applyAlignment="1" applyProtection="1">
      <alignment vertical="center"/>
      <protection locked="0"/>
    </xf>
    <xf numFmtId="1" fontId="55" fillId="0" borderId="43" xfId="2" applyNumberFormat="1" applyFont="1" applyBorder="1" applyAlignment="1" applyProtection="1">
      <alignment horizontal="center" vertical="center"/>
      <protection locked="0"/>
    </xf>
    <xf numFmtId="2" fontId="18" fillId="0" borderId="0" xfId="0" applyNumberFormat="1" applyFont="1">
      <alignment vertical="top"/>
    </xf>
    <xf numFmtId="0" fontId="13" fillId="0" borderId="118" xfId="0" applyFont="1" applyFill="1" applyBorder="1">
      <alignment vertical="top"/>
    </xf>
    <xf numFmtId="0" fontId="47" fillId="0" borderId="116" xfId="1" applyFont="1" applyFill="1" applyBorder="1" applyAlignment="1">
      <alignment horizontal="left" vertical="top"/>
    </xf>
    <xf numFmtId="0" fontId="47" fillId="0" borderId="116" xfId="1" applyFont="1" applyFill="1" applyBorder="1" applyAlignment="1">
      <alignment horizontal="left" vertical="top" wrapText="1"/>
    </xf>
    <xf numFmtId="0" fontId="47" fillId="0" borderId="116" xfId="1" applyFont="1" applyBorder="1" applyAlignment="1">
      <alignment horizontal="left" vertical="top"/>
    </xf>
    <xf numFmtId="49" fontId="54" fillId="15" borderId="105" xfId="2" applyNumberFormat="1" applyFont="1" applyFill="1" applyBorder="1" applyAlignment="1" applyProtection="1">
      <alignment horizontal="center" vertical="center" wrapText="1"/>
      <protection locked="0"/>
    </xf>
    <xf numFmtId="1" fontId="54" fillId="0" borderId="35" xfId="2" applyNumberFormat="1" applyFont="1" applyBorder="1" applyAlignment="1" applyProtection="1">
      <alignment horizontal="center" vertical="center"/>
      <protection locked="0"/>
    </xf>
    <xf numFmtId="0" fontId="54" fillId="15" borderId="113" xfId="2" applyFont="1" applyFill="1" applyBorder="1" applyAlignment="1">
      <alignment horizontal="center" vertical="center" wrapText="1"/>
    </xf>
    <xf numFmtId="1" fontId="54" fillId="0" borderId="105" xfId="2" applyNumberFormat="1" applyFont="1" applyBorder="1" applyAlignment="1" applyProtection="1">
      <alignment horizontal="center" vertical="center"/>
      <protection locked="0"/>
    </xf>
    <xf numFmtId="1" fontId="54" fillId="0" borderId="44" xfId="2" applyNumberFormat="1" applyFont="1" applyBorder="1" applyAlignment="1" applyProtection="1">
      <alignment horizontal="center" vertical="center"/>
      <protection locked="0"/>
    </xf>
    <xf numFmtId="0" fontId="54" fillId="15" borderId="105" xfId="2" applyFont="1" applyFill="1" applyBorder="1" applyAlignment="1">
      <alignment horizontal="center" vertical="center" wrapText="1"/>
    </xf>
    <xf numFmtId="0" fontId="74" fillId="22" borderId="4" xfId="0" applyFont="1" applyFill="1" applyBorder="1" applyAlignment="1">
      <alignment horizontal="left" vertical="center" wrapText="1"/>
    </xf>
    <xf numFmtId="0" fontId="74" fillId="22" borderId="4" xfId="0" applyFont="1" applyFill="1" applyBorder="1" applyAlignment="1">
      <alignment vertical="top" wrapText="1"/>
    </xf>
    <xf numFmtId="0" fontId="48" fillId="0" borderId="123" xfId="0" applyFont="1" applyBorder="1" applyAlignment="1" applyProtection="1">
      <alignment horizontal="center" vertical="top" wrapText="1"/>
    </xf>
    <xf numFmtId="0" fontId="48" fillId="0" borderId="124" xfId="0" applyFont="1" applyBorder="1" applyAlignment="1" applyProtection="1">
      <alignment horizontal="center" vertical="top" wrapText="1"/>
    </xf>
    <xf numFmtId="0" fontId="47" fillId="0" borderId="26" xfId="0" applyFont="1" applyFill="1" applyBorder="1" applyAlignment="1">
      <alignment horizontal="left" vertical="top" wrapText="1"/>
    </xf>
    <xf numFmtId="0" fontId="47" fillId="0" borderId="26" xfId="0" applyFont="1" applyFill="1" applyBorder="1" applyAlignment="1">
      <alignment vertical="top" wrapText="1"/>
    </xf>
    <xf numFmtId="0" fontId="47" fillId="0" borderId="40" xfId="0" applyFont="1" applyFill="1" applyBorder="1" applyAlignment="1">
      <alignment vertical="top" wrapText="1"/>
    </xf>
    <xf numFmtId="0" fontId="47" fillId="0" borderId="19" xfId="0" applyFont="1" applyFill="1" applyBorder="1" applyAlignment="1">
      <alignment vertical="top" wrapText="1"/>
    </xf>
    <xf numFmtId="1" fontId="49" fillId="22" borderId="4" xfId="0" applyNumberFormat="1" applyFont="1" applyFill="1" applyBorder="1" applyAlignment="1">
      <alignment horizontal="center"/>
    </xf>
    <xf numFmtId="1" fontId="49" fillId="22" borderId="41" xfId="0" applyNumberFormat="1" applyFont="1" applyFill="1" applyBorder="1" applyAlignment="1">
      <alignment horizontal="center"/>
    </xf>
    <xf numFmtId="1" fontId="49" fillId="22" borderId="4" xfId="0" applyNumberFormat="1" applyFont="1" applyFill="1" applyBorder="1" applyAlignment="1">
      <alignment horizontal="center" wrapText="1"/>
    </xf>
    <xf numFmtId="1" fontId="47" fillId="0" borderId="0" xfId="0" applyNumberFormat="1" applyFont="1" applyAlignment="1">
      <alignment horizontal="center"/>
    </xf>
    <xf numFmtId="2" fontId="47" fillId="19" borderId="99" xfId="0" applyNumberFormat="1" applyFont="1" applyFill="1" applyBorder="1" applyAlignment="1">
      <alignment horizontal="center" vertical="top"/>
    </xf>
    <xf numFmtId="0" fontId="47" fillId="0" borderId="0" xfId="0" applyFont="1" applyFill="1" applyBorder="1" applyAlignment="1">
      <alignment horizontal="center" vertical="top"/>
    </xf>
    <xf numFmtId="2" fontId="47" fillId="19" borderId="13" xfId="0" applyNumberFormat="1" applyFont="1" applyFill="1" applyBorder="1" applyAlignment="1">
      <alignment horizontal="center" vertical="top"/>
    </xf>
    <xf numFmtId="0" fontId="47" fillId="0" borderId="0" xfId="0" applyFont="1" applyBorder="1" applyAlignment="1">
      <alignment vertical="top"/>
    </xf>
    <xf numFmtId="0" fontId="18" fillId="0" borderId="0" xfId="0" applyFont="1" applyAlignment="1">
      <alignment vertical="top"/>
    </xf>
    <xf numFmtId="2" fontId="47" fillId="0" borderId="0" xfId="0" applyNumberFormat="1" applyFont="1" applyFill="1" applyBorder="1" applyAlignment="1">
      <alignment horizontal="center" vertical="top"/>
    </xf>
    <xf numFmtId="0" fontId="47" fillId="0" borderId="126" xfId="0" applyFont="1" applyFill="1" applyBorder="1" applyAlignment="1">
      <alignment horizontal="left" vertical="top" wrapText="1"/>
    </xf>
    <xf numFmtId="0" fontId="47" fillId="0" borderId="126" xfId="0" applyFont="1" applyFill="1" applyBorder="1" applyAlignment="1">
      <alignment vertical="top" wrapText="1"/>
    </xf>
    <xf numFmtId="49" fontId="48" fillId="0" borderId="123" xfId="1" applyNumberFormat="1" applyFont="1" applyBorder="1" applyAlignment="1">
      <alignment vertical="center" wrapText="1"/>
    </xf>
    <xf numFmtId="49" fontId="48" fillId="6" borderId="123" xfId="1" applyNumberFormat="1" applyFont="1" applyFill="1" applyBorder="1" applyAlignment="1">
      <alignment horizontal="center" vertical="center" wrapText="1"/>
    </xf>
    <xf numFmtId="49" fontId="48" fillId="6" borderId="124" xfId="1" applyNumberFormat="1" applyFont="1" applyFill="1" applyBorder="1" applyAlignment="1">
      <alignment horizontal="center" vertical="center" wrapText="1"/>
    </xf>
    <xf numFmtId="49" fontId="48" fillId="6" borderId="123" xfId="1" applyNumberFormat="1" applyFont="1" applyFill="1" applyBorder="1" applyAlignment="1">
      <alignment vertical="center" wrapText="1"/>
    </xf>
    <xf numFmtId="49" fontId="48" fillId="0" borderId="123" xfId="1" applyNumberFormat="1" applyFont="1" applyBorder="1" applyAlignment="1">
      <alignment horizontal="center" vertical="center" wrapText="1"/>
    </xf>
    <xf numFmtId="49" fontId="48" fillId="0" borderId="124" xfId="1" applyNumberFormat="1" applyFont="1" applyBorder="1" applyAlignment="1">
      <alignment horizontal="center" vertical="center" wrapText="1"/>
    </xf>
    <xf numFmtId="49" fontId="87" fillId="6" borderId="123" xfId="1" applyNumberFormat="1" applyFont="1" applyFill="1" applyBorder="1" applyAlignment="1">
      <alignment vertical="center" wrapText="1"/>
    </xf>
    <xf numFmtId="49" fontId="48" fillId="8" borderId="124" xfId="1" applyNumberFormat="1" applyFont="1" applyFill="1" applyBorder="1" applyAlignment="1">
      <alignment horizontal="right" vertical="center" wrapText="1"/>
    </xf>
    <xf numFmtId="49" fontId="48" fillId="0" borderId="123" xfId="1" applyNumberFormat="1" applyFont="1" applyBorder="1" applyAlignment="1">
      <alignment vertical="center"/>
    </xf>
    <xf numFmtId="49" fontId="48" fillId="0" borderId="123" xfId="1" applyNumberFormat="1" applyFont="1" applyBorder="1" applyAlignment="1" applyProtection="1">
      <alignment horizontal="center" vertical="top" wrapText="1"/>
    </xf>
    <xf numFmtId="49" fontId="48" fillId="0" borderId="124" xfId="1" applyNumberFormat="1" applyFont="1" applyBorder="1" applyAlignment="1" applyProtection="1">
      <alignment horizontal="center" vertical="top" wrapText="1"/>
    </xf>
    <xf numFmtId="49" fontId="57" fillId="0" borderId="123" xfId="1" applyNumberFormat="1" applyFont="1" applyBorder="1" applyAlignment="1">
      <alignment vertical="center"/>
    </xf>
    <xf numFmtId="49" fontId="48" fillId="0" borderId="124" xfId="1" applyNumberFormat="1" applyFont="1" applyBorder="1" applyAlignment="1">
      <alignment horizontal="right" vertical="center" wrapText="1"/>
    </xf>
    <xf numFmtId="0" fontId="58" fillId="16" borderId="50" xfId="0" applyNumberFormat="1" applyFont="1" applyFill="1" applyBorder="1" applyAlignment="1">
      <alignment vertical="center"/>
    </xf>
    <xf numFmtId="2" fontId="57" fillId="0" borderId="128" xfId="0" applyNumberFormat="1" applyFont="1" applyFill="1" applyBorder="1">
      <alignment vertical="top"/>
    </xf>
    <xf numFmtId="2" fontId="57" fillId="0" borderId="128" xfId="0" applyNumberFormat="1" applyFont="1" applyBorder="1">
      <alignment vertical="top"/>
    </xf>
    <xf numFmtId="0" fontId="90" fillId="4" borderId="128" xfId="1" applyNumberFormat="1" applyFont="1" applyFill="1" applyBorder="1" applyAlignment="1">
      <alignment vertical="center"/>
    </xf>
    <xf numFmtId="2" fontId="57" fillId="0" borderId="128" xfId="1" applyNumberFormat="1" applyFont="1" applyFill="1" applyBorder="1">
      <alignment vertical="top"/>
    </xf>
    <xf numFmtId="2" fontId="57" fillId="0" borderId="128" xfId="1" applyNumberFormat="1" applyFont="1" applyBorder="1">
      <alignment vertical="top"/>
    </xf>
    <xf numFmtId="0" fontId="90" fillId="9" borderId="128" xfId="1" applyFont="1" applyFill="1" applyBorder="1" applyAlignment="1">
      <alignment vertical="center" wrapText="1"/>
    </xf>
    <xf numFmtId="0" fontId="57" fillId="0" borderId="128" xfId="1" applyFont="1" applyBorder="1" applyAlignment="1">
      <alignment vertical="top" wrapText="1"/>
    </xf>
    <xf numFmtId="0" fontId="90" fillId="20" borderId="128" xfId="0" applyFont="1" applyFill="1" applyBorder="1" applyAlignment="1">
      <alignment vertical="center" wrapText="1"/>
    </xf>
    <xf numFmtId="0" fontId="57" fillId="0" borderId="128" xfId="0" applyFont="1" applyBorder="1" applyAlignment="1">
      <alignment vertical="top" wrapText="1"/>
    </xf>
    <xf numFmtId="0" fontId="57" fillId="0" borderId="128" xfId="0" applyFont="1" applyBorder="1" applyAlignment="1">
      <alignment horizontal="left" vertical="top" wrapText="1"/>
    </xf>
    <xf numFmtId="1" fontId="49" fillId="4" borderId="37" xfId="0" applyNumberFormat="1" applyFont="1" applyFill="1" applyBorder="1" applyAlignment="1">
      <alignment horizontal="center" wrapText="1"/>
    </xf>
    <xf numFmtId="2" fontId="49" fillId="17" borderId="47" xfId="0" applyNumberFormat="1" applyFont="1" applyFill="1" applyBorder="1" applyAlignment="1">
      <alignment horizontal="center" wrapText="1"/>
    </xf>
    <xf numFmtId="0" fontId="91" fillId="0" borderId="41" xfId="1" applyFont="1" applyFill="1" applyBorder="1" applyAlignment="1">
      <alignment horizontal="center" vertical="center" wrapText="1"/>
    </xf>
    <xf numFmtId="0" fontId="92" fillId="7" borderId="116" xfId="1" applyFont="1" applyFill="1" applyBorder="1" applyAlignment="1" applyProtection="1">
      <alignment horizontal="center" vertical="center" wrapText="1"/>
      <protection locked="0"/>
    </xf>
    <xf numFmtId="0" fontId="14" fillId="8" borderId="26" xfId="0" applyFont="1" applyFill="1" applyBorder="1" applyAlignment="1">
      <alignment horizontal="center" vertical="center"/>
    </xf>
    <xf numFmtId="0" fontId="14" fillId="8" borderId="26" xfId="0" applyFont="1" applyFill="1" applyBorder="1" applyAlignment="1">
      <alignment horizontal="left" vertical="top"/>
    </xf>
    <xf numFmtId="0" fontId="14" fillId="8" borderId="26" xfId="0" applyFont="1" applyFill="1" applyBorder="1">
      <alignment vertical="top"/>
    </xf>
    <xf numFmtId="0" fontId="14" fillId="0" borderId="100" xfId="0" applyFont="1" applyBorder="1" applyAlignment="1">
      <alignment vertical="top" wrapText="1"/>
    </xf>
    <xf numFmtId="0" fontId="14" fillId="0" borderId="100" xfId="0" applyFont="1" applyBorder="1" applyAlignment="1">
      <alignment horizontal="center" vertical="top"/>
    </xf>
    <xf numFmtId="0" fontId="14" fillId="0" borderId="43" xfId="0" applyFont="1" applyBorder="1" applyAlignment="1">
      <alignment horizontal="center" vertical="top"/>
    </xf>
    <xf numFmtId="0" fontId="14" fillId="14" borderId="127" xfId="0" applyFont="1" applyFill="1" applyBorder="1" applyAlignment="1" applyProtection="1">
      <alignment horizontal="center" vertical="top" wrapText="1"/>
      <protection locked="0"/>
    </xf>
    <xf numFmtId="0" fontId="14" fillId="0" borderId="108" xfId="0" applyFont="1" applyBorder="1" applyAlignment="1" applyProtection="1">
      <alignment horizontal="center" vertical="top"/>
      <protection locked="0"/>
    </xf>
    <xf numFmtId="0" fontId="14" fillId="0" borderId="128" xfId="0" applyFont="1" applyFill="1" applyBorder="1" applyAlignment="1" applyProtection="1">
      <alignment vertical="top" wrapText="1"/>
    </xf>
    <xf numFmtId="0" fontId="14" fillId="0" borderId="128" xfId="0" applyFont="1" applyFill="1" applyBorder="1" applyAlignment="1" applyProtection="1">
      <alignment horizontal="left" vertical="center" wrapText="1"/>
    </xf>
    <xf numFmtId="0" fontId="14" fillId="0" borderId="28" xfId="0" applyFont="1" applyBorder="1" applyAlignment="1" applyProtection="1">
      <alignment horizontal="center" vertical="top"/>
      <protection locked="0"/>
    </xf>
    <xf numFmtId="0" fontId="14" fillId="0" borderId="126" xfId="0" applyFont="1" applyBorder="1" applyAlignment="1">
      <alignment horizontal="left" vertical="top" wrapText="1"/>
    </xf>
    <xf numFmtId="0" fontId="94" fillId="8" borderId="26" xfId="0" applyFont="1" applyFill="1" applyBorder="1" applyAlignment="1">
      <alignment horizontal="left" vertical="top"/>
    </xf>
    <xf numFmtId="0" fontId="94" fillId="0" borderId="0" xfId="0" applyFont="1" applyFill="1" applyAlignment="1">
      <alignment horizontal="left" vertical="top"/>
    </xf>
    <xf numFmtId="0" fontId="14" fillId="0" borderId="83" xfId="0" applyFont="1" applyFill="1" applyBorder="1" applyAlignment="1" applyProtection="1">
      <alignment vertical="top" wrapText="1"/>
    </xf>
    <xf numFmtId="0" fontId="14" fillId="0" borderId="108" xfId="0" applyFont="1" applyFill="1" applyBorder="1" applyAlignment="1" applyProtection="1">
      <alignment vertical="top" wrapText="1"/>
    </xf>
    <xf numFmtId="0" fontId="15" fillId="9" borderId="126" xfId="0" applyFont="1" applyFill="1" applyBorder="1" applyAlignment="1">
      <alignment horizontal="center" vertical="center" wrapText="1"/>
    </xf>
    <xf numFmtId="1" fontId="15" fillId="9" borderId="126" xfId="0" applyNumberFormat="1" applyFont="1" applyFill="1" applyBorder="1" applyAlignment="1" applyProtection="1">
      <alignment horizontal="center" vertical="center" wrapText="1"/>
      <protection hidden="1"/>
    </xf>
    <xf numFmtId="0" fontId="51" fillId="9" borderId="126" xfId="0" applyFont="1" applyFill="1" applyBorder="1" applyAlignment="1">
      <alignment horizontal="center" vertical="center" wrapText="1"/>
    </xf>
    <xf numFmtId="1" fontId="14" fillId="0" borderId="111" xfId="0" applyNumberFormat="1" applyFont="1" applyFill="1" applyBorder="1" applyAlignment="1">
      <alignment horizontal="left" vertical="top" wrapText="1"/>
    </xf>
    <xf numFmtId="0" fontId="15" fillId="0" borderId="126" xfId="0" applyFont="1" applyBorder="1" applyAlignment="1">
      <alignment horizontal="center" vertical="center" wrapText="1"/>
    </xf>
    <xf numFmtId="0" fontId="14" fillId="0" borderId="0" xfId="0" applyNumberFormat="1" applyFont="1" applyAlignment="1">
      <alignment horizontal="center" vertical="top" wrapText="1"/>
    </xf>
    <xf numFmtId="0" fontId="14" fillId="0" borderId="0" xfId="0" applyNumberFormat="1" applyFont="1" applyAlignment="1">
      <alignment vertical="top" wrapText="1"/>
    </xf>
    <xf numFmtId="0" fontId="14" fillId="0" borderId="125" xfId="0" applyFont="1" applyBorder="1" applyAlignment="1">
      <alignment vertical="top" wrapText="1"/>
    </xf>
    <xf numFmtId="2" fontId="14" fillId="4" borderId="126" xfId="0" applyNumberFormat="1" applyFont="1" applyFill="1" applyBorder="1" applyAlignment="1">
      <alignment horizontal="center" vertical="top" wrapText="1"/>
    </xf>
    <xf numFmtId="0" fontId="71" fillId="0" borderId="100" xfId="0" applyFont="1" applyBorder="1" applyAlignment="1"/>
    <xf numFmtId="0" fontId="71" fillId="0" borderId="100" xfId="0" applyFont="1" applyBorder="1" applyAlignment="1">
      <alignment horizontal="center" wrapText="1"/>
    </xf>
    <xf numFmtId="0" fontId="0" fillId="0" borderId="100" xfId="0" applyBorder="1" applyAlignment="1"/>
    <xf numFmtId="0" fontId="0" fillId="0" borderId="100" xfId="0" applyBorder="1" applyAlignment="1">
      <alignment horizontal="center"/>
    </xf>
    <xf numFmtId="0" fontId="0" fillId="0" borderId="100" xfId="0" applyBorder="1">
      <alignment vertical="top"/>
    </xf>
    <xf numFmtId="1" fontId="14" fillId="8" borderId="78" xfId="0" applyNumberFormat="1" applyFont="1" applyFill="1" applyBorder="1" applyAlignment="1">
      <alignment horizontal="center" vertical="top" wrapText="1"/>
    </xf>
    <xf numFmtId="1" fontId="14" fillId="8" borderId="113" xfId="0" applyNumberFormat="1" applyFont="1" applyFill="1" applyBorder="1" applyAlignment="1">
      <alignment horizontal="center" vertical="top" wrapText="1"/>
    </xf>
    <xf numFmtId="0" fontId="14" fillId="0" borderId="119" xfId="0" applyFont="1" applyBorder="1" applyAlignment="1">
      <alignment vertical="top" wrapText="1"/>
    </xf>
    <xf numFmtId="1" fontId="14" fillId="2" borderId="12" xfId="0" applyNumberFormat="1" applyFont="1" applyFill="1" applyBorder="1" applyAlignment="1">
      <alignment horizontal="center" vertical="top" wrapText="1"/>
    </xf>
    <xf numFmtId="2" fontId="14" fillId="3" borderId="126" xfId="0" applyNumberFormat="1" applyFont="1" applyFill="1" applyBorder="1" applyAlignment="1">
      <alignment horizontal="center" vertical="top" wrapText="1"/>
    </xf>
    <xf numFmtId="1" fontId="14" fillId="2" borderId="123" xfId="0" applyNumberFormat="1" applyFont="1" applyFill="1" applyBorder="1" applyAlignment="1" applyProtection="1">
      <alignment horizontal="center" vertical="top" wrapText="1"/>
      <protection hidden="1"/>
    </xf>
    <xf numFmtId="0" fontId="14" fillId="2" borderId="123" xfId="0" applyFont="1" applyFill="1" applyBorder="1" applyAlignment="1" applyProtection="1">
      <alignment horizontal="center" vertical="top" wrapText="1"/>
      <protection hidden="1"/>
    </xf>
    <xf numFmtId="0" fontId="14" fillId="0" borderId="126" xfId="0" applyFont="1" applyFill="1" applyBorder="1" applyAlignment="1">
      <alignment horizontal="left" vertical="top"/>
    </xf>
    <xf numFmtId="2" fontId="14" fillId="0" borderId="0" xfId="0" applyNumberFormat="1" applyFont="1" applyFill="1" applyBorder="1" applyAlignment="1" applyProtection="1">
      <alignment vertical="top" wrapText="1"/>
    </xf>
    <xf numFmtId="2" fontId="14" fillId="9" borderId="116" xfId="0" applyNumberFormat="1" applyFont="1" applyFill="1" applyBorder="1" applyAlignment="1">
      <alignment horizontal="center" vertical="top" wrapText="1"/>
    </xf>
    <xf numFmtId="2" fontId="14" fillId="2" borderId="99" xfId="0" applyNumberFormat="1" applyFont="1" applyFill="1" applyBorder="1" applyAlignment="1" applyProtection="1">
      <alignment horizontal="center" vertical="top" wrapText="1"/>
    </xf>
    <xf numFmtId="1" fontId="14" fillId="2" borderId="0" xfId="0" applyNumberFormat="1" applyFont="1" applyFill="1" applyBorder="1" applyAlignment="1">
      <alignment horizontal="center" vertical="top" wrapText="1"/>
    </xf>
    <xf numFmtId="2" fontId="14" fillId="3" borderId="126" xfId="0" applyNumberFormat="1" applyFont="1" applyFill="1" applyBorder="1" applyAlignment="1">
      <alignment horizontal="center" vertical="top"/>
    </xf>
    <xf numFmtId="2" fontId="14" fillId="2" borderId="129" xfId="0" applyNumberFormat="1" applyFont="1" applyFill="1" applyBorder="1" applyAlignment="1">
      <alignment horizontal="center" vertical="top"/>
    </xf>
    <xf numFmtId="2" fontId="14" fillId="2" borderId="121" xfId="0" applyNumberFormat="1" applyFont="1" applyFill="1" applyBorder="1" applyAlignment="1">
      <alignment horizontal="center" vertical="top"/>
    </xf>
    <xf numFmtId="2" fontId="14" fillId="2" borderId="34" xfId="0" applyNumberFormat="1" applyFont="1" applyFill="1" applyBorder="1" applyAlignment="1">
      <alignment horizontal="center" vertical="top"/>
    </xf>
    <xf numFmtId="0" fontId="47" fillId="0" borderId="125" xfId="0" applyFont="1" applyBorder="1" applyAlignment="1">
      <alignment horizontal="left" vertical="top" wrapText="1"/>
    </xf>
    <xf numFmtId="0" fontId="26" fillId="0" borderId="0" xfId="0" applyFont="1">
      <alignment vertical="top"/>
    </xf>
    <xf numFmtId="0" fontId="13" fillId="0" borderId="107" xfId="0" applyFont="1" applyFill="1" applyBorder="1" applyAlignment="1" applyProtection="1">
      <alignment horizontal="center" vertical="top" wrapText="1"/>
      <protection locked="0"/>
    </xf>
    <xf numFmtId="0" fontId="15" fillId="0" borderId="100" xfId="0" applyFont="1" applyBorder="1" applyAlignment="1">
      <alignment horizontal="left" vertical="top" wrapText="1"/>
    </xf>
    <xf numFmtId="0" fontId="15" fillId="0" borderId="43" xfId="0" applyFont="1" applyBorder="1" applyAlignment="1">
      <alignment horizontal="left" vertical="top" wrapText="1"/>
    </xf>
    <xf numFmtId="0" fontId="15" fillId="0" borderId="112" xfId="0" applyFont="1" applyBorder="1" applyAlignment="1">
      <alignment horizontal="left" vertical="top" wrapText="1"/>
    </xf>
    <xf numFmtId="0" fontId="15" fillId="0" borderId="21" xfId="0" applyFont="1" applyBorder="1" applyAlignment="1">
      <alignment horizontal="left" vertical="top" wrapText="1"/>
    </xf>
    <xf numFmtId="0" fontId="58" fillId="6" borderId="3" xfId="0" applyFont="1" applyFill="1" applyBorder="1" applyAlignment="1">
      <alignment vertical="top" wrapText="1"/>
    </xf>
    <xf numFmtId="0" fontId="15" fillId="6" borderId="100" xfId="0" applyFont="1" applyFill="1" applyBorder="1" applyAlignment="1">
      <alignment vertical="top" wrapText="1"/>
    </xf>
    <xf numFmtId="0" fontId="14" fillId="6" borderId="17" xfId="0" applyFont="1" applyFill="1" applyBorder="1" applyAlignment="1">
      <alignment vertical="top" wrapText="1"/>
    </xf>
    <xf numFmtId="0" fontId="14" fillId="6" borderId="112" xfId="0" applyFont="1" applyFill="1" applyBorder="1" applyAlignment="1">
      <alignment vertical="top" wrapText="1"/>
    </xf>
    <xf numFmtId="0" fontId="14" fillId="0" borderId="99" xfId="0" applyFont="1" applyFill="1" applyBorder="1" applyAlignment="1" applyProtection="1">
      <alignment horizontal="center" vertical="top"/>
      <protection locked="0"/>
    </xf>
    <xf numFmtId="0" fontId="14" fillId="0" borderId="69" xfId="0" applyFont="1" applyBorder="1" applyAlignment="1" applyProtection="1">
      <alignment vertical="top" wrapText="1"/>
    </xf>
    <xf numFmtId="0" fontId="14" fillId="0" borderId="128" xfId="0" applyFont="1" applyBorder="1" applyAlignment="1" applyProtection="1">
      <alignment vertical="top" wrapText="1"/>
    </xf>
    <xf numFmtId="0" fontId="14" fillId="8" borderId="111" xfId="0" applyFont="1" applyFill="1" applyBorder="1" applyAlignment="1">
      <alignment horizontal="center" vertical="top" wrapText="1"/>
    </xf>
    <xf numFmtId="0" fontId="14" fillId="0" borderId="105" xfId="0" applyFont="1" applyBorder="1" applyAlignment="1">
      <alignment horizontal="center" vertical="top" wrapText="1"/>
    </xf>
    <xf numFmtId="0" fontId="14" fillId="0" borderId="44" xfId="0" applyFont="1" applyBorder="1" applyAlignment="1">
      <alignment horizontal="center" vertical="top" wrapText="1"/>
    </xf>
    <xf numFmtId="0" fontId="14" fillId="0" borderId="101" xfId="0" applyNumberFormat="1" applyFont="1" applyFill="1" applyBorder="1" applyAlignment="1">
      <alignment horizontal="left" vertical="top" wrapText="1"/>
    </xf>
    <xf numFmtId="0" fontId="14" fillId="0" borderId="105" xfId="0" applyNumberFormat="1" applyFont="1" applyFill="1" applyBorder="1" applyAlignment="1">
      <alignment horizontal="left" vertical="top" wrapText="1"/>
    </xf>
    <xf numFmtId="0" fontId="14" fillId="0" borderId="126" xfId="0" applyNumberFormat="1" applyFont="1" applyFill="1" applyBorder="1" applyAlignment="1">
      <alignment horizontal="left" vertical="top" wrapText="1"/>
    </xf>
    <xf numFmtId="0" fontId="14" fillId="0" borderId="44" xfId="0" applyNumberFormat="1" applyFont="1" applyFill="1" applyBorder="1" applyAlignment="1">
      <alignment horizontal="left" vertical="top" wrapText="1"/>
    </xf>
    <xf numFmtId="1" fontId="14" fillId="0" borderId="59" xfId="0" applyNumberFormat="1" applyFont="1" applyFill="1" applyBorder="1" applyAlignment="1">
      <alignment horizontal="left" vertical="top" wrapText="1"/>
    </xf>
    <xf numFmtId="1" fontId="14" fillId="2" borderId="78" xfId="0" applyNumberFormat="1" applyFont="1" applyFill="1" applyBorder="1" applyAlignment="1" applyProtection="1">
      <alignment horizontal="center" vertical="top" wrapText="1"/>
      <protection hidden="1"/>
    </xf>
    <xf numFmtId="0" fontId="14" fillId="2" borderId="55" xfId="0" applyFont="1" applyFill="1" applyBorder="1" applyAlignment="1" applyProtection="1">
      <alignment horizontal="center" vertical="top" wrapText="1"/>
      <protection hidden="1"/>
    </xf>
    <xf numFmtId="2" fontId="14" fillId="9" borderId="126" xfId="0" applyNumberFormat="1" applyFont="1" applyFill="1" applyBorder="1" applyAlignment="1" applyProtection="1">
      <alignment horizontal="center" vertical="top" wrapText="1"/>
    </xf>
    <xf numFmtId="1" fontId="14" fillId="0" borderId="106" xfId="0" applyNumberFormat="1" applyFont="1" applyFill="1" applyBorder="1" applyAlignment="1">
      <alignment horizontal="left" vertical="top" wrapText="1"/>
    </xf>
    <xf numFmtId="1" fontId="14" fillId="2" borderId="100" xfId="0" applyNumberFormat="1" applyFont="1" applyFill="1" applyBorder="1" applyAlignment="1" applyProtection="1">
      <alignment horizontal="center" vertical="top" wrapText="1"/>
      <protection hidden="1"/>
    </xf>
    <xf numFmtId="2" fontId="14" fillId="2" borderId="3" xfId="0" applyNumberFormat="1" applyFont="1" applyFill="1" applyBorder="1" applyAlignment="1" applyProtection="1">
      <alignment horizontal="center" vertical="top" wrapText="1"/>
    </xf>
    <xf numFmtId="2" fontId="14" fillId="2" borderId="100" xfId="0" applyNumberFormat="1" applyFont="1" applyFill="1" applyBorder="1" applyAlignment="1" applyProtection="1">
      <alignment horizontal="center" vertical="top" wrapText="1"/>
    </xf>
    <xf numFmtId="1" fontId="14" fillId="0" borderId="35" xfId="0" applyNumberFormat="1" applyFont="1" applyFill="1" applyBorder="1" applyAlignment="1">
      <alignment horizontal="left" vertical="top" wrapText="1"/>
    </xf>
    <xf numFmtId="1" fontId="14" fillId="2" borderId="43" xfId="0" applyNumberFormat="1" applyFont="1" applyFill="1" applyBorder="1" applyAlignment="1" applyProtection="1">
      <alignment horizontal="center" vertical="top" wrapText="1"/>
      <protection hidden="1"/>
    </xf>
    <xf numFmtId="0" fontId="14" fillId="2" borderId="43" xfId="0" applyFont="1" applyFill="1" applyBorder="1" applyAlignment="1" applyProtection="1">
      <alignment horizontal="center" vertical="top" wrapText="1"/>
      <protection hidden="1"/>
    </xf>
    <xf numFmtId="2" fontId="14" fillId="2" borderId="43" xfId="0" applyNumberFormat="1" applyFont="1" applyFill="1" applyBorder="1" applyAlignment="1" applyProtection="1">
      <alignment horizontal="center" vertical="top" wrapText="1"/>
    </xf>
    <xf numFmtId="0" fontId="14" fillId="0" borderId="126" xfId="0" applyFont="1" applyBorder="1" applyAlignment="1">
      <alignment vertical="top" wrapText="1"/>
    </xf>
    <xf numFmtId="1" fontId="14" fillId="2" borderId="101" xfId="0" applyNumberFormat="1" applyFont="1" applyFill="1" applyBorder="1" applyAlignment="1" applyProtection="1">
      <alignment horizontal="center" vertical="top" wrapText="1"/>
      <protection hidden="1"/>
    </xf>
    <xf numFmtId="2" fontId="14" fillId="3" borderId="19" xfId="0" applyNumberFormat="1" applyFont="1" applyFill="1" applyBorder="1" applyAlignment="1" applyProtection="1">
      <alignment horizontal="center" vertical="top" wrapText="1"/>
    </xf>
    <xf numFmtId="0" fontId="14" fillId="0" borderId="3" xfId="0" applyNumberFormat="1" applyFont="1" applyFill="1" applyBorder="1" applyAlignment="1">
      <alignment horizontal="left" vertical="top" wrapText="1"/>
    </xf>
    <xf numFmtId="0" fontId="14" fillId="0" borderId="100" xfId="0" applyNumberFormat="1" applyFont="1" applyFill="1" applyBorder="1" applyAlignment="1">
      <alignment horizontal="left" vertical="top" wrapText="1"/>
    </xf>
    <xf numFmtId="1" fontId="14" fillId="11" borderId="126" xfId="0" applyNumberFormat="1" applyFont="1" applyFill="1" applyBorder="1" applyAlignment="1" applyProtection="1">
      <alignment horizontal="left" vertical="top" wrapText="1"/>
      <protection hidden="1"/>
    </xf>
    <xf numFmtId="0" fontId="47" fillId="0" borderId="126" xfId="0" applyFont="1" applyFill="1" applyBorder="1" applyAlignment="1">
      <alignment horizontal="left" vertical="top"/>
    </xf>
    <xf numFmtId="1" fontId="14" fillId="2" borderId="105" xfId="0" applyNumberFormat="1" applyFont="1" applyFill="1" applyBorder="1" applyAlignment="1">
      <alignment horizontal="center" vertical="top"/>
    </xf>
    <xf numFmtId="1" fontId="72" fillId="2" borderId="58" xfId="0" applyNumberFormat="1" applyFont="1" applyFill="1" applyBorder="1" applyAlignment="1">
      <alignment horizontal="center" vertical="top" wrapText="1"/>
    </xf>
    <xf numFmtId="1" fontId="72" fillId="2" borderId="78" xfId="0" applyNumberFormat="1" applyFont="1" applyFill="1" applyBorder="1" applyAlignment="1">
      <alignment horizontal="center" vertical="top" wrapText="1"/>
    </xf>
    <xf numFmtId="1" fontId="72" fillId="2" borderId="55" xfId="0" applyNumberFormat="1" applyFont="1" applyFill="1" applyBorder="1" applyAlignment="1">
      <alignment horizontal="center" vertical="top" wrapText="1"/>
    </xf>
    <xf numFmtId="2" fontId="72" fillId="2" borderId="8" xfId="0" applyNumberFormat="1" applyFont="1" applyFill="1" applyBorder="1" applyAlignment="1">
      <alignment horizontal="center" vertical="top" wrapText="1"/>
    </xf>
    <xf numFmtId="2" fontId="72" fillId="2" borderId="104" xfId="0" applyNumberFormat="1" applyFont="1" applyFill="1" applyBorder="1" applyAlignment="1">
      <alignment horizontal="center" vertical="top" wrapText="1"/>
    </xf>
    <xf numFmtId="0" fontId="14" fillId="0" borderId="43" xfId="0" applyFont="1" applyBorder="1" applyAlignment="1">
      <alignment vertical="top" wrapText="1"/>
    </xf>
    <xf numFmtId="2" fontId="72" fillId="2" borderId="42" xfId="0" applyNumberFormat="1" applyFont="1" applyFill="1" applyBorder="1" applyAlignment="1">
      <alignment horizontal="center" vertical="top" wrapText="1"/>
    </xf>
    <xf numFmtId="0" fontId="14" fillId="0" borderId="126" xfId="0" applyFont="1" applyFill="1" applyBorder="1" applyAlignment="1">
      <alignment horizontal="left" vertical="top" wrapText="1"/>
    </xf>
    <xf numFmtId="0" fontId="14" fillId="0" borderId="69" xfId="0" applyFont="1" applyBorder="1" applyAlignment="1">
      <alignment horizontal="left" vertical="top" wrapText="1"/>
    </xf>
    <xf numFmtId="0" fontId="14" fillId="0" borderId="128" xfId="0" applyFont="1" applyBorder="1" applyAlignment="1">
      <alignment horizontal="left" vertical="top" wrapText="1"/>
    </xf>
    <xf numFmtId="0" fontId="14" fillId="0" borderId="33" xfId="0" applyFont="1" applyBorder="1" applyAlignment="1">
      <alignment horizontal="left" vertical="top" wrapText="1"/>
    </xf>
    <xf numFmtId="2" fontId="14" fillId="2" borderId="34" xfId="0" applyNumberFormat="1" applyFont="1" applyFill="1" applyBorder="1" applyAlignment="1">
      <alignment horizontal="center" vertical="top" wrapText="1"/>
    </xf>
    <xf numFmtId="0" fontId="47" fillId="0" borderId="126" xfId="0" applyFont="1" applyBorder="1" applyAlignment="1">
      <alignment vertical="top" wrapText="1"/>
    </xf>
    <xf numFmtId="0" fontId="18" fillId="0" borderId="0" xfId="0" applyFont="1" applyFill="1" applyAlignment="1">
      <alignment horizontal="center" vertical="top"/>
    </xf>
    <xf numFmtId="0" fontId="18" fillId="0" borderId="0" xfId="0" applyFont="1" applyAlignment="1"/>
    <xf numFmtId="0" fontId="24" fillId="9" borderId="40" xfId="0" applyFont="1" applyFill="1" applyBorder="1" applyAlignment="1">
      <alignment horizontal="center" vertical="center" wrapText="1"/>
    </xf>
    <xf numFmtId="0" fontId="24" fillId="9" borderId="10" xfId="0" applyFont="1" applyFill="1" applyBorder="1" applyAlignment="1">
      <alignment horizontal="center" vertical="center" wrapText="1"/>
    </xf>
    <xf numFmtId="1" fontId="24" fillId="9" borderId="40" xfId="0" applyNumberFormat="1" applyFont="1" applyFill="1" applyBorder="1" applyAlignment="1" applyProtection="1">
      <alignment horizontal="center" vertical="center" wrapText="1"/>
      <protection hidden="1"/>
    </xf>
    <xf numFmtId="0" fontId="24" fillId="9" borderId="10" xfId="0" applyFont="1" applyFill="1" applyBorder="1" applyAlignment="1" applyProtection="1">
      <alignment horizontal="center" vertical="center" wrapText="1"/>
      <protection hidden="1"/>
    </xf>
    <xf numFmtId="2" fontId="24" fillId="9" borderId="19" xfId="0" applyNumberFormat="1" applyFont="1" applyFill="1" applyBorder="1" applyAlignment="1" applyProtection="1">
      <alignment horizontal="center" vertical="center" wrapText="1"/>
    </xf>
    <xf numFmtId="0" fontId="74" fillId="9" borderId="40" xfId="0" applyFont="1" applyFill="1" applyBorder="1" applyAlignment="1">
      <alignment horizontal="center" vertical="center" wrapText="1"/>
    </xf>
    <xf numFmtId="1" fontId="18" fillId="0" borderId="0" xfId="0" applyNumberFormat="1" applyFont="1" applyBorder="1" applyAlignment="1">
      <alignment horizontal="center" vertical="top"/>
    </xf>
    <xf numFmtId="2" fontId="14" fillId="12" borderId="126" xfId="0" applyNumberFormat="1" applyFont="1" applyFill="1" applyBorder="1" applyAlignment="1">
      <alignment horizontal="center" vertical="top"/>
    </xf>
    <xf numFmtId="0" fontId="14" fillId="0" borderId="126" xfId="0" applyFont="1" applyFill="1" applyBorder="1" applyAlignment="1">
      <alignment vertical="top" wrapText="1"/>
    </xf>
    <xf numFmtId="1" fontId="47" fillId="0" borderId="87" xfId="0" applyNumberFormat="1" applyFont="1" applyBorder="1" applyAlignment="1">
      <alignment horizontal="center" vertical="top" wrapText="1"/>
    </xf>
    <xf numFmtId="1" fontId="47" fillId="0" borderId="82" xfId="0" applyNumberFormat="1" applyFont="1" applyBorder="1" applyAlignment="1">
      <alignment horizontal="center" vertical="top" wrapText="1"/>
    </xf>
    <xf numFmtId="1" fontId="47" fillId="0" borderId="44" xfId="0" applyNumberFormat="1" applyFont="1" applyBorder="1" applyAlignment="1">
      <alignment horizontal="center" vertical="top" wrapText="1"/>
    </xf>
    <xf numFmtId="1" fontId="47" fillId="0" borderId="87" xfId="0" applyNumberFormat="1" applyFont="1" applyBorder="1" applyAlignment="1">
      <alignment horizontal="left" vertical="top" wrapText="1"/>
    </xf>
    <xf numFmtId="1" fontId="47" fillId="0" borderId="82" xfId="0" applyNumberFormat="1" applyFont="1" applyBorder="1" applyAlignment="1">
      <alignment horizontal="left" vertical="top" wrapText="1"/>
    </xf>
    <xf numFmtId="1" fontId="47" fillId="0" borderId="44" xfId="0" applyNumberFormat="1" applyFont="1" applyBorder="1" applyAlignment="1">
      <alignment horizontal="left" vertical="top" wrapText="1"/>
    </xf>
    <xf numFmtId="1" fontId="14" fillId="11" borderId="57" xfId="0" applyNumberFormat="1" applyFont="1" applyFill="1" applyBorder="1" applyAlignment="1" applyProtection="1">
      <alignment vertical="top" wrapText="1"/>
      <protection hidden="1"/>
    </xf>
    <xf numFmtId="1" fontId="14" fillId="2" borderId="58" xfId="0" applyNumberFormat="1" applyFont="1" applyFill="1" applyBorder="1" applyAlignment="1" applyProtection="1">
      <alignment horizontal="center" vertical="top" wrapText="1"/>
      <protection hidden="1"/>
    </xf>
    <xf numFmtId="1" fontId="14" fillId="0" borderId="126" xfId="0" applyNumberFormat="1" applyFont="1" applyFill="1" applyBorder="1" applyAlignment="1">
      <alignment horizontal="left" vertical="top" wrapText="1"/>
    </xf>
    <xf numFmtId="49" fontId="24" fillId="9" borderId="68" xfId="0" applyNumberFormat="1" applyFont="1" applyFill="1" applyBorder="1" applyAlignment="1">
      <alignment horizontal="center" vertical="center" wrapText="1"/>
    </xf>
    <xf numFmtId="1" fontId="47" fillId="11" borderId="57" xfId="0" applyNumberFormat="1" applyFont="1" applyFill="1" applyBorder="1" applyAlignment="1" applyProtection="1">
      <alignment horizontal="left" vertical="top" wrapText="1"/>
      <protection hidden="1"/>
    </xf>
    <xf numFmtId="0" fontId="53" fillId="0" borderId="0" xfId="0" applyFont="1" applyFill="1" applyBorder="1" applyAlignment="1">
      <alignment horizontal="center" vertical="top" wrapText="1"/>
    </xf>
    <xf numFmtId="0" fontId="47" fillId="0" borderId="0" xfId="0" applyFont="1" applyAlignment="1"/>
    <xf numFmtId="2" fontId="14" fillId="12" borderId="59" xfId="0" applyNumberFormat="1" applyFont="1" applyFill="1" applyBorder="1" applyAlignment="1">
      <alignment horizontal="center" vertical="top"/>
    </xf>
    <xf numFmtId="1" fontId="47" fillId="11" borderId="19" xfId="0" applyNumberFormat="1" applyFont="1" applyFill="1" applyBorder="1" applyAlignment="1" applyProtection="1">
      <alignment horizontal="left" vertical="top" wrapText="1"/>
      <protection hidden="1"/>
    </xf>
    <xf numFmtId="0" fontId="14" fillId="0" borderId="0" xfId="0" applyNumberFormat="1" applyFont="1" applyAlignment="1">
      <alignment horizontal="left" vertical="top" wrapText="1"/>
    </xf>
    <xf numFmtId="1" fontId="14" fillId="0" borderId="125" xfId="0" applyNumberFormat="1" applyFont="1" applyFill="1" applyBorder="1" applyAlignment="1">
      <alignment horizontal="left" vertical="top" wrapText="1"/>
    </xf>
    <xf numFmtId="1" fontId="14" fillId="0" borderId="126" xfId="0" applyNumberFormat="1" applyFont="1" applyFill="1" applyBorder="1" applyAlignment="1" applyProtection="1">
      <alignment horizontal="left" vertical="top" wrapText="1"/>
      <protection hidden="1"/>
    </xf>
    <xf numFmtId="0" fontId="18" fillId="0" borderId="0" xfId="0" applyFont="1" applyAlignment="1">
      <alignment horizontal="left"/>
    </xf>
    <xf numFmtId="0" fontId="14" fillId="14" borderId="20" xfId="0" applyFont="1" applyFill="1" applyBorder="1" applyAlignment="1" applyProtection="1">
      <alignment horizontal="center" vertical="top" wrapText="1"/>
      <protection locked="0"/>
    </xf>
    <xf numFmtId="0" fontId="14" fillId="0" borderId="121" xfId="0" applyFont="1" applyBorder="1" applyAlignment="1" applyProtection="1">
      <alignment horizontal="center" vertical="top"/>
      <protection locked="0"/>
    </xf>
    <xf numFmtId="0" fontId="14" fillId="0" borderId="34" xfId="0" applyFont="1" applyBorder="1" applyAlignment="1" applyProtection="1">
      <alignment horizontal="center" vertical="top"/>
      <protection locked="0"/>
    </xf>
    <xf numFmtId="0" fontId="14" fillId="0" borderId="31"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20" xfId="0" applyFont="1" applyFill="1" applyBorder="1" applyAlignment="1">
      <alignment horizontal="left" vertical="top"/>
    </xf>
    <xf numFmtId="0" fontId="14" fillId="0" borderId="26" xfId="0" applyFont="1" applyFill="1" applyBorder="1" applyAlignment="1">
      <alignment horizontal="left" vertical="top"/>
    </xf>
    <xf numFmtId="0" fontId="14" fillId="0" borderId="40" xfId="0" applyFont="1" applyFill="1" applyBorder="1" applyAlignment="1">
      <alignment horizontal="left" vertical="top"/>
    </xf>
    <xf numFmtId="0" fontId="14" fillId="0" borderId="26" xfId="0" applyFont="1" applyFill="1" applyBorder="1" applyAlignment="1">
      <alignment horizontal="left" vertical="top" wrapText="1"/>
    </xf>
    <xf numFmtId="0" fontId="14" fillId="0" borderId="20" xfId="0" applyFont="1" applyFill="1" applyBorder="1" applyAlignment="1" applyProtection="1">
      <alignment horizontal="left" vertical="top" wrapText="1"/>
    </xf>
    <xf numFmtId="0" fontId="14" fillId="0" borderId="26" xfId="0" applyFont="1" applyBorder="1" applyAlignment="1" applyProtection="1">
      <alignment vertical="top" wrapText="1"/>
    </xf>
    <xf numFmtId="0" fontId="14" fillId="0" borderId="40" xfId="0" applyFont="1" applyBorder="1" applyAlignment="1" applyProtection="1">
      <alignment vertical="top" wrapText="1"/>
    </xf>
    <xf numFmtId="0" fontId="14" fillId="0" borderId="20" xfId="1" applyFont="1" applyFill="1" applyBorder="1" applyAlignment="1">
      <alignment horizontal="left" vertical="top" wrapText="1"/>
    </xf>
    <xf numFmtId="0" fontId="14" fillId="0" borderId="40" xfId="1" applyFont="1" applyFill="1" applyBorder="1" applyAlignment="1">
      <alignment horizontal="left" vertical="top" wrapText="1"/>
    </xf>
    <xf numFmtId="0" fontId="14" fillId="0" borderId="20" xfId="0" applyFont="1" applyFill="1" applyBorder="1" applyAlignment="1">
      <alignment horizontal="left" vertical="top" wrapText="1"/>
    </xf>
    <xf numFmtId="1" fontId="14" fillId="0" borderId="31" xfId="0" applyNumberFormat="1" applyFont="1" applyFill="1" applyBorder="1" applyAlignment="1">
      <alignment horizontal="left" vertical="top" wrapText="1"/>
    </xf>
    <xf numFmtId="1" fontId="14" fillId="0" borderId="57" xfId="0" applyNumberFormat="1" applyFont="1" applyFill="1" applyBorder="1" applyAlignment="1">
      <alignment horizontal="left" vertical="top" wrapText="1"/>
    </xf>
    <xf numFmtId="1" fontId="14" fillId="0" borderId="20" xfId="0" applyNumberFormat="1" applyFont="1" applyFill="1" applyBorder="1" applyAlignment="1">
      <alignment horizontal="left" vertical="top" wrapText="1"/>
    </xf>
    <xf numFmtId="1" fontId="14" fillId="0" borderId="40" xfId="0" applyNumberFormat="1" applyFont="1" applyFill="1" applyBorder="1" applyAlignment="1">
      <alignment horizontal="left" vertical="top" wrapText="1"/>
    </xf>
    <xf numFmtId="0" fontId="47" fillId="0" borderId="20" xfId="0" applyFont="1" applyFill="1" applyBorder="1" applyAlignment="1">
      <alignment horizontal="left" vertical="top" wrapText="1"/>
    </xf>
    <xf numFmtId="0" fontId="47" fillId="0" borderId="26" xfId="0" applyFont="1" applyFill="1" applyBorder="1" applyAlignment="1">
      <alignment horizontal="left" vertical="top" wrapText="1"/>
    </xf>
    <xf numFmtId="0" fontId="47" fillId="0" borderId="40" xfId="0" applyFont="1" applyFill="1" applyBorder="1" applyAlignment="1">
      <alignment horizontal="left" vertical="top" wrapText="1"/>
    </xf>
    <xf numFmtId="0" fontId="14" fillId="0" borderId="40" xfId="0" applyFont="1" applyFill="1" applyBorder="1" applyAlignment="1">
      <alignment horizontal="left" vertical="top" wrapText="1"/>
    </xf>
    <xf numFmtId="0" fontId="14" fillId="0" borderId="20" xfId="0" applyFont="1" applyBorder="1" applyAlignment="1">
      <alignment horizontal="left" vertical="top" wrapText="1"/>
    </xf>
    <xf numFmtId="0" fontId="14" fillId="0" borderId="26" xfId="0" applyFont="1" applyBorder="1" applyAlignment="1">
      <alignment horizontal="left" vertical="top" wrapText="1"/>
    </xf>
    <xf numFmtId="0" fontId="14" fillId="0" borderId="17" xfId="0" applyFont="1" applyBorder="1" applyAlignment="1">
      <alignment horizontal="left" vertical="top" wrapText="1"/>
    </xf>
    <xf numFmtId="0" fontId="14" fillId="0" borderId="40" xfId="0" applyFont="1" applyBorder="1" applyAlignment="1">
      <alignment horizontal="left" vertical="top" wrapText="1"/>
    </xf>
    <xf numFmtId="1" fontId="14" fillId="0" borderId="13" xfId="0" applyNumberFormat="1" applyFont="1" applyFill="1" applyBorder="1" applyAlignment="1" applyProtection="1">
      <alignment horizontal="left" vertical="top" wrapText="1"/>
      <protection hidden="1"/>
    </xf>
    <xf numFmtId="0" fontId="47" fillId="0" borderId="67" xfId="0" applyFont="1" applyFill="1" applyBorder="1" applyAlignment="1">
      <alignment horizontal="left" vertical="top" wrapText="1"/>
    </xf>
    <xf numFmtId="1" fontId="14" fillId="0" borderId="26" xfId="0" applyNumberFormat="1" applyFont="1" applyFill="1" applyBorder="1" applyAlignment="1" applyProtection="1">
      <alignment horizontal="left" vertical="top" wrapText="1"/>
      <protection hidden="1"/>
    </xf>
    <xf numFmtId="0" fontId="14" fillId="0" borderId="57" xfId="0" applyFont="1" applyBorder="1" applyAlignment="1">
      <alignment horizontal="left" vertical="top" wrapText="1"/>
    </xf>
    <xf numFmtId="0" fontId="14" fillId="0" borderId="19" xfId="0" applyFont="1" applyBorder="1" applyAlignment="1">
      <alignment horizontal="left" vertical="top" wrapText="1"/>
    </xf>
    <xf numFmtId="0" fontId="14" fillId="0" borderId="13" xfId="0" applyFont="1" applyBorder="1" applyAlignment="1">
      <alignment horizontal="left" vertical="top" wrapText="1"/>
    </xf>
    <xf numFmtId="0" fontId="14" fillId="0" borderId="31" xfId="0" applyFont="1" applyFill="1" applyBorder="1" applyAlignment="1">
      <alignment horizontal="left" vertical="top" wrapText="1"/>
    </xf>
    <xf numFmtId="0" fontId="14" fillId="0" borderId="57" xfId="0" applyFont="1" applyFill="1" applyBorder="1" applyAlignment="1">
      <alignment horizontal="left" vertical="top" wrapText="1"/>
    </xf>
    <xf numFmtId="0" fontId="14" fillId="0" borderId="67" xfId="0" applyFont="1" applyFill="1" applyBorder="1" applyAlignment="1">
      <alignment vertical="top" wrapText="1"/>
    </xf>
    <xf numFmtId="0" fontId="14" fillId="0" borderId="67" xfId="0" applyFont="1" applyBorder="1" applyAlignment="1">
      <alignment vertical="top" wrapText="1"/>
    </xf>
    <xf numFmtId="0" fontId="14" fillId="0" borderId="68" xfId="0" applyFont="1" applyBorder="1" applyAlignment="1">
      <alignment vertical="top" wrapText="1"/>
    </xf>
    <xf numFmtId="0" fontId="14" fillId="0" borderId="12" xfId="0" applyFont="1" applyBorder="1" applyAlignment="1">
      <alignment vertical="top" wrapText="1"/>
    </xf>
    <xf numFmtId="0" fontId="14" fillId="0" borderId="20" xfId="0" applyFont="1" applyBorder="1" applyAlignment="1">
      <alignment vertical="top" wrapText="1"/>
    </xf>
    <xf numFmtId="0" fontId="14" fillId="0" borderId="26" xfId="0" applyFont="1" applyBorder="1" applyAlignment="1">
      <alignment vertical="top" wrapText="1"/>
    </xf>
    <xf numFmtId="0" fontId="14" fillId="0" borderId="40" xfId="0" applyFont="1" applyBorder="1" applyAlignment="1">
      <alignment vertical="top" wrapText="1"/>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68" xfId="0" applyFont="1" applyBorder="1" applyAlignment="1">
      <alignment horizontal="left" vertical="top" wrapText="1"/>
    </xf>
    <xf numFmtId="0" fontId="14" fillId="0" borderId="26" xfId="0" applyNumberFormat="1" applyFont="1" applyFill="1" applyBorder="1" applyAlignment="1">
      <alignment horizontal="left" vertical="top" wrapText="1"/>
    </xf>
    <xf numFmtId="0" fontId="14" fillId="0" borderId="40" xfId="0" applyNumberFormat="1" applyFont="1" applyFill="1" applyBorder="1" applyAlignment="1">
      <alignment horizontal="left" vertical="top" wrapText="1"/>
    </xf>
    <xf numFmtId="0" fontId="14" fillId="0" borderId="0" xfId="0" applyNumberFormat="1"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112"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67" xfId="0" applyFont="1" applyBorder="1" applyAlignment="1">
      <alignment horizontal="left" vertical="top" wrapText="1"/>
    </xf>
    <xf numFmtId="0" fontId="14" fillId="0" borderId="112" xfId="0" applyFont="1" applyBorder="1" applyAlignment="1">
      <alignment horizontal="left" vertical="top" wrapText="1"/>
    </xf>
    <xf numFmtId="0" fontId="14" fillId="0" borderId="107" xfId="0" applyFont="1" applyBorder="1" applyAlignment="1">
      <alignment horizontal="left" vertical="top" wrapText="1"/>
    </xf>
    <xf numFmtId="0" fontId="14" fillId="0" borderId="20" xfId="0" applyFont="1" applyFill="1" applyBorder="1" applyAlignment="1">
      <alignment vertical="top" wrapText="1"/>
    </xf>
    <xf numFmtId="0" fontId="14" fillId="0" borderId="31" xfId="0" applyFont="1" applyFill="1" applyBorder="1" applyAlignment="1">
      <alignment vertical="top" wrapText="1"/>
    </xf>
    <xf numFmtId="0" fontId="47" fillId="0" borderId="20" xfId="0" applyFont="1" applyBorder="1" applyAlignment="1">
      <alignment horizontal="left" vertical="top" wrapText="1"/>
    </xf>
    <xf numFmtId="0" fontId="47" fillId="0" borderId="26" xfId="0" applyFont="1" applyBorder="1" applyAlignment="1">
      <alignment horizontal="left" vertical="top" wrapText="1"/>
    </xf>
    <xf numFmtId="0" fontId="47" fillId="0" borderId="40" xfId="0" applyFont="1" applyBorder="1" applyAlignment="1">
      <alignment horizontal="left" vertical="top" wrapText="1"/>
    </xf>
    <xf numFmtId="0" fontId="47" fillId="0" borderId="20" xfId="0" applyFont="1" applyFill="1" applyBorder="1" applyAlignment="1">
      <alignment vertical="top" wrapText="1"/>
    </xf>
    <xf numFmtId="0" fontId="14" fillId="0" borderId="26" xfId="0" applyFont="1" applyFill="1" applyBorder="1" applyAlignment="1">
      <alignment vertical="top" wrapText="1"/>
    </xf>
    <xf numFmtId="0" fontId="14" fillId="0" borderId="40" xfId="0" applyFont="1" applyFill="1" applyBorder="1" applyAlignment="1">
      <alignment vertical="top" wrapText="1"/>
    </xf>
    <xf numFmtId="0" fontId="47" fillId="0" borderId="26" xfId="0" applyFont="1" applyFill="1" applyBorder="1" applyAlignment="1">
      <alignment vertical="top" wrapText="1"/>
    </xf>
    <xf numFmtId="1" fontId="47" fillId="0" borderId="40" xfId="0" applyNumberFormat="1" applyFont="1" applyFill="1" applyBorder="1" applyAlignment="1">
      <alignment horizontal="left" vertical="top" wrapText="1"/>
    </xf>
    <xf numFmtId="0" fontId="14" fillId="0" borderId="13" xfId="0" applyFont="1" applyFill="1" applyBorder="1" applyAlignment="1">
      <alignment horizontal="left" vertical="top" wrapText="1"/>
    </xf>
    <xf numFmtId="1" fontId="14" fillId="0" borderId="19" xfId="0" applyNumberFormat="1" applyFont="1" applyFill="1" applyBorder="1" applyAlignment="1">
      <alignment horizontal="left" vertical="top" wrapText="1"/>
    </xf>
    <xf numFmtId="0" fontId="14" fillId="0" borderId="118" xfId="0" applyFont="1" applyFill="1" applyBorder="1" applyAlignment="1">
      <alignment horizontal="left" vertical="top" wrapText="1"/>
    </xf>
    <xf numFmtId="0" fontId="47" fillId="0" borderId="40" xfId="0" applyFont="1" applyFill="1" applyBorder="1" applyAlignment="1">
      <alignment vertical="top" wrapText="1"/>
    </xf>
    <xf numFmtId="0" fontId="47" fillId="0" borderId="20" xfId="0" applyFont="1" applyBorder="1" applyAlignment="1">
      <alignment vertical="top" wrapText="1"/>
    </xf>
    <xf numFmtId="0" fontId="47" fillId="0" borderId="26" xfId="0" applyFont="1" applyBorder="1" applyAlignment="1">
      <alignment vertical="top" wrapText="1"/>
    </xf>
    <xf numFmtId="0" fontId="47" fillId="0" borderId="40" xfId="0" applyFont="1" applyBorder="1" applyAlignment="1">
      <alignment vertical="top" wrapText="1"/>
    </xf>
    <xf numFmtId="0" fontId="47" fillId="0" borderId="112" xfId="0" applyFont="1" applyFill="1" applyBorder="1" applyAlignment="1">
      <alignment horizontal="left" vertical="top" wrapText="1"/>
    </xf>
    <xf numFmtId="0" fontId="14" fillId="0" borderId="26" xfId="0" applyFont="1" applyBorder="1" applyAlignment="1">
      <alignment horizontal="left" vertical="top"/>
    </xf>
    <xf numFmtId="0" fontId="14" fillId="0" borderId="40" xfId="0" applyFont="1" applyBorder="1" applyAlignment="1">
      <alignment horizontal="left" vertical="top"/>
    </xf>
    <xf numFmtId="0" fontId="14" fillId="0" borderId="19" xfId="0" applyFont="1" applyFill="1" applyBorder="1" applyAlignment="1">
      <alignment vertical="top" wrapText="1"/>
    </xf>
    <xf numFmtId="0" fontId="47" fillId="0" borderId="17" xfId="0" applyFont="1" applyFill="1" applyBorder="1" applyAlignment="1">
      <alignment vertical="top" wrapText="1"/>
    </xf>
    <xf numFmtId="0" fontId="47" fillId="0" borderId="112" xfId="0" applyFont="1" applyFill="1" applyBorder="1" applyAlignment="1">
      <alignment vertical="top" wrapText="1"/>
    </xf>
    <xf numFmtId="0" fontId="47" fillId="0" borderId="107" xfId="0" applyFont="1" applyFill="1" applyBorder="1" applyAlignment="1">
      <alignment vertical="top" wrapText="1"/>
    </xf>
    <xf numFmtId="0" fontId="47" fillId="0" borderId="118" xfId="0" applyFont="1" applyFill="1" applyBorder="1" applyAlignment="1">
      <alignment vertical="top" wrapText="1"/>
    </xf>
    <xf numFmtId="0" fontId="47" fillId="0" borderId="21" xfId="0" applyFont="1" applyFill="1" applyBorder="1" applyAlignment="1">
      <alignment vertical="top" wrapText="1"/>
    </xf>
    <xf numFmtId="0" fontId="47" fillId="0" borderId="25" xfId="0" applyFont="1" applyFill="1" applyBorder="1" applyAlignment="1">
      <alignment vertical="top" wrapText="1"/>
    </xf>
    <xf numFmtId="0" fontId="47" fillId="0" borderId="18" xfId="0" applyFont="1" applyFill="1" applyBorder="1" applyAlignment="1">
      <alignment vertical="top" wrapText="1"/>
    </xf>
    <xf numFmtId="0" fontId="14" fillId="0" borderId="108"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18" xfId="0" applyFont="1" applyBorder="1" applyAlignment="1">
      <alignment horizontal="left" vertical="top" wrapText="1"/>
    </xf>
    <xf numFmtId="1" fontId="14" fillId="25" borderId="126" xfId="0" applyNumberFormat="1" applyFont="1" applyFill="1" applyBorder="1" applyAlignment="1">
      <alignment horizontal="left" vertical="top" wrapText="1"/>
    </xf>
    <xf numFmtId="2" fontId="14" fillId="2" borderId="106" xfId="0" applyNumberFormat="1" applyFont="1" applyFill="1" applyBorder="1" applyAlignment="1">
      <alignment horizontal="center" vertical="top" wrapText="1"/>
    </xf>
    <xf numFmtId="1" fontId="14" fillId="0" borderId="45" xfId="0" applyNumberFormat="1" applyFont="1" applyFill="1" applyBorder="1" applyAlignment="1">
      <alignment horizontal="center" vertical="top" wrapText="1"/>
    </xf>
    <xf numFmtId="1" fontId="14" fillId="0" borderId="41" xfId="0" applyNumberFormat="1" applyFont="1" applyBorder="1" applyAlignment="1">
      <alignment vertical="top" wrapText="1"/>
    </xf>
    <xf numFmtId="1" fontId="14" fillId="0" borderId="101" xfId="0" applyNumberFormat="1" applyFont="1" applyBorder="1" applyAlignment="1">
      <alignment vertical="top" wrapText="1"/>
    </xf>
    <xf numFmtId="1" fontId="14" fillId="0" borderId="105" xfId="0" applyNumberFormat="1" applyFont="1" applyBorder="1" applyAlignment="1">
      <alignment vertical="top" wrapText="1"/>
    </xf>
    <xf numFmtId="1" fontId="14" fillId="0" borderId="44" xfId="0" applyNumberFormat="1" applyFont="1" applyBorder="1" applyAlignment="1">
      <alignment vertical="top" wrapText="1"/>
    </xf>
    <xf numFmtId="1" fontId="14" fillId="0" borderId="47" xfId="0" applyNumberFormat="1" applyFont="1" applyBorder="1" applyAlignment="1">
      <alignment vertical="top" wrapText="1"/>
    </xf>
    <xf numFmtId="1" fontId="14" fillId="0" borderId="46" xfId="0" applyNumberFormat="1" applyFont="1" applyBorder="1" applyAlignment="1">
      <alignment horizontal="center" vertical="top" wrapText="1"/>
    </xf>
    <xf numFmtId="1" fontId="14" fillId="0" borderId="12" xfId="0" applyNumberFormat="1" applyFont="1" applyBorder="1" applyAlignment="1">
      <alignment horizontal="left" vertical="top" wrapText="1"/>
    </xf>
    <xf numFmtId="1" fontId="14" fillId="0" borderId="6" xfId="0" applyNumberFormat="1" applyFont="1" applyBorder="1" applyAlignment="1">
      <alignment horizontal="center" vertical="top" wrapText="1"/>
    </xf>
    <xf numFmtId="1" fontId="14" fillId="0" borderId="74" xfId="0" applyNumberFormat="1" applyFont="1" applyBorder="1" applyAlignment="1">
      <alignment horizontal="left" vertical="top" wrapText="1"/>
    </xf>
    <xf numFmtId="0" fontId="14" fillId="0" borderId="45" xfId="0" applyFont="1" applyBorder="1" applyAlignment="1">
      <alignment horizontal="center" vertical="top" wrapText="1"/>
    </xf>
    <xf numFmtId="1" fontId="14" fillId="0" borderId="68" xfId="0" applyNumberFormat="1" applyFont="1" applyBorder="1" applyAlignment="1">
      <alignment vertical="top" wrapText="1"/>
    </xf>
    <xf numFmtId="1" fontId="14" fillId="0" borderId="87" xfId="0" applyNumberFormat="1" applyFont="1" applyBorder="1" applyAlignment="1">
      <alignment vertical="top" wrapText="1"/>
    </xf>
    <xf numFmtId="1" fontId="14" fillId="0" borderId="87" xfId="0" applyNumberFormat="1" applyFont="1" applyBorder="1" applyAlignment="1">
      <alignment horizontal="center" vertical="top" wrapText="1"/>
    </xf>
    <xf numFmtId="0" fontId="14" fillId="0" borderId="98" xfId="0" applyFont="1" applyBorder="1" applyAlignment="1">
      <alignment horizontal="center" vertical="top" wrapText="1"/>
    </xf>
    <xf numFmtId="0" fontId="14" fillId="0" borderId="119" xfId="0" applyFont="1" applyBorder="1" applyAlignment="1">
      <alignment horizontal="left" vertical="top" wrapText="1"/>
    </xf>
    <xf numFmtId="0" fontId="14" fillId="0" borderId="120" xfId="0" applyFont="1" applyBorder="1" applyAlignment="1">
      <alignment horizontal="left" vertical="top" wrapText="1"/>
    </xf>
    <xf numFmtId="0" fontId="14" fillId="0" borderId="105" xfId="0" applyFont="1" applyFill="1" applyBorder="1" applyAlignment="1">
      <alignment horizontal="center" vertical="top" wrapText="1"/>
    </xf>
    <xf numFmtId="0" fontId="14" fillId="0" borderId="91" xfId="0" applyFont="1" applyFill="1" applyBorder="1" applyAlignment="1">
      <alignment horizontal="left" vertical="top" wrapText="1"/>
    </xf>
    <xf numFmtId="0" fontId="14" fillId="0" borderId="113" xfId="0" applyFont="1" applyBorder="1" applyAlignment="1">
      <alignment vertical="top" wrapText="1"/>
    </xf>
    <xf numFmtId="0" fontId="14" fillId="0" borderId="60" xfId="0" applyFont="1" applyBorder="1" applyAlignment="1">
      <alignment horizontal="left" vertical="top" wrapText="1"/>
    </xf>
    <xf numFmtId="0" fontId="14" fillId="0" borderId="0" xfId="0" applyFont="1" applyAlignment="1" applyProtection="1">
      <alignment vertical="top" wrapText="1"/>
      <protection hidden="1"/>
    </xf>
    <xf numFmtId="0" fontId="15" fillId="0" borderId="0" xfId="0" applyFont="1" applyFill="1" applyBorder="1" applyAlignment="1" applyProtection="1">
      <alignment vertical="top" wrapText="1"/>
      <protection hidden="1"/>
    </xf>
    <xf numFmtId="2" fontId="14" fillId="0" borderId="0" xfId="0" applyNumberFormat="1" applyFont="1" applyFill="1" applyBorder="1" applyAlignment="1" applyProtection="1">
      <alignment vertical="top" wrapText="1"/>
      <protection hidden="1"/>
    </xf>
    <xf numFmtId="0" fontId="47" fillId="0" borderId="0" xfId="0" applyFont="1" applyFill="1" applyBorder="1" applyAlignment="1" applyProtection="1">
      <alignment horizontal="right" vertical="top" wrapText="1"/>
      <protection hidden="1"/>
    </xf>
    <xf numFmtId="0" fontId="47" fillId="0" borderId="0" xfId="0" applyFont="1" applyFill="1" applyBorder="1" applyAlignment="1" applyProtection="1">
      <alignment vertical="top" wrapText="1"/>
      <protection hidden="1"/>
    </xf>
    <xf numFmtId="2" fontId="47" fillId="0" borderId="0" xfId="0" applyNumberFormat="1" applyFont="1" applyFill="1" applyBorder="1" applyAlignment="1" applyProtection="1">
      <alignment horizontal="center" vertical="top" wrapText="1"/>
      <protection hidden="1"/>
    </xf>
    <xf numFmtId="2" fontId="14" fillId="0" borderId="0" xfId="0" applyNumberFormat="1" applyFont="1" applyFill="1" applyBorder="1" applyAlignment="1" applyProtection="1">
      <alignment horizontal="center" vertical="top" wrapText="1"/>
      <protection hidden="1"/>
    </xf>
    <xf numFmtId="0" fontId="18" fillId="0" borderId="0" xfId="0" applyFont="1" applyFill="1" applyBorder="1" applyAlignment="1" applyProtection="1">
      <alignment vertical="top" wrapText="1"/>
      <protection hidden="1"/>
    </xf>
    <xf numFmtId="0" fontId="53" fillId="0" borderId="0" xfId="0" applyFont="1" applyFill="1" applyBorder="1" applyAlignment="1" applyProtection="1">
      <alignment vertical="top" wrapText="1"/>
      <protection hidden="1"/>
    </xf>
    <xf numFmtId="0" fontId="14" fillId="0" borderId="120" xfId="0" applyFont="1" applyBorder="1" applyAlignment="1">
      <alignment vertical="top" wrapText="1"/>
    </xf>
    <xf numFmtId="1" fontId="47" fillId="2" borderId="39" xfId="0" applyNumberFormat="1" applyFont="1" applyFill="1" applyBorder="1" applyAlignment="1" applyProtection="1">
      <alignment horizontal="center" vertical="top" wrapText="1"/>
      <protection hidden="1"/>
    </xf>
    <xf numFmtId="0" fontId="47" fillId="2" borderId="123" xfId="0" applyFont="1" applyFill="1" applyBorder="1" applyAlignment="1" applyProtection="1">
      <alignment horizontal="center" vertical="top" wrapText="1"/>
      <protection hidden="1"/>
    </xf>
    <xf numFmtId="2" fontId="47" fillId="8" borderId="100" xfId="0" applyNumberFormat="1" applyFont="1" applyFill="1" applyBorder="1" applyAlignment="1">
      <alignment horizontal="center" vertical="top"/>
    </xf>
    <xf numFmtId="2" fontId="47" fillId="8" borderId="43" xfId="0" applyNumberFormat="1" applyFont="1" applyFill="1" applyBorder="1" applyAlignment="1">
      <alignment horizontal="center" vertical="top"/>
    </xf>
    <xf numFmtId="0" fontId="14" fillId="0" borderId="11" xfId="0" applyFont="1" applyBorder="1" applyAlignment="1">
      <alignment horizontal="center" vertical="top" wrapText="1"/>
    </xf>
    <xf numFmtId="1" fontId="14" fillId="2" borderId="71" xfId="0" applyNumberFormat="1" applyFont="1" applyFill="1" applyBorder="1" applyAlignment="1">
      <alignment horizontal="center" vertical="top" wrapText="1"/>
    </xf>
    <xf numFmtId="0" fontId="14" fillId="0" borderId="102" xfId="0" applyFont="1" applyBorder="1" applyAlignment="1">
      <alignment horizontal="left" vertical="top" wrapText="1"/>
    </xf>
    <xf numFmtId="0" fontId="14" fillId="0" borderId="35" xfId="0" applyFont="1" applyBorder="1" applyAlignment="1">
      <alignment horizontal="left" vertical="top" wrapText="1"/>
    </xf>
    <xf numFmtId="0" fontId="14" fillId="0" borderId="42" xfId="0" applyFont="1" applyBorder="1" applyAlignment="1">
      <alignment horizontal="center" vertical="top" wrapText="1"/>
    </xf>
    <xf numFmtId="0" fontId="14" fillId="0" borderId="9" xfId="0" applyFont="1" applyFill="1" applyBorder="1" applyAlignment="1">
      <alignment horizontal="center" vertical="top" wrapText="1"/>
    </xf>
    <xf numFmtId="0" fontId="14" fillId="0" borderId="76" xfId="0" applyFont="1" applyFill="1" applyBorder="1" applyAlignment="1">
      <alignment horizontal="left" vertical="top" wrapText="1"/>
    </xf>
    <xf numFmtId="0" fontId="14" fillId="0" borderId="89" xfId="0" applyFont="1" applyFill="1" applyBorder="1" applyAlignment="1">
      <alignment horizontal="left" vertical="top" wrapText="1"/>
    </xf>
    <xf numFmtId="1" fontId="14" fillId="2" borderId="94" xfId="0" applyNumberFormat="1" applyFont="1" applyFill="1" applyBorder="1" applyAlignment="1">
      <alignment horizontal="center" vertical="top" wrapText="1"/>
    </xf>
    <xf numFmtId="1" fontId="14" fillId="2" borderId="111" xfId="0" applyNumberFormat="1" applyFont="1" applyFill="1" applyBorder="1" applyAlignment="1">
      <alignment horizontal="center" vertical="top" wrapText="1"/>
    </xf>
    <xf numFmtId="0" fontId="14" fillId="2" borderId="84" xfId="0" applyNumberFormat="1" applyFont="1" applyFill="1" applyBorder="1" applyAlignment="1">
      <alignment horizontal="center" vertical="top" wrapText="1"/>
    </xf>
    <xf numFmtId="0" fontId="14" fillId="0" borderId="46" xfId="0" applyFont="1" applyBorder="1" applyAlignment="1">
      <alignment horizontal="center" vertical="top" wrapText="1"/>
    </xf>
    <xf numFmtId="2" fontId="14" fillId="0" borderId="47" xfId="0" applyNumberFormat="1" applyFont="1" applyBorder="1" applyAlignment="1">
      <alignment horizontal="left" vertical="top" wrapText="1"/>
    </xf>
    <xf numFmtId="2" fontId="14" fillId="0" borderId="99" xfId="0" applyNumberFormat="1" applyFont="1" applyBorder="1" applyAlignment="1">
      <alignment horizontal="center" vertical="top" wrapText="1"/>
    </xf>
    <xf numFmtId="2" fontId="14" fillId="0" borderId="111" xfId="0" applyNumberFormat="1" applyFont="1" applyFill="1" applyBorder="1" applyAlignment="1">
      <alignment vertical="top" wrapText="1"/>
    </xf>
    <xf numFmtId="1" fontId="14" fillId="0" borderId="111" xfId="0" applyNumberFormat="1" applyFont="1" applyFill="1" applyBorder="1" applyAlignment="1">
      <alignment horizontal="center" vertical="top" wrapText="1"/>
    </xf>
    <xf numFmtId="2" fontId="14" fillId="2" borderId="78" xfId="0" applyNumberFormat="1" applyFont="1" applyFill="1" applyBorder="1" applyAlignment="1" applyProtection="1">
      <alignment horizontal="center" vertical="top" wrapText="1"/>
    </xf>
    <xf numFmtId="2" fontId="14" fillId="2" borderId="32" xfId="0" applyNumberFormat="1" applyFont="1" applyFill="1" applyBorder="1" applyAlignment="1" applyProtection="1">
      <alignment horizontal="center" vertical="top" wrapText="1"/>
    </xf>
    <xf numFmtId="2" fontId="14" fillId="2" borderId="61" xfId="0" applyNumberFormat="1" applyFont="1" applyFill="1" applyBorder="1" applyAlignment="1" applyProtection="1">
      <alignment horizontal="center" vertical="top" wrapText="1"/>
    </xf>
    <xf numFmtId="0" fontId="15" fillId="0" borderId="0" xfId="0" applyFont="1" applyFill="1" applyBorder="1" applyAlignment="1" applyProtection="1">
      <alignment horizontal="left" vertical="top" wrapText="1"/>
      <protection hidden="1"/>
    </xf>
    <xf numFmtId="1" fontId="14" fillId="0" borderId="0" xfId="0" applyNumberFormat="1" applyFont="1" applyBorder="1" applyAlignment="1" applyProtection="1">
      <alignment horizontal="center" vertical="top" wrapText="1"/>
      <protection hidden="1"/>
    </xf>
    <xf numFmtId="0" fontId="47" fillId="0" borderId="0" xfId="0" applyFont="1" applyFill="1" applyBorder="1" applyAlignment="1" applyProtection="1">
      <alignment horizontal="left" vertical="top" wrapText="1"/>
      <protection hidden="1"/>
    </xf>
    <xf numFmtId="1" fontId="47" fillId="0" borderId="0" xfId="0" applyNumberFormat="1" applyFont="1" applyBorder="1" applyAlignment="1" applyProtection="1">
      <alignment horizontal="center" vertical="top" wrapText="1"/>
      <protection hidden="1"/>
    </xf>
    <xf numFmtId="0" fontId="47" fillId="0" borderId="68" xfId="0" applyFont="1" applyFill="1" applyBorder="1" applyAlignment="1">
      <alignment vertical="top" wrapText="1"/>
    </xf>
    <xf numFmtId="0" fontId="47" fillId="0" borderId="68" xfId="0" applyFont="1" applyBorder="1" applyAlignment="1">
      <alignment vertical="top" wrapText="1"/>
    </xf>
    <xf numFmtId="0" fontId="52" fillId="0" borderId="126" xfId="0" applyNumberFormat="1" applyFont="1" applyFill="1" applyBorder="1" applyAlignment="1">
      <alignment horizontal="left" vertical="top" wrapText="1"/>
    </xf>
    <xf numFmtId="0" fontId="14" fillId="0" borderId="14" xfId="0" applyFont="1" applyFill="1" applyBorder="1" applyAlignment="1">
      <alignment horizontal="left" vertical="top" wrapText="1"/>
    </xf>
    <xf numFmtId="1" fontId="14" fillId="8" borderId="100" xfId="0" applyNumberFormat="1" applyFont="1" applyFill="1" applyBorder="1" applyAlignment="1">
      <alignment horizontal="center" vertical="top" wrapText="1"/>
    </xf>
    <xf numFmtId="0" fontId="14" fillId="0" borderId="100" xfId="0" applyFont="1" applyFill="1" applyBorder="1" applyAlignment="1">
      <alignment horizontal="left" vertical="top" wrapText="1"/>
    </xf>
    <xf numFmtId="0" fontId="14" fillId="0" borderId="35" xfId="0" applyFont="1" applyFill="1" applyBorder="1" applyAlignment="1">
      <alignment horizontal="left" vertical="top" wrapText="1"/>
    </xf>
    <xf numFmtId="0" fontId="14" fillId="0" borderId="42" xfId="0" applyFont="1" applyFill="1" applyBorder="1" applyAlignment="1">
      <alignment horizontal="center" vertical="top" wrapText="1"/>
    </xf>
    <xf numFmtId="49" fontId="14" fillId="2" borderId="84" xfId="0" applyNumberFormat="1" applyFont="1" applyFill="1" applyBorder="1" applyAlignment="1">
      <alignment horizontal="center" vertical="top" wrapText="1"/>
    </xf>
    <xf numFmtId="0" fontId="14" fillId="2" borderId="85" xfId="0" applyFont="1" applyFill="1" applyBorder="1" applyAlignment="1">
      <alignment horizontal="center" vertical="top" wrapText="1"/>
    </xf>
    <xf numFmtId="0" fontId="14" fillId="2" borderId="58" xfId="0" applyNumberFormat="1" applyFont="1" applyFill="1" applyBorder="1" applyAlignment="1">
      <alignment horizontal="center" vertical="top" wrapText="1"/>
    </xf>
    <xf numFmtId="0" fontId="14" fillId="2" borderId="105" xfId="0" applyNumberFormat="1" applyFont="1" applyFill="1" applyBorder="1" applyAlignment="1">
      <alignment horizontal="center" vertical="top" wrapText="1"/>
    </xf>
    <xf numFmtId="0" fontId="14" fillId="2" borderId="111" xfId="0" applyNumberFormat="1" applyFont="1" applyFill="1" applyBorder="1" applyAlignment="1">
      <alignment horizontal="center" vertical="top" wrapText="1"/>
    </xf>
    <xf numFmtId="2" fontId="14" fillId="2" borderId="113" xfId="0" applyNumberFormat="1" applyFont="1" applyFill="1" applyBorder="1" applyAlignment="1">
      <alignment horizontal="center" vertical="top" wrapText="1"/>
    </xf>
    <xf numFmtId="0" fontId="14" fillId="0" borderId="29" xfId="0" applyFont="1" applyFill="1" applyBorder="1" applyAlignment="1">
      <alignment horizontal="left" vertical="top" wrapText="1"/>
    </xf>
    <xf numFmtId="2" fontId="14" fillId="2" borderId="84" xfId="0" applyNumberFormat="1" applyFont="1" applyFill="1" applyBorder="1" applyAlignment="1">
      <alignment horizontal="center" vertical="top" wrapText="1"/>
    </xf>
    <xf numFmtId="0" fontId="14" fillId="2" borderId="11" xfId="0" applyNumberFormat="1" applyFont="1" applyFill="1" applyBorder="1" applyAlignment="1">
      <alignment horizontal="center" vertical="top" wrapText="1"/>
    </xf>
    <xf numFmtId="0" fontId="14" fillId="2" borderId="3" xfId="0" applyNumberFormat="1" applyFont="1" applyFill="1" applyBorder="1" applyAlignment="1">
      <alignment horizontal="center" vertical="top" wrapText="1"/>
    </xf>
    <xf numFmtId="0" fontId="14" fillId="2" borderId="52" xfId="0" applyFont="1" applyFill="1" applyBorder="1" applyAlignment="1">
      <alignment horizontal="center" vertical="top" wrapText="1"/>
    </xf>
    <xf numFmtId="2" fontId="14" fillId="2" borderId="11" xfId="0" applyNumberFormat="1" applyFont="1" applyFill="1" applyBorder="1" applyAlignment="1">
      <alignment horizontal="center" vertical="top" wrapText="1"/>
    </xf>
    <xf numFmtId="2" fontId="14" fillId="2" borderId="55" xfId="0" applyNumberFormat="1" applyFont="1" applyFill="1" applyBorder="1" applyAlignment="1">
      <alignment horizontal="center" vertical="top" wrapText="1"/>
    </xf>
    <xf numFmtId="1" fontId="14" fillId="0" borderId="89" xfId="0" applyNumberFormat="1" applyFont="1" applyFill="1" applyBorder="1" applyAlignment="1">
      <alignment horizontal="left" vertical="top" wrapText="1"/>
    </xf>
    <xf numFmtId="1" fontId="14" fillId="0" borderId="82" xfId="0" applyNumberFormat="1" applyFont="1" applyFill="1" applyBorder="1" applyAlignment="1">
      <alignment horizontal="left" vertical="top" wrapText="1"/>
    </xf>
    <xf numFmtId="2" fontId="14" fillId="2" borderId="129" xfId="0" applyNumberFormat="1" applyFont="1" applyFill="1" applyBorder="1" applyAlignment="1">
      <alignment horizontal="center" vertical="top" wrapText="1"/>
    </xf>
    <xf numFmtId="0" fontId="14" fillId="0" borderId="60" xfId="0" applyFont="1" applyFill="1" applyBorder="1" applyAlignment="1">
      <alignment horizontal="left" vertical="top" wrapText="1"/>
    </xf>
    <xf numFmtId="0" fontId="14" fillId="0" borderId="45" xfId="0" applyFont="1" applyFill="1" applyBorder="1" applyAlignment="1">
      <alignment horizontal="center" vertical="top" wrapText="1"/>
    </xf>
    <xf numFmtId="1" fontId="14" fillId="2" borderId="49" xfId="0" applyNumberFormat="1" applyFont="1" applyFill="1" applyBorder="1" applyAlignment="1">
      <alignment horizontal="center" vertical="top" wrapText="1"/>
    </xf>
    <xf numFmtId="49" fontId="14" fillId="0" borderId="68" xfId="0" applyNumberFormat="1" applyFont="1" applyFill="1" applyBorder="1" applyAlignment="1">
      <alignment horizontal="left" vertical="top" wrapText="1"/>
    </xf>
    <xf numFmtId="49" fontId="14" fillId="0" borderId="11" xfId="0" applyNumberFormat="1" applyFont="1" applyFill="1" applyBorder="1" applyAlignment="1">
      <alignment horizontal="left" vertical="top" wrapText="1"/>
    </xf>
    <xf numFmtId="49" fontId="14" fillId="0" borderId="3" xfId="0" applyNumberFormat="1" applyFont="1" applyFill="1" applyBorder="1" applyAlignment="1">
      <alignment horizontal="center" vertical="top" wrapText="1"/>
    </xf>
    <xf numFmtId="49" fontId="14" fillId="0" borderId="82" xfId="0" applyNumberFormat="1" applyFont="1" applyFill="1" applyBorder="1" applyAlignment="1">
      <alignment horizontal="left" vertical="top" wrapText="1"/>
    </xf>
    <xf numFmtId="49" fontId="14" fillId="0" borderId="1" xfId="0" applyNumberFormat="1" applyFont="1" applyFill="1" applyBorder="1" applyAlignment="1">
      <alignment horizontal="center" vertical="top" wrapText="1"/>
    </xf>
    <xf numFmtId="49" fontId="14" fillId="0" borderId="74" xfId="0" applyNumberFormat="1" applyFont="1" applyFill="1" applyBorder="1" applyAlignment="1">
      <alignment horizontal="left" vertical="top" wrapText="1"/>
    </xf>
    <xf numFmtId="49" fontId="14" fillId="0" borderId="73" xfId="0" applyNumberFormat="1" applyFont="1" applyFill="1" applyBorder="1" applyAlignment="1">
      <alignment horizontal="center" vertical="top" wrapText="1"/>
    </xf>
    <xf numFmtId="0" fontId="14" fillId="0" borderId="58" xfId="0" applyFont="1" applyFill="1" applyBorder="1" applyAlignment="1">
      <alignment horizontal="left" vertical="top" wrapText="1"/>
    </xf>
    <xf numFmtId="0" fontId="14" fillId="0" borderId="51" xfId="0" applyFont="1" applyFill="1" applyBorder="1" applyAlignment="1">
      <alignment horizontal="center" vertical="top" wrapText="1"/>
    </xf>
    <xf numFmtId="2" fontId="14" fillId="3" borderId="31" xfId="0" applyNumberFormat="1" applyFont="1" applyFill="1" applyBorder="1" applyAlignment="1">
      <alignment horizontal="center" vertical="top" wrapText="1"/>
    </xf>
    <xf numFmtId="1" fontId="14" fillId="0" borderId="10" xfId="0" applyNumberFormat="1" applyFont="1" applyFill="1" applyBorder="1" applyAlignment="1">
      <alignment horizontal="left" vertical="top" wrapText="1"/>
    </xf>
    <xf numFmtId="2" fontId="14" fillId="0" borderId="53" xfId="0" applyNumberFormat="1" applyFont="1" applyFill="1" applyBorder="1" applyAlignment="1">
      <alignment horizontal="center" vertical="top" wrapText="1"/>
    </xf>
    <xf numFmtId="0" fontId="14" fillId="2" borderId="53" xfId="0" applyFont="1" applyFill="1" applyBorder="1" applyAlignment="1">
      <alignment horizontal="center" vertical="top" wrapText="1"/>
    </xf>
    <xf numFmtId="0" fontId="14" fillId="0" borderId="46" xfId="0" applyFont="1" applyFill="1" applyBorder="1" applyAlignment="1">
      <alignment horizontal="left" vertical="top" wrapText="1"/>
    </xf>
    <xf numFmtId="2" fontId="14" fillId="0" borderId="38" xfId="0" applyNumberFormat="1" applyFont="1" applyFill="1" applyBorder="1" applyAlignment="1">
      <alignment horizontal="center" vertical="top" wrapText="1"/>
    </xf>
    <xf numFmtId="2" fontId="14" fillId="10" borderId="46" xfId="0" applyNumberFormat="1" applyFont="1" applyFill="1" applyBorder="1" applyAlignment="1">
      <alignment horizontal="center" vertical="top" wrapText="1"/>
    </xf>
    <xf numFmtId="2" fontId="14" fillId="0" borderId="39" xfId="0" applyNumberFormat="1" applyFont="1" applyFill="1" applyBorder="1" applyAlignment="1">
      <alignment horizontal="center" vertical="top" wrapText="1"/>
    </xf>
    <xf numFmtId="49" fontId="14" fillId="0" borderId="59" xfId="0" applyNumberFormat="1" applyFont="1" applyBorder="1" applyAlignment="1">
      <alignment vertical="top" wrapText="1"/>
    </xf>
    <xf numFmtId="49" fontId="14" fillId="0" borderId="0" xfId="0" applyNumberFormat="1" applyFont="1" applyAlignment="1">
      <alignment vertical="top" wrapText="1"/>
    </xf>
    <xf numFmtId="49" fontId="14" fillId="0" borderId="67" xfId="0" applyNumberFormat="1" applyFont="1" applyBorder="1" applyAlignment="1">
      <alignment vertical="top" wrapText="1"/>
    </xf>
    <xf numFmtId="2" fontId="14" fillId="2" borderId="38" xfId="0" applyNumberFormat="1" applyFont="1" applyFill="1" applyBorder="1" applyAlignment="1" applyProtection="1">
      <alignment horizontal="center" vertical="top" wrapText="1"/>
    </xf>
    <xf numFmtId="0" fontId="14" fillId="0" borderId="0" xfId="0" applyNumberFormat="1" applyFont="1" applyFill="1" applyAlignment="1">
      <alignment vertical="top" wrapText="1"/>
    </xf>
    <xf numFmtId="2" fontId="14" fillId="0" borderId="67" xfId="0" applyNumberFormat="1" applyFont="1" applyFill="1" applyBorder="1" applyAlignment="1" applyProtection="1">
      <alignment vertical="top" wrapText="1"/>
    </xf>
    <xf numFmtId="0" fontId="14" fillId="0" borderId="0" xfId="0" applyNumberFormat="1" applyFont="1" applyAlignment="1" applyProtection="1">
      <alignment vertical="top" wrapText="1"/>
      <protection hidden="1"/>
    </xf>
    <xf numFmtId="0" fontId="47" fillId="0" borderId="0" xfId="0" applyNumberFormat="1" applyFont="1" applyFill="1" applyBorder="1" applyAlignment="1" applyProtection="1">
      <alignment vertical="top" wrapText="1"/>
      <protection hidden="1"/>
    </xf>
    <xf numFmtId="0" fontId="47" fillId="0" borderId="0" xfId="0" applyFont="1" applyFill="1" applyBorder="1" applyAlignment="1" applyProtection="1">
      <alignment horizontal="right" vertical="top"/>
      <protection hidden="1"/>
    </xf>
    <xf numFmtId="0" fontId="14" fillId="0" borderId="0" xfId="0" applyFont="1" applyFill="1" applyBorder="1" applyAlignment="1" applyProtection="1">
      <alignment horizontal="right" vertical="top" wrapText="1"/>
      <protection hidden="1"/>
    </xf>
    <xf numFmtId="1" fontId="14" fillId="0" borderId="0" xfId="0" applyNumberFormat="1" applyFont="1" applyFill="1" applyBorder="1" applyAlignment="1" applyProtection="1">
      <alignment horizontal="center" vertical="top" wrapText="1"/>
      <protection hidden="1"/>
    </xf>
    <xf numFmtId="49" fontId="14" fillId="0" borderId="0" xfId="0" applyNumberFormat="1" applyFont="1" applyAlignment="1">
      <alignment horizontal="left" vertical="top" wrapText="1"/>
    </xf>
    <xf numFmtId="49" fontId="14" fillId="0" borderId="116" xfId="0" applyNumberFormat="1" applyFont="1" applyBorder="1" applyAlignment="1">
      <alignment horizontal="left" vertical="top" wrapText="1"/>
    </xf>
    <xf numFmtId="0" fontId="15" fillId="8" borderId="0" xfId="0" applyFont="1" applyFill="1" applyAlignment="1">
      <alignment horizontal="center" vertical="top" wrapText="1"/>
    </xf>
    <xf numFmtId="0" fontId="72" fillId="14" borderId="70" xfId="0" applyFont="1" applyFill="1" applyBorder="1" applyAlignment="1" applyProtection="1">
      <alignment horizontal="center" vertical="top" wrapText="1"/>
      <protection locked="0"/>
    </xf>
    <xf numFmtId="0" fontId="72" fillId="0" borderId="104" xfId="0" applyFont="1" applyBorder="1" applyAlignment="1" applyProtection="1">
      <alignment horizontal="center" vertical="top"/>
      <protection locked="0"/>
    </xf>
    <xf numFmtId="0" fontId="14" fillId="0" borderId="28" xfId="0" applyFont="1" applyFill="1" applyBorder="1" applyAlignment="1" applyProtection="1">
      <alignment vertical="top" wrapText="1"/>
    </xf>
    <xf numFmtId="49" fontId="14" fillId="0" borderId="123" xfId="1" applyNumberFormat="1" applyFont="1" applyBorder="1" applyAlignment="1">
      <alignment horizontal="center" vertical="center" wrapText="1"/>
    </xf>
    <xf numFmtId="0" fontId="14" fillId="2" borderId="100" xfId="0" applyFont="1" applyFill="1" applyBorder="1" applyAlignment="1" applyProtection="1">
      <alignment horizontal="center" vertical="top" wrapText="1"/>
      <protection hidden="1"/>
    </xf>
    <xf numFmtId="2" fontId="14" fillId="2" borderId="104" xfId="0" applyNumberFormat="1" applyFont="1" applyFill="1" applyBorder="1" applyAlignment="1" applyProtection="1">
      <alignment horizontal="center" vertical="top" wrapText="1"/>
    </xf>
    <xf numFmtId="1" fontId="14" fillId="2" borderId="73" xfId="0" applyNumberFormat="1" applyFont="1" applyFill="1" applyBorder="1" applyAlignment="1" applyProtection="1">
      <alignment horizontal="center" vertical="top" wrapText="1"/>
      <protection hidden="1"/>
    </xf>
    <xf numFmtId="2" fontId="14" fillId="2" borderId="109" xfId="0" applyNumberFormat="1" applyFont="1" applyFill="1" applyBorder="1" applyAlignment="1" applyProtection="1">
      <alignment horizontal="center" vertical="top" wrapText="1"/>
    </xf>
    <xf numFmtId="2" fontId="14" fillId="2" borderId="42" xfId="0" applyNumberFormat="1" applyFont="1" applyFill="1" applyBorder="1" applyAlignment="1" applyProtection="1">
      <alignment horizontal="center" vertical="top" wrapText="1"/>
    </xf>
    <xf numFmtId="0" fontId="14" fillId="2" borderId="8" xfId="0" applyFont="1" applyFill="1" applyBorder="1" applyAlignment="1" applyProtection="1">
      <alignment horizontal="center" vertical="top" wrapText="1"/>
      <protection hidden="1"/>
    </xf>
    <xf numFmtId="1" fontId="14" fillId="2" borderId="1" xfId="0" applyNumberFormat="1" applyFont="1" applyFill="1" applyBorder="1" applyAlignment="1" applyProtection="1">
      <alignment horizontal="center" vertical="top" wrapText="1"/>
      <protection hidden="1"/>
    </xf>
    <xf numFmtId="0" fontId="14" fillId="2" borderId="2" xfId="0" applyFont="1" applyFill="1" applyBorder="1" applyAlignment="1" applyProtection="1">
      <alignment horizontal="center" vertical="top" wrapText="1"/>
      <protection hidden="1"/>
    </xf>
    <xf numFmtId="2" fontId="14" fillId="2" borderId="8" xfId="0" applyNumberFormat="1" applyFont="1" applyFill="1" applyBorder="1" applyAlignment="1" applyProtection="1">
      <alignment horizontal="center" vertical="top" wrapText="1"/>
    </xf>
    <xf numFmtId="2" fontId="14" fillId="2" borderId="7" xfId="0" applyNumberFormat="1" applyFont="1" applyFill="1" applyBorder="1" applyAlignment="1" applyProtection="1">
      <alignment horizontal="center" vertical="top" wrapText="1"/>
    </xf>
    <xf numFmtId="2" fontId="14" fillId="2" borderId="72" xfId="0" applyNumberFormat="1" applyFont="1" applyFill="1" applyBorder="1" applyAlignment="1" applyProtection="1">
      <alignment horizontal="center" vertical="top" wrapText="1"/>
    </xf>
    <xf numFmtId="1" fontId="14" fillId="2" borderId="86" xfId="0" applyNumberFormat="1" applyFont="1" applyFill="1" applyBorder="1" applyAlignment="1" applyProtection="1">
      <alignment horizontal="center" vertical="top" wrapText="1"/>
      <protection hidden="1"/>
    </xf>
    <xf numFmtId="2" fontId="14" fillId="3" borderId="30" xfId="0" applyNumberFormat="1" applyFont="1" applyFill="1" applyBorder="1" applyAlignment="1" applyProtection="1">
      <alignment horizontal="center" vertical="top" wrapText="1"/>
    </xf>
    <xf numFmtId="1" fontId="14" fillId="2" borderId="81" xfId="0" applyNumberFormat="1" applyFont="1" applyFill="1" applyBorder="1" applyAlignment="1" applyProtection="1">
      <alignment horizontal="center" vertical="top" wrapText="1"/>
      <protection hidden="1"/>
    </xf>
    <xf numFmtId="0" fontId="14" fillId="2" borderId="81" xfId="0" applyFont="1" applyFill="1" applyBorder="1" applyAlignment="1" applyProtection="1">
      <alignment horizontal="center" vertical="top" wrapText="1"/>
      <protection hidden="1"/>
    </xf>
    <xf numFmtId="0" fontId="14" fillId="2" borderId="86" xfId="0" applyFont="1" applyFill="1" applyBorder="1" applyAlignment="1">
      <alignment horizontal="center" vertical="top" wrapText="1"/>
    </xf>
    <xf numFmtId="2" fontId="14" fillId="2" borderId="52" xfId="0" applyNumberFormat="1" applyFont="1" applyFill="1" applyBorder="1" applyAlignment="1" applyProtection="1">
      <alignment horizontal="center" vertical="top" wrapText="1"/>
      <protection hidden="1"/>
    </xf>
    <xf numFmtId="2" fontId="14" fillId="2" borderId="13" xfId="0" applyNumberFormat="1" applyFont="1" applyFill="1" applyBorder="1" applyAlignment="1" applyProtection="1">
      <alignment horizontal="center" vertical="top" wrapText="1"/>
    </xf>
    <xf numFmtId="0" fontId="14" fillId="2" borderId="52" xfId="0" applyFont="1" applyFill="1" applyBorder="1" applyAlignment="1" applyProtection="1">
      <alignment horizontal="center" vertical="top" wrapText="1"/>
      <protection hidden="1"/>
    </xf>
    <xf numFmtId="0" fontId="14" fillId="2" borderId="78" xfId="0" applyFont="1" applyFill="1" applyBorder="1" applyAlignment="1" applyProtection="1">
      <alignment horizontal="center" vertical="top" wrapText="1"/>
      <protection hidden="1"/>
    </xf>
    <xf numFmtId="1" fontId="14" fillId="2" borderId="51" xfId="0" applyNumberFormat="1" applyFont="1" applyFill="1" applyBorder="1" applyAlignment="1" applyProtection="1">
      <alignment horizontal="center" vertical="top" wrapText="1"/>
      <protection hidden="1"/>
    </xf>
    <xf numFmtId="0" fontId="14" fillId="0" borderId="4" xfId="0" applyFont="1" applyBorder="1" applyAlignment="1">
      <alignment vertical="top" wrapText="1"/>
    </xf>
    <xf numFmtId="49" fontId="14" fillId="0" borderId="82" xfId="0" applyNumberFormat="1" applyFont="1" applyBorder="1" applyAlignment="1">
      <alignment vertical="top" wrapText="1"/>
    </xf>
    <xf numFmtId="1" fontId="14" fillId="2" borderId="82" xfId="0" applyNumberFormat="1" applyFont="1" applyFill="1" applyBorder="1" applyAlignment="1" applyProtection="1">
      <alignment horizontal="center" vertical="top" wrapText="1"/>
      <protection hidden="1"/>
    </xf>
    <xf numFmtId="0" fontId="14" fillId="0" borderId="35" xfId="0" applyFont="1" applyBorder="1" applyAlignment="1">
      <alignment vertical="top" wrapText="1"/>
    </xf>
    <xf numFmtId="1" fontId="14" fillId="2" borderId="113" xfId="0" applyNumberFormat="1" applyFont="1" applyFill="1" applyBorder="1" applyAlignment="1" applyProtection="1">
      <alignment horizontal="center" vertical="top" wrapText="1"/>
      <protection hidden="1"/>
    </xf>
    <xf numFmtId="2" fontId="14" fillId="2" borderId="73" xfId="0" applyNumberFormat="1" applyFont="1" applyFill="1" applyBorder="1" applyAlignment="1" applyProtection="1">
      <alignment horizontal="center" vertical="top" wrapText="1"/>
    </xf>
    <xf numFmtId="0" fontId="18" fillId="0" borderId="0" xfId="0" applyFont="1">
      <alignment vertical="top"/>
    </xf>
    <xf numFmtId="2" fontId="14" fillId="2" borderId="96" xfId="0" applyNumberFormat="1" applyFont="1" applyFill="1" applyBorder="1" applyAlignment="1" applyProtection="1">
      <alignment horizontal="center" vertical="top" wrapText="1"/>
    </xf>
    <xf numFmtId="0" fontId="13" fillId="0" borderId="0" xfId="0" applyFont="1">
      <alignment vertical="top"/>
    </xf>
    <xf numFmtId="0" fontId="14" fillId="0" borderId="0" xfId="0" applyFont="1" applyBorder="1" applyAlignment="1" applyProtection="1">
      <alignment horizontal="center" vertical="top" wrapText="1"/>
      <protection hidden="1"/>
    </xf>
    <xf numFmtId="0" fontId="47" fillId="0" borderId="0" xfId="0" applyFont="1" applyFill="1" applyBorder="1" applyAlignment="1" applyProtection="1">
      <alignment wrapText="1"/>
      <protection hidden="1"/>
    </xf>
    <xf numFmtId="1" fontId="14" fillId="0" borderId="0" xfId="0" applyNumberFormat="1" applyFont="1" applyAlignment="1" applyProtection="1">
      <alignment horizontal="center" vertical="top" wrapText="1"/>
      <protection hidden="1"/>
    </xf>
    <xf numFmtId="0" fontId="14" fillId="0" borderId="0" xfId="0" applyFont="1" applyAlignment="1" applyProtection="1">
      <alignment horizontal="center" vertical="top" wrapText="1"/>
      <protection hidden="1"/>
    </xf>
    <xf numFmtId="1" fontId="18" fillId="0" borderId="0" xfId="0" applyNumberFormat="1" applyFont="1" applyFill="1" applyBorder="1" applyAlignment="1">
      <alignment horizontal="center" vertical="top"/>
    </xf>
    <xf numFmtId="0" fontId="14" fillId="0" borderId="101" xfId="0" applyFont="1" applyBorder="1" applyAlignment="1">
      <alignment horizontal="center" vertical="top" wrapText="1"/>
    </xf>
    <xf numFmtId="0" fontId="14" fillId="0" borderId="59" xfId="0" applyNumberFormat="1" applyFont="1" applyBorder="1" applyAlignment="1">
      <alignment vertical="top" wrapText="1"/>
    </xf>
    <xf numFmtId="0" fontId="47" fillId="0" borderId="0" xfId="0" applyFont="1" applyFill="1" applyBorder="1" applyAlignment="1" applyProtection="1">
      <alignment horizontal="center" vertical="top" wrapText="1"/>
      <protection hidden="1"/>
    </xf>
    <xf numFmtId="0" fontId="18" fillId="0" borderId="0" xfId="0" applyFont="1" applyAlignment="1">
      <alignment horizontal="center" vertical="top"/>
    </xf>
    <xf numFmtId="1" fontId="14" fillId="11" borderId="125" xfId="0" applyNumberFormat="1" applyFont="1" applyFill="1" applyBorder="1" applyAlignment="1" applyProtection="1">
      <alignment horizontal="left" vertical="top" wrapText="1"/>
      <protection hidden="1"/>
    </xf>
    <xf numFmtId="1" fontId="14" fillId="11" borderId="123" xfId="0" applyNumberFormat="1" applyFont="1" applyFill="1" applyBorder="1" applyAlignment="1" applyProtection="1">
      <alignment horizontal="left" vertical="top" wrapText="1"/>
      <protection hidden="1"/>
    </xf>
    <xf numFmtId="2" fontId="14" fillId="12" borderId="123" xfId="0" applyNumberFormat="1" applyFont="1" applyFill="1" applyBorder="1" applyAlignment="1">
      <alignment horizontal="center" vertical="top"/>
    </xf>
    <xf numFmtId="0" fontId="47" fillId="0" borderId="123" xfId="0" applyFont="1" applyFill="1" applyBorder="1" applyAlignment="1">
      <alignment horizontal="left" vertical="top"/>
    </xf>
    <xf numFmtId="1" fontId="14" fillId="0" borderId="124" xfId="0" applyNumberFormat="1" applyFont="1" applyFill="1" applyBorder="1" applyAlignment="1" applyProtection="1">
      <alignment horizontal="left" vertical="top" wrapText="1"/>
      <protection hidden="1"/>
    </xf>
    <xf numFmtId="2" fontId="14" fillId="23" borderId="61" xfId="0" applyNumberFormat="1" applyFont="1" applyFill="1" applyBorder="1" applyAlignment="1">
      <alignment horizontal="center" vertical="top" wrapText="1"/>
    </xf>
    <xf numFmtId="1" fontId="14" fillId="0" borderId="82" xfId="0" applyNumberFormat="1" applyFont="1" applyBorder="1" applyAlignment="1">
      <alignment vertical="top" wrapText="1"/>
    </xf>
    <xf numFmtId="1" fontId="14" fillId="0" borderId="101" xfId="0" applyNumberFormat="1" applyFont="1" applyFill="1" applyBorder="1" applyAlignment="1">
      <alignment vertical="top" wrapText="1"/>
    </xf>
    <xf numFmtId="1" fontId="14" fillId="0" borderId="105" xfId="0" applyNumberFormat="1" applyFont="1" applyFill="1" applyBorder="1" applyAlignment="1">
      <alignment vertical="top" wrapText="1"/>
    </xf>
    <xf numFmtId="1" fontId="14" fillId="0" borderId="101" xfId="0" applyNumberFormat="1" applyFont="1" applyFill="1" applyBorder="1" applyAlignment="1">
      <alignment horizontal="center" vertical="top" wrapText="1"/>
    </xf>
    <xf numFmtId="1" fontId="14" fillId="0" borderId="49" xfId="0" applyNumberFormat="1" applyFont="1" applyFill="1" applyBorder="1" applyAlignment="1">
      <alignment vertical="top" wrapText="1"/>
    </xf>
    <xf numFmtId="1" fontId="14" fillId="0" borderId="49" xfId="0" applyNumberFormat="1" applyFont="1" applyFill="1" applyBorder="1" applyAlignment="1">
      <alignment horizontal="center" vertical="top" wrapText="1"/>
    </xf>
    <xf numFmtId="0" fontId="14" fillId="0" borderId="90" xfId="0" applyFont="1" applyFill="1" applyBorder="1" applyAlignment="1">
      <alignment vertical="top" wrapText="1"/>
    </xf>
    <xf numFmtId="0" fontId="14" fillId="0" borderId="120" xfId="0" applyFont="1" applyFill="1" applyBorder="1" applyAlignment="1">
      <alignment vertical="top" wrapText="1"/>
    </xf>
    <xf numFmtId="0" fontId="14" fillId="0" borderId="35" xfId="0" applyFont="1" applyFill="1" applyBorder="1" applyAlignment="1">
      <alignment vertical="top" wrapText="1"/>
    </xf>
    <xf numFmtId="49" fontId="14" fillId="0" borderId="41" xfId="0" applyNumberFormat="1" applyFont="1" applyFill="1" applyBorder="1" applyAlignment="1">
      <alignment horizontal="left" vertical="top" wrapText="1"/>
    </xf>
    <xf numFmtId="2" fontId="14" fillId="23" borderId="4" xfId="0" applyNumberFormat="1" applyFont="1" applyFill="1" applyBorder="1" applyAlignment="1">
      <alignment horizontal="center" vertical="top" wrapText="1"/>
    </xf>
    <xf numFmtId="2" fontId="14" fillId="0" borderId="0" xfId="0" applyNumberFormat="1" applyFont="1" applyBorder="1" applyAlignment="1" applyProtection="1">
      <alignment horizontal="center" vertical="top" wrapText="1"/>
      <protection hidden="1"/>
    </xf>
    <xf numFmtId="2" fontId="14" fillId="0" borderId="0" xfId="0" applyNumberFormat="1" applyFont="1" applyBorder="1" applyAlignment="1" applyProtection="1">
      <alignment vertical="top" wrapText="1"/>
      <protection hidden="1"/>
    </xf>
    <xf numFmtId="0" fontId="18" fillId="0" borderId="0" xfId="0" applyFont="1" applyFill="1" applyBorder="1" applyAlignment="1">
      <alignment horizontal="center" vertical="top"/>
    </xf>
    <xf numFmtId="1" fontId="14" fillId="2" borderId="99" xfId="0" applyNumberFormat="1" applyFont="1" applyFill="1" applyBorder="1" applyAlignment="1" applyProtection="1">
      <alignment horizontal="center" vertical="top" wrapText="1"/>
    </xf>
    <xf numFmtId="1" fontId="14" fillId="0" borderId="0" xfId="0" applyNumberFormat="1" applyFont="1" applyFill="1" applyBorder="1" applyAlignment="1" applyProtection="1">
      <alignment vertical="top" wrapText="1"/>
    </xf>
    <xf numFmtId="1" fontId="14" fillId="0" borderId="10" xfId="0" applyNumberFormat="1" applyFont="1" applyFill="1" applyBorder="1" applyAlignment="1" applyProtection="1">
      <alignment vertical="top" wrapText="1"/>
    </xf>
    <xf numFmtId="1" fontId="14" fillId="2" borderId="46" xfId="0" applyNumberFormat="1" applyFont="1" applyFill="1" applyBorder="1" applyAlignment="1" applyProtection="1">
      <alignment horizontal="center" vertical="top" wrapText="1"/>
    </xf>
    <xf numFmtId="2" fontId="14" fillId="4" borderId="89" xfId="0" applyNumberFormat="1" applyFont="1" applyFill="1" applyBorder="1" applyAlignment="1">
      <alignment horizontal="center" vertical="top" wrapText="1"/>
    </xf>
    <xf numFmtId="1" fontId="14" fillId="0" borderId="0" xfId="0" applyNumberFormat="1" applyFont="1" applyAlignment="1" applyProtection="1">
      <alignment vertical="top" wrapText="1"/>
      <protection hidden="1"/>
    </xf>
    <xf numFmtId="0" fontId="47" fillId="0" borderId="0" xfId="0" applyFont="1" applyAlignment="1" applyProtection="1">
      <alignment vertical="top" wrapText="1"/>
      <protection hidden="1"/>
    </xf>
    <xf numFmtId="0" fontId="47" fillId="0" borderId="0" xfId="0" applyFont="1" applyFill="1" applyBorder="1" applyAlignment="1" applyProtection="1">
      <alignment horizontal="left" vertical="top"/>
      <protection hidden="1"/>
    </xf>
    <xf numFmtId="1" fontId="47" fillId="0" borderId="0" xfId="0" applyNumberFormat="1" applyFont="1" applyFill="1" applyBorder="1" applyAlignment="1" applyProtection="1">
      <alignment horizontal="center" vertical="top"/>
      <protection hidden="1"/>
    </xf>
    <xf numFmtId="0" fontId="47" fillId="0" borderId="0" xfId="0" applyFont="1" applyFill="1" applyBorder="1" applyAlignment="1" applyProtection="1">
      <alignment vertical="top"/>
      <protection hidden="1"/>
    </xf>
    <xf numFmtId="1" fontId="47" fillId="0" borderId="0" xfId="0" applyNumberFormat="1" applyFont="1" applyFill="1" applyBorder="1" applyAlignment="1" applyProtection="1">
      <alignment horizontal="center" vertical="top" wrapText="1"/>
      <protection hidden="1"/>
    </xf>
    <xf numFmtId="1" fontId="14" fillId="0" borderId="0" xfId="0" applyNumberFormat="1" applyFont="1" applyFill="1" applyBorder="1" applyAlignment="1" applyProtection="1">
      <alignment vertical="top" wrapText="1"/>
      <protection hidden="1"/>
    </xf>
    <xf numFmtId="1" fontId="72" fillId="8" borderId="100" xfId="0" applyNumberFormat="1" applyFont="1" applyFill="1" applyBorder="1" applyAlignment="1">
      <alignment horizontal="center" vertical="top" wrapText="1"/>
    </xf>
    <xf numFmtId="1" fontId="72" fillId="2" borderId="100" xfId="0" applyNumberFormat="1" applyFont="1" applyFill="1" applyBorder="1" applyAlignment="1">
      <alignment horizontal="center" vertical="top" wrapText="1"/>
    </xf>
    <xf numFmtId="1" fontId="72" fillId="8" borderId="43" xfId="0" applyNumberFormat="1" applyFont="1" applyFill="1" applyBorder="1" applyAlignment="1">
      <alignment horizontal="center" vertical="top" wrapText="1"/>
    </xf>
    <xf numFmtId="0" fontId="31" fillId="0" borderId="0" xfId="0" applyFont="1" applyBorder="1" applyAlignment="1">
      <alignment horizontal="left" vertical="top" wrapText="1"/>
    </xf>
    <xf numFmtId="0" fontId="47" fillId="0" borderId="0" xfId="0" applyFont="1" applyFill="1" applyBorder="1" applyAlignment="1" applyProtection="1">
      <alignment horizontal="right" wrapText="1"/>
      <protection hidden="1"/>
    </xf>
    <xf numFmtId="1" fontId="14" fillId="11" borderId="39" xfId="0" applyNumberFormat="1" applyFont="1" applyFill="1" applyBorder="1" applyAlignment="1" applyProtection="1">
      <alignment horizontal="left" vertical="top" wrapText="1"/>
      <protection hidden="1"/>
    </xf>
    <xf numFmtId="0" fontId="47" fillId="0" borderId="126" xfId="0" applyFont="1" applyBorder="1" applyAlignment="1">
      <alignment horizontal="left" vertical="top"/>
    </xf>
    <xf numFmtId="1" fontId="14" fillId="11" borderId="49" xfId="0" applyNumberFormat="1" applyFont="1" applyFill="1" applyBorder="1" applyAlignment="1" applyProtection="1">
      <alignment horizontal="left" vertical="top" wrapText="1"/>
      <protection hidden="1"/>
    </xf>
    <xf numFmtId="1" fontId="72" fillId="2" borderId="45" xfId="0" applyNumberFormat="1" applyFont="1" applyFill="1" applyBorder="1" applyAlignment="1" applyProtection="1">
      <alignment horizontal="center" vertical="top" wrapText="1"/>
      <protection hidden="1"/>
    </xf>
    <xf numFmtId="0" fontId="72" fillId="2" borderId="45" xfId="0" applyFont="1" applyFill="1" applyBorder="1" applyAlignment="1" applyProtection="1">
      <alignment horizontal="center" vertical="top" wrapText="1"/>
      <protection hidden="1"/>
    </xf>
    <xf numFmtId="2" fontId="72" fillId="12" borderId="53" xfId="0" applyNumberFormat="1" applyFont="1" applyFill="1" applyBorder="1" applyAlignment="1">
      <alignment horizontal="center" vertical="top"/>
    </xf>
    <xf numFmtId="0" fontId="47" fillId="0" borderId="40" xfId="0" applyFont="1" applyBorder="1" applyAlignment="1">
      <alignment horizontal="left" vertical="top"/>
    </xf>
    <xf numFmtId="0" fontId="53" fillId="0" borderId="0" xfId="0" applyFont="1" applyFill="1" applyBorder="1" applyAlignment="1" applyProtection="1">
      <alignment wrapText="1"/>
      <protection hidden="1"/>
    </xf>
    <xf numFmtId="0" fontId="47" fillId="0" borderId="0"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14" fillId="0" borderId="0" xfId="0" applyNumberFormat="1" applyFont="1" applyBorder="1" applyAlignment="1">
      <alignment horizontal="center" vertical="top" wrapText="1"/>
    </xf>
    <xf numFmtId="2" fontId="47" fillId="0" borderId="0" xfId="0" applyNumberFormat="1" applyFont="1" applyFill="1" applyBorder="1" applyAlignment="1" applyProtection="1">
      <alignment vertical="top"/>
      <protection hidden="1"/>
    </xf>
    <xf numFmtId="2" fontId="47" fillId="0" borderId="67" xfId="0" applyNumberFormat="1" applyFont="1" applyFill="1" applyBorder="1" applyAlignment="1" applyProtection="1">
      <alignment vertical="top"/>
      <protection hidden="1"/>
    </xf>
    <xf numFmtId="0" fontId="14" fillId="0" borderId="0" xfId="0" applyFont="1" applyAlignment="1" applyProtection="1">
      <alignment vertical="top"/>
      <protection hidden="1"/>
    </xf>
    <xf numFmtId="0" fontId="47" fillId="0" borderId="0" xfId="0" applyFont="1" applyFill="1" applyBorder="1" applyAlignment="1" applyProtection="1">
      <alignment horizontal="right"/>
      <protection hidden="1"/>
    </xf>
    <xf numFmtId="0" fontId="47" fillId="0" borderId="0" xfId="0" applyFont="1" applyFill="1" applyBorder="1" applyAlignment="1" applyProtection="1">
      <alignment horizontal="left"/>
      <protection hidden="1"/>
    </xf>
    <xf numFmtId="2" fontId="47" fillId="0" borderId="0" xfId="0" applyNumberFormat="1" applyFont="1" applyFill="1" applyBorder="1" applyAlignment="1" applyProtection="1">
      <alignment horizontal="center" vertical="top"/>
      <protection hidden="1"/>
    </xf>
    <xf numFmtId="2" fontId="14" fillId="0" borderId="0" xfId="0" applyNumberFormat="1" applyFont="1" applyFill="1" applyBorder="1" applyAlignment="1" applyProtection="1">
      <alignment horizontal="center" vertical="top"/>
      <protection hidden="1"/>
    </xf>
    <xf numFmtId="0" fontId="14" fillId="0" borderId="0" xfId="0" applyFont="1" applyBorder="1" applyAlignment="1" applyProtection="1">
      <alignment vertical="top"/>
      <protection hidden="1"/>
    </xf>
    <xf numFmtId="1" fontId="14" fillId="0" borderId="0" xfId="0" applyNumberFormat="1" applyFont="1" applyFill="1" applyBorder="1" applyAlignment="1" applyProtection="1">
      <alignment horizontal="center" vertical="top"/>
      <protection hidden="1"/>
    </xf>
    <xf numFmtId="0" fontId="18" fillId="0" borderId="0" xfId="0" applyFont="1" applyFill="1" applyBorder="1" applyAlignment="1"/>
    <xf numFmtId="2" fontId="47" fillId="0" borderId="73" xfId="0" applyNumberFormat="1" applyFont="1" applyBorder="1" applyAlignment="1">
      <alignment horizontal="center" vertical="top"/>
    </xf>
    <xf numFmtId="0" fontId="47" fillId="0" borderId="101" xfId="0" applyFont="1" applyFill="1" applyBorder="1" applyAlignment="1">
      <alignment vertical="top" wrapText="1"/>
    </xf>
    <xf numFmtId="0" fontId="47" fillId="0" borderId="101" xfId="0" applyFont="1" applyFill="1" applyBorder="1" applyAlignment="1">
      <alignment horizontal="center" vertical="top" wrapText="1"/>
    </xf>
    <xf numFmtId="0" fontId="47" fillId="0" borderId="105" xfId="0" applyFont="1" applyFill="1" applyBorder="1" applyAlignment="1">
      <alignment vertical="top" wrapText="1"/>
    </xf>
    <xf numFmtId="0" fontId="47" fillId="0" borderId="44" xfId="0" applyFont="1" applyFill="1" applyBorder="1" applyAlignment="1">
      <alignment vertical="top" wrapText="1"/>
    </xf>
    <xf numFmtId="0" fontId="14" fillId="0" borderId="0" xfId="0" applyFont="1" applyFill="1" applyAlignment="1" applyProtection="1">
      <alignment vertical="top" wrapText="1"/>
      <protection hidden="1"/>
    </xf>
    <xf numFmtId="0" fontId="53" fillId="0" borderId="0" xfId="0" applyFont="1" applyFill="1" applyBorder="1" applyAlignment="1" applyProtection="1">
      <protection hidden="1"/>
    </xf>
    <xf numFmtId="0" fontId="53" fillId="0" borderId="0" xfId="0" applyFont="1" applyFill="1" applyBorder="1" applyAlignment="1" applyProtection="1">
      <alignment horizontal="right"/>
      <protection hidden="1"/>
    </xf>
    <xf numFmtId="0" fontId="47" fillId="0" borderId="0" xfId="0" applyFont="1" applyFill="1" applyBorder="1" applyAlignment="1" applyProtection="1">
      <protection hidden="1"/>
    </xf>
    <xf numFmtId="0" fontId="18" fillId="0" borderId="0" xfId="0" applyFont="1" applyBorder="1" applyAlignment="1"/>
    <xf numFmtId="0" fontId="14" fillId="0" borderId="0" xfId="0" applyFont="1" applyFill="1" applyAlignment="1">
      <alignment wrapText="1"/>
    </xf>
    <xf numFmtId="2" fontId="14" fillId="2" borderId="53" xfId="0" applyNumberFormat="1" applyFont="1" applyFill="1" applyBorder="1" applyAlignment="1">
      <alignment horizontal="center" vertical="top"/>
    </xf>
    <xf numFmtId="2" fontId="14" fillId="0" borderId="4" xfId="0" applyNumberFormat="1" applyFont="1" applyFill="1" applyBorder="1" applyAlignment="1">
      <alignment vertical="top" wrapText="1"/>
    </xf>
    <xf numFmtId="1" fontId="14" fillId="0" borderId="114" xfId="0" applyNumberFormat="1" applyFont="1" applyFill="1" applyBorder="1" applyAlignment="1">
      <alignment horizontal="center" vertical="top" wrapText="1"/>
    </xf>
    <xf numFmtId="0" fontId="14" fillId="0" borderId="1" xfId="0" applyFont="1" applyFill="1" applyBorder="1" applyAlignment="1">
      <alignment wrapText="1"/>
    </xf>
    <xf numFmtId="1" fontId="14" fillId="0" borderId="1" xfId="0" applyNumberFormat="1" applyFont="1" applyFill="1" applyBorder="1" applyAlignment="1">
      <alignment horizontal="center" vertical="top" wrapText="1"/>
    </xf>
    <xf numFmtId="1" fontId="14" fillId="2" borderId="96" xfId="0" applyNumberFormat="1" applyFont="1" applyFill="1" applyBorder="1" applyAlignment="1">
      <alignment horizontal="center" vertical="top"/>
    </xf>
    <xf numFmtId="1" fontId="14" fillId="2" borderId="53" xfId="0" applyNumberFormat="1" applyFont="1" applyFill="1" applyBorder="1" applyAlignment="1">
      <alignment horizontal="center" vertical="top"/>
    </xf>
    <xf numFmtId="2" fontId="14" fillId="0" borderId="13" xfId="0" applyNumberFormat="1" applyFont="1" applyFill="1" applyBorder="1" applyAlignment="1">
      <alignment vertical="top" wrapText="1"/>
    </xf>
    <xf numFmtId="2" fontId="14" fillId="0" borderId="26" xfId="0" applyNumberFormat="1" applyFont="1" applyFill="1" applyBorder="1" applyAlignment="1">
      <alignment vertical="top" wrapText="1"/>
    </xf>
    <xf numFmtId="2" fontId="14" fillId="0" borderId="12" xfId="0" applyNumberFormat="1" applyFont="1" applyFill="1" applyBorder="1" applyAlignment="1">
      <alignment vertical="top" wrapText="1"/>
    </xf>
    <xf numFmtId="2" fontId="14" fillId="3" borderId="57" xfId="0" applyNumberFormat="1" applyFont="1" applyFill="1" applyBorder="1" applyAlignment="1">
      <alignment horizontal="center" vertical="top"/>
    </xf>
    <xf numFmtId="2" fontId="14" fillId="0" borderId="116" xfId="0" applyNumberFormat="1" applyFont="1" applyFill="1" applyBorder="1" applyAlignment="1">
      <alignment vertical="top" wrapText="1"/>
    </xf>
    <xf numFmtId="2" fontId="14" fillId="0" borderId="41" xfId="0" applyNumberFormat="1" applyFont="1" applyFill="1" applyBorder="1" applyAlignment="1">
      <alignment vertical="top" wrapText="1"/>
    </xf>
    <xf numFmtId="2" fontId="14" fillId="0" borderId="101" xfId="0" applyNumberFormat="1" applyFont="1" applyFill="1" applyBorder="1" applyAlignment="1">
      <alignment vertical="top" wrapText="1"/>
    </xf>
    <xf numFmtId="2" fontId="14" fillId="0" borderId="105" xfId="0" applyNumberFormat="1" applyFont="1" applyFill="1" applyBorder="1" applyAlignment="1">
      <alignment vertical="top" wrapText="1"/>
    </xf>
    <xf numFmtId="2" fontId="14" fillId="0" borderId="44" xfId="0" applyNumberFormat="1" applyFont="1" applyFill="1" applyBorder="1" applyAlignment="1">
      <alignment vertical="top" wrapText="1"/>
    </xf>
    <xf numFmtId="1" fontId="14" fillId="0" borderId="42" xfId="0" applyNumberFormat="1" applyFont="1" applyFill="1" applyBorder="1" applyAlignment="1">
      <alignment horizontal="center" vertical="top" wrapText="1"/>
    </xf>
    <xf numFmtId="2" fontId="14" fillId="0" borderId="30" xfId="0" applyNumberFormat="1" applyFont="1" applyBorder="1" applyAlignment="1">
      <alignment vertical="top" wrapText="1"/>
    </xf>
    <xf numFmtId="2" fontId="14" fillId="0" borderId="4" xfId="0" applyNumberFormat="1" applyFont="1" applyBorder="1" applyAlignment="1">
      <alignment vertical="top" wrapText="1"/>
    </xf>
    <xf numFmtId="2" fontId="14" fillId="0" borderId="41" xfId="0" applyNumberFormat="1" applyFont="1" applyBorder="1" applyAlignment="1">
      <alignment vertical="top" wrapText="1"/>
    </xf>
    <xf numFmtId="2" fontId="14" fillId="0" borderId="101" xfId="0" applyNumberFormat="1" applyFont="1" applyBorder="1" applyAlignment="1">
      <alignment vertical="top" wrapText="1"/>
    </xf>
    <xf numFmtId="2" fontId="14" fillId="0" borderId="105" xfId="0" applyNumberFormat="1" applyFont="1" applyBorder="1" applyAlignment="1">
      <alignment vertical="top" wrapText="1"/>
    </xf>
    <xf numFmtId="2" fontId="14" fillId="0" borderId="111" xfId="0" applyNumberFormat="1" applyFont="1" applyBorder="1" applyAlignment="1">
      <alignment vertical="top" wrapText="1"/>
    </xf>
    <xf numFmtId="2" fontId="14" fillId="11" borderId="116" xfId="0" applyNumberFormat="1" applyFont="1" applyFill="1" applyBorder="1" applyAlignment="1">
      <alignment horizontal="left" vertical="top" wrapText="1"/>
    </xf>
    <xf numFmtId="2" fontId="14" fillId="11" borderId="49" xfId="0" applyNumberFormat="1" applyFont="1" applyFill="1" applyBorder="1" applyAlignment="1">
      <alignment horizontal="left" vertical="top" wrapText="1"/>
    </xf>
    <xf numFmtId="1" fontId="14" fillId="11" borderId="43" xfId="0" applyNumberFormat="1" applyFont="1" applyFill="1" applyBorder="1" applyAlignment="1">
      <alignment horizontal="center" vertical="top" wrapText="1"/>
    </xf>
    <xf numFmtId="0" fontId="14" fillId="0" borderId="67" xfId="0" applyNumberFormat="1" applyFont="1" applyBorder="1" applyAlignment="1">
      <alignment vertical="top" wrapText="1"/>
    </xf>
    <xf numFmtId="1" fontId="14" fillId="11" borderId="126" xfId="0" applyNumberFormat="1" applyFont="1" applyFill="1" applyBorder="1" applyAlignment="1" applyProtection="1">
      <alignment vertical="top" wrapText="1"/>
      <protection hidden="1"/>
    </xf>
    <xf numFmtId="0" fontId="14" fillId="0" borderId="30" xfId="0" applyFont="1" applyFill="1" applyBorder="1" applyAlignment="1">
      <alignment vertical="top"/>
    </xf>
    <xf numFmtId="0" fontId="47" fillId="0" borderId="126" xfId="0" applyFont="1" applyBorder="1" applyAlignment="1">
      <alignment horizontal="left" vertical="top" wrapText="1"/>
    </xf>
    <xf numFmtId="2" fontId="14" fillId="2" borderId="113" xfId="0" applyNumberFormat="1" applyFont="1" applyFill="1" applyBorder="1" applyAlignment="1">
      <alignment horizontal="center" vertical="top"/>
    </xf>
    <xf numFmtId="2" fontId="14" fillId="2" borderId="78" xfId="0" applyNumberFormat="1" applyFont="1" applyFill="1" applyBorder="1" applyAlignment="1">
      <alignment horizontal="center" vertical="top"/>
    </xf>
    <xf numFmtId="49" fontId="14" fillId="0" borderId="101" xfId="0" applyNumberFormat="1" applyFont="1" applyBorder="1" applyAlignment="1">
      <alignment horizontal="left" vertical="top" wrapText="1"/>
    </xf>
    <xf numFmtId="49" fontId="14" fillId="0" borderId="100" xfId="0" applyNumberFormat="1" applyFont="1" applyBorder="1" applyAlignment="1">
      <alignment horizontal="center" vertical="top" wrapText="1"/>
    </xf>
    <xf numFmtId="49" fontId="14" fillId="0" borderId="105" xfId="0" applyNumberFormat="1" applyFont="1" applyBorder="1" applyAlignment="1">
      <alignment horizontal="left" vertical="top" wrapText="1"/>
    </xf>
    <xf numFmtId="49" fontId="14" fillId="0" borderId="43" xfId="0" applyNumberFormat="1" applyFont="1" applyBorder="1" applyAlignment="1">
      <alignment horizontal="center" vertical="top" wrapText="1"/>
    </xf>
    <xf numFmtId="1" fontId="14" fillId="0" borderId="0" xfId="0" applyNumberFormat="1" applyFont="1" applyBorder="1" applyAlignment="1">
      <alignment vertical="top"/>
    </xf>
    <xf numFmtId="1" fontId="18" fillId="0" borderId="0" xfId="0" applyNumberFormat="1" applyFont="1" applyBorder="1" applyAlignment="1">
      <alignment horizontal="left" vertical="top"/>
    </xf>
    <xf numFmtId="2" fontId="14" fillId="2" borderId="124" xfId="0" applyNumberFormat="1" applyFont="1" applyFill="1" applyBorder="1" applyAlignment="1" applyProtection="1">
      <alignment horizontal="center" vertical="top" wrapText="1"/>
    </xf>
    <xf numFmtId="0" fontId="14" fillId="0" borderId="0" xfId="0" applyNumberFormat="1" applyFont="1" applyFill="1" applyAlignment="1" applyProtection="1">
      <alignment vertical="top" wrapText="1"/>
      <protection hidden="1"/>
    </xf>
    <xf numFmtId="0" fontId="14" fillId="0" borderId="0" xfId="0" applyFont="1" applyBorder="1" applyAlignment="1" applyProtection="1">
      <alignment horizontal="right" vertical="top" wrapText="1"/>
      <protection hidden="1"/>
    </xf>
    <xf numFmtId="0" fontId="14" fillId="0" borderId="0" xfId="0" applyFont="1" applyFill="1" applyBorder="1" applyAlignment="1" applyProtection="1">
      <alignment horizontal="center" vertical="top" wrapText="1"/>
      <protection hidden="1"/>
    </xf>
    <xf numFmtId="0" fontId="18" fillId="0" borderId="0" xfId="0" applyFont="1" applyBorder="1" applyAlignment="1" applyProtection="1">
      <alignment horizontal="right" vertical="top"/>
      <protection hidden="1"/>
    </xf>
    <xf numFmtId="0" fontId="14" fillId="0" borderId="0" xfId="0" applyFont="1" applyAlignment="1" applyProtection="1">
      <alignment horizontal="left" vertical="top" wrapText="1"/>
      <protection hidden="1"/>
    </xf>
    <xf numFmtId="2" fontId="47" fillId="12" borderId="47" xfId="0" applyNumberFormat="1" applyFont="1" applyFill="1" applyBorder="1" applyAlignment="1">
      <alignment horizontal="center" vertical="top"/>
    </xf>
    <xf numFmtId="2" fontId="14" fillId="2" borderId="0" xfId="0" applyNumberFormat="1" applyFont="1" applyFill="1" applyBorder="1" applyAlignment="1">
      <alignment horizontal="center" vertical="top" wrapText="1"/>
    </xf>
    <xf numFmtId="2" fontId="14" fillId="0" borderId="30" xfId="0" applyNumberFormat="1" applyFont="1" applyBorder="1" applyAlignment="1">
      <alignment horizontal="left" vertical="top" wrapText="1"/>
    </xf>
    <xf numFmtId="2" fontId="14" fillId="0" borderId="116" xfId="0" applyNumberFormat="1" applyFont="1" applyFill="1" applyBorder="1" applyAlignment="1">
      <alignment horizontal="left" vertical="top" wrapText="1"/>
    </xf>
    <xf numFmtId="1" fontId="49" fillId="22" borderId="130" xfId="0" applyNumberFormat="1" applyFont="1" applyFill="1" applyBorder="1" applyAlignment="1">
      <alignment horizontal="center" wrapText="1"/>
    </xf>
    <xf numFmtId="0" fontId="47" fillId="0" borderId="130" xfId="0" applyFont="1" applyFill="1" applyBorder="1" applyAlignment="1">
      <alignment horizontal="left" vertical="top" wrapText="1"/>
    </xf>
    <xf numFmtId="0" fontId="47" fillId="0" borderId="130" xfId="0" applyFont="1" applyFill="1" applyBorder="1" applyAlignment="1">
      <alignment vertical="top" wrapText="1"/>
    </xf>
    <xf numFmtId="0" fontId="47" fillId="0" borderId="130" xfId="12" applyFont="1" applyFill="1" applyBorder="1" applyAlignment="1">
      <alignment horizontal="left" vertical="top" wrapText="1"/>
    </xf>
    <xf numFmtId="0" fontId="95" fillId="0" borderId="130" xfId="0" applyFont="1" applyFill="1" applyBorder="1" applyAlignment="1">
      <alignment vertical="top" wrapText="1"/>
    </xf>
    <xf numFmtId="0" fontId="47" fillId="0" borderId="132" xfId="1" applyFont="1" applyFill="1" applyBorder="1" applyAlignment="1">
      <alignment horizontal="left" vertical="top" wrapText="1"/>
    </xf>
    <xf numFmtId="0" fontId="15" fillId="14" borderId="26" xfId="0" applyFont="1" applyFill="1" applyBorder="1" applyAlignment="1" applyProtection="1">
      <alignment horizontal="center" vertical="top" wrapText="1"/>
      <protection locked="0"/>
    </xf>
    <xf numFmtId="0" fontId="81" fillId="0" borderId="123" xfId="0" applyFont="1" applyBorder="1" applyAlignment="1" applyProtection="1">
      <alignment vertical="top" wrapText="1"/>
      <protection locked="0"/>
    </xf>
    <xf numFmtId="0" fontId="15" fillId="0" borderId="47" xfId="0" applyFont="1" applyBorder="1" applyAlignment="1" applyProtection="1">
      <alignment vertical="top"/>
      <protection locked="0"/>
    </xf>
    <xf numFmtId="0" fontId="15" fillId="0" borderId="0" xfId="0" applyFont="1" applyBorder="1" applyAlignment="1" applyProtection="1">
      <alignment vertical="top"/>
      <protection locked="0"/>
    </xf>
    <xf numFmtId="2" fontId="57" fillId="0" borderId="133" xfId="0" applyNumberFormat="1" applyFont="1" applyFill="1" applyBorder="1">
      <alignment vertical="top"/>
    </xf>
    <xf numFmtId="2" fontId="57" fillId="0" borderId="133" xfId="0" applyNumberFormat="1" applyFont="1" applyBorder="1">
      <alignment vertical="top"/>
    </xf>
    <xf numFmtId="0" fontId="90" fillId="4" borderId="133" xfId="1" applyNumberFormat="1" applyFont="1" applyFill="1" applyBorder="1" applyAlignment="1">
      <alignment vertical="center"/>
    </xf>
    <xf numFmtId="2" fontId="57" fillId="0" borderId="133" xfId="1" applyNumberFormat="1" applyFont="1" applyFill="1" applyBorder="1">
      <alignment vertical="top"/>
    </xf>
    <xf numFmtId="2" fontId="57" fillId="0" borderId="133" xfId="1" applyNumberFormat="1" applyFont="1" applyBorder="1">
      <alignment vertical="top"/>
    </xf>
    <xf numFmtId="0" fontId="90" fillId="9" borderId="133" xfId="1" applyFont="1" applyFill="1" applyBorder="1" applyAlignment="1">
      <alignment vertical="center" wrapText="1"/>
    </xf>
    <xf numFmtId="0" fontId="57" fillId="0" borderId="133" xfId="1" applyFont="1" applyBorder="1" applyAlignment="1">
      <alignment vertical="top" wrapText="1"/>
    </xf>
    <xf numFmtId="0" fontId="14" fillId="14" borderId="3" xfId="1" applyFont="1" applyFill="1" applyBorder="1" applyAlignment="1" applyProtection="1">
      <alignment horizontal="center" vertical="top"/>
      <protection locked="0"/>
    </xf>
    <xf numFmtId="0" fontId="14" fillId="8" borderId="69" xfId="0" applyFont="1" applyFill="1" applyBorder="1" applyAlignment="1">
      <alignment horizontal="left" vertical="top"/>
    </xf>
    <xf numFmtId="0" fontId="14" fillId="14" borderId="78" xfId="1" applyFont="1" applyFill="1" applyBorder="1" applyAlignment="1" applyProtection="1">
      <alignment horizontal="center" vertical="top" wrapText="1"/>
      <protection locked="0"/>
    </xf>
    <xf numFmtId="0" fontId="92" fillId="21" borderId="116" xfId="1" applyFont="1" applyFill="1" applyBorder="1" applyAlignment="1" applyProtection="1">
      <alignment horizontal="center" vertical="center" wrapText="1"/>
      <protection locked="0"/>
    </xf>
    <xf numFmtId="0" fontId="93" fillId="8" borderId="36" xfId="0" applyFont="1" applyFill="1" applyBorder="1" applyAlignment="1">
      <alignment horizontal="center" vertical="center" wrapText="1"/>
    </xf>
    <xf numFmtId="0" fontId="14" fillId="9" borderId="12" xfId="1" applyFont="1" applyFill="1" applyBorder="1" applyAlignment="1">
      <alignment horizontal="center" vertical="center"/>
    </xf>
    <xf numFmtId="0" fontId="14" fillId="8" borderId="63" xfId="0" applyFont="1" applyFill="1" applyBorder="1" applyAlignment="1">
      <alignment horizontal="left" vertical="top"/>
    </xf>
    <xf numFmtId="0" fontId="14" fillId="14" borderId="134" xfId="1" applyFont="1" applyFill="1" applyBorder="1" applyAlignment="1" applyProtection="1">
      <alignment horizontal="center" vertical="top" wrapText="1"/>
      <protection locked="0"/>
    </xf>
    <xf numFmtId="49" fontId="54" fillId="15" borderId="113" xfId="2" applyNumberFormat="1" applyFont="1" applyFill="1" applyBorder="1" applyAlignment="1">
      <alignment horizontal="center" vertical="center" wrapText="1"/>
    </xf>
    <xf numFmtId="49" fontId="54" fillId="0" borderId="105" xfId="2" applyNumberFormat="1" applyFont="1" applyBorder="1" applyAlignment="1" applyProtection="1">
      <alignment horizontal="center" vertical="center" wrapText="1"/>
      <protection locked="0"/>
    </xf>
    <xf numFmtId="1" fontId="55" fillId="0" borderId="105" xfId="2" applyNumberFormat="1" applyFont="1" applyBorder="1" applyAlignment="1" applyProtection="1">
      <alignment horizontal="center" vertical="center"/>
      <protection locked="0"/>
    </xf>
    <xf numFmtId="1" fontId="18" fillId="7" borderId="41" xfId="1" applyNumberFormat="1" applyFont="1" applyFill="1" applyBorder="1" applyAlignment="1">
      <alignment horizontal="center" vertical="center"/>
    </xf>
    <xf numFmtId="49" fontId="54" fillId="15" borderId="105" xfId="2" applyNumberFormat="1" applyFont="1" applyFill="1" applyBorder="1" applyAlignment="1">
      <alignment horizontal="center" vertical="center" wrapText="1"/>
    </xf>
    <xf numFmtId="0" fontId="54" fillId="15" borderId="105" xfId="2" applyFont="1" applyFill="1" applyBorder="1" applyAlignment="1" applyProtection="1">
      <alignment horizontal="center" vertical="center" wrapText="1"/>
      <protection locked="0"/>
    </xf>
    <xf numFmtId="1" fontId="14" fillId="7" borderId="41" xfId="1" applyNumberFormat="1" applyFont="1" applyFill="1" applyBorder="1" applyAlignment="1">
      <alignment horizontal="center" vertical="center"/>
    </xf>
    <xf numFmtId="2" fontId="23" fillId="21" borderId="41" xfId="1" applyNumberFormat="1" applyFont="1" applyFill="1" applyBorder="1" applyAlignment="1">
      <alignment horizontal="center" vertical="center"/>
    </xf>
    <xf numFmtId="2" fontId="18" fillId="21" borderId="41" xfId="1" applyNumberFormat="1" applyFont="1" applyFill="1" applyBorder="1" applyAlignment="1">
      <alignment horizontal="center" vertical="center"/>
    </xf>
    <xf numFmtId="2" fontId="75" fillId="21" borderId="41" xfId="1" applyNumberFormat="1" applyFont="1" applyFill="1" applyBorder="1" applyAlignment="1">
      <alignment horizontal="center" vertical="center"/>
    </xf>
    <xf numFmtId="0" fontId="54" fillId="15" borderId="96" xfId="2" applyFont="1" applyFill="1" applyBorder="1" applyAlignment="1">
      <alignment horizontal="center" vertical="center" wrapText="1"/>
    </xf>
    <xf numFmtId="49" fontId="54" fillId="15" borderId="106" xfId="2" applyNumberFormat="1" applyFont="1" applyFill="1" applyBorder="1" applyAlignment="1">
      <alignment horizontal="center" vertical="center" wrapText="1"/>
    </xf>
    <xf numFmtId="0" fontId="54" fillId="15" borderId="106" xfId="2" applyFont="1" applyFill="1" applyBorder="1" applyAlignment="1" applyProtection="1">
      <alignment horizontal="center" vertical="center" wrapText="1"/>
      <protection locked="0"/>
    </xf>
    <xf numFmtId="1" fontId="55" fillId="15" borderId="106" xfId="2" applyNumberFormat="1" applyFont="1" applyFill="1" applyBorder="1" applyAlignment="1" applyProtection="1">
      <alignment horizontal="center" vertical="center"/>
      <protection locked="0"/>
    </xf>
    <xf numFmtId="1" fontId="55" fillId="0" borderId="44" xfId="2" applyNumberFormat="1" applyFont="1" applyBorder="1" applyAlignment="1" applyProtection="1">
      <alignment horizontal="center" vertical="center"/>
      <protection locked="0"/>
    </xf>
    <xf numFmtId="1" fontId="55" fillId="0" borderId="43" xfId="2" applyNumberFormat="1" applyFont="1" applyBorder="1" applyAlignment="1" applyProtection="1">
      <alignment horizontal="center" vertical="center"/>
      <protection locked="0"/>
    </xf>
    <xf numFmtId="49" fontId="54" fillId="15" borderId="105" xfId="2" applyNumberFormat="1" applyFont="1" applyFill="1" applyBorder="1" applyAlignment="1" applyProtection="1">
      <alignment horizontal="center" vertical="center" wrapText="1"/>
      <protection locked="0"/>
    </xf>
    <xf numFmtId="0" fontId="54" fillId="15" borderId="113" xfId="2" applyFont="1" applyFill="1" applyBorder="1" applyAlignment="1">
      <alignment horizontal="center" vertical="center" wrapText="1"/>
    </xf>
    <xf numFmtId="1" fontId="54" fillId="0" borderId="105" xfId="2" applyNumberFormat="1" applyFont="1" applyBorder="1" applyAlignment="1" applyProtection="1">
      <alignment horizontal="center" vertical="center"/>
      <protection locked="0"/>
    </xf>
    <xf numFmtId="1" fontId="54" fillId="0" borderId="44" xfId="2" applyNumberFormat="1" applyFont="1" applyBorder="1" applyAlignment="1" applyProtection="1">
      <alignment horizontal="center" vertical="center"/>
      <protection locked="0"/>
    </xf>
    <xf numFmtId="0" fontId="54" fillId="15" borderId="105" xfId="2" applyFont="1" applyFill="1" applyBorder="1" applyAlignment="1">
      <alignment horizontal="center" vertical="center" wrapText="1"/>
    </xf>
    <xf numFmtId="0" fontId="5" fillId="8" borderId="134" xfId="1" applyFont="1" applyFill="1" applyBorder="1" applyAlignment="1">
      <alignment horizontal="center"/>
    </xf>
    <xf numFmtId="0" fontId="14" fillId="0" borderId="134" xfId="1" applyFont="1" applyFill="1" applyBorder="1" applyAlignment="1" applyProtection="1">
      <alignment horizontal="center" vertical="top"/>
      <protection locked="0"/>
    </xf>
    <xf numFmtId="0" fontId="14" fillId="8" borderId="134" xfId="1" applyFont="1" applyFill="1" applyBorder="1" applyAlignment="1" applyProtection="1">
      <alignment horizontal="center" vertical="top"/>
      <protection locked="0"/>
    </xf>
    <xf numFmtId="0" fontId="14" fillId="0" borderId="134" xfId="1" applyFont="1" applyBorder="1" applyAlignment="1" applyProtection="1">
      <alignment horizontal="center" vertical="top"/>
      <protection locked="0"/>
    </xf>
    <xf numFmtId="1" fontId="14" fillId="0" borderId="134" xfId="1" applyNumberFormat="1" applyFont="1" applyBorder="1" applyAlignment="1" applyProtection="1">
      <alignment horizontal="center" vertical="top" wrapText="1"/>
      <protection locked="0"/>
    </xf>
    <xf numFmtId="1" fontId="14" fillId="0" borderId="134" xfId="1" applyNumberFormat="1" applyFont="1" applyFill="1" applyBorder="1" applyAlignment="1" applyProtection="1">
      <alignment horizontal="center" vertical="top" wrapText="1"/>
      <protection locked="0"/>
    </xf>
    <xf numFmtId="0" fontId="14" fillId="14" borderId="134" xfId="22" applyFont="1" applyFill="1" applyBorder="1" applyAlignment="1" applyProtection="1">
      <alignment horizontal="center" vertical="top" wrapText="1"/>
      <protection locked="0"/>
    </xf>
    <xf numFmtId="0" fontId="14" fillId="0" borderId="134" xfId="22" applyFont="1" applyBorder="1" applyAlignment="1" applyProtection="1">
      <alignment horizontal="center" vertical="top"/>
      <protection locked="0"/>
    </xf>
    <xf numFmtId="0" fontId="14" fillId="0" borderId="73" xfId="22" applyFont="1" applyBorder="1" applyAlignment="1" applyProtection="1">
      <alignment horizontal="center" vertical="top"/>
      <protection locked="0"/>
    </xf>
    <xf numFmtId="0" fontId="100" fillId="24" borderId="126" xfId="0" applyFont="1" applyFill="1" applyBorder="1" applyAlignment="1" applyProtection="1">
      <alignment vertical="center" wrapText="1"/>
    </xf>
    <xf numFmtId="0" fontId="100" fillId="24" borderId="10" xfId="1" applyFont="1" applyFill="1" applyBorder="1" applyAlignment="1" applyProtection="1">
      <alignment horizontal="left" vertical="center" wrapText="1"/>
    </xf>
    <xf numFmtId="0" fontId="100" fillId="24" borderId="10" xfId="0" applyFont="1" applyFill="1" applyBorder="1" applyAlignment="1" applyProtection="1">
      <alignment horizontal="left" vertical="top" wrapText="1"/>
    </xf>
    <xf numFmtId="0" fontId="100" fillId="24" borderId="126" xfId="0" applyFont="1" applyFill="1" applyBorder="1" applyAlignment="1">
      <alignment vertical="center" wrapText="1"/>
    </xf>
    <xf numFmtId="0" fontId="100" fillId="24" borderId="47" xfId="0" applyFont="1" applyFill="1" applyBorder="1" applyAlignment="1" applyProtection="1">
      <alignment horizontal="left" vertical="center" wrapText="1"/>
    </xf>
    <xf numFmtId="0" fontId="100" fillId="24" borderId="10" xfId="0" applyFont="1" applyFill="1" applyBorder="1" applyAlignment="1" applyProtection="1">
      <alignment horizontal="left" vertical="center" wrapText="1"/>
    </xf>
    <xf numFmtId="0" fontId="100" fillId="24" borderId="47" xfId="0" applyFont="1" applyFill="1" applyBorder="1" applyAlignment="1" applyProtection="1">
      <alignment vertical="center" wrapText="1"/>
    </xf>
    <xf numFmtId="0" fontId="100" fillId="24" borderId="41" xfId="0" applyFont="1" applyFill="1" applyBorder="1" applyAlignment="1" applyProtection="1">
      <alignment horizontal="left" vertical="center" wrapText="1"/>
    </xf>
    <xf numFmtId="0" fontId="100" fillId="24" borderId="10" xfId="0" applyFont="1" applyFill="1" applyBorder="1" applyAlignment="1" applyProtection="1">
      <alignment vertical="center" wrapText="1"/>
    </xf>
    <xf numFmtId="0" fontId="101" fillId="24" borderId="47" xfId="0" applyFont="1" applyFill="1" applyBorder="1" applyAlignment="1" applyProtection="1">
      <alignment vertical="center" wrapText="1"/>
    </xf>
    <xf numFmtId="0" fontId="100" fillId="24" borderId="30" xfId="0" applyFont="1" applyFill="1" applyBorder="1" applyAlignment="1" applyProtection="1">
      <alignment vertical="center" wrapText="1"/>
    </xf>
    <xf numFmtId="0" fontId="100" fillId="24" borderId="10" xfId="0" applyFont="1" applyFill="1" applyBorder="1" applyAlignment="1">
      <alignment horizontal="left" vertical="center" wrapText="1"/>
    </xf>
    <xf numFmtId="0" fontId="100" fillId="24" borderId="59" xfId="0" applyFont="1" applyFill="1" applyBorder="1" applyAlignment="1" applyProtection="1">
      <alignment horizontal="left" vertical="center" wrapText="1"/>
    </xf>
    <xf numFmtId="0" fontId="107" fillId="24" borderId="47" xfId="0" applyFont="1" applyFill="1" applyBorder="1" applyAlignment="1" applyProtection="1">
      <alignment horizontal="left" vertical="center" wrapText="1"/>
    </xf>
    <xf numFmtId="49" fontId="100" fillId="24" borderId="10" xfId="0" applyNumberFormat="1" applyFont="1" applyFill="1" applyBorder="1" applyAlignment="1" applyProtection="1">
      <alignment horizontal="left" vertical="center" wrapText="1"/>
    </xf>
    <xf numFmtId="0" fontId="100" fillId="24" borderId="10" xfId="0" applyNumberFormat="1" applyFont="1" applyFill="1" applyBorder="1" applyAlignment="1" applyProtection="1">
      <alignment horizontal="left" vertical="center" wrapText="1"/>
    </xf>
    <xf numFmtId="0" fontId="100" fillId="24" borderId="116" xfId="0" applyFont="1" applyFill="1" applyBorder="1" applyAlignment="1" applyProtection="1">
      <alignment horizontal="left" vertical="center" wrapText="1"/>
    </xf>
    <xf numFmtId="0" fontId="100" fillId="24" borderId="116" xfId="0" applyFont="1" applyFill="1" applyBorder="1" applyAlignment="1" applyProtection="1">
      <alignment vertical="center" wrapText="1"/>
    </xf>
    <xf numFmtId="49" fontId="54" fillId="0" borderId="134" xfId="2" applyNumberFormat="1" applyFont="1" applyBorder="1" applyAlignment="1" applyProtection="1">
      <alignment horizontal="center" vertical="center" wrapText="1"/>
      <protection locked="0"/>
    </xf>
    <xf numFmtId="0" fontId="54" fillId="15" borderId="101" xfId="2" applyFont="1" applyFill="1" applyBorder="1" applyAlignment="1">
      <alignment horizontal="center" vertical="center" wrapText="1"/>
    </xf>
    <xf numFmtId="1" fontId="54" fillId="0" borderId="134" xfId="2" applyNumberFormat="1" applyFont="1" applyBorder="1" applyAlignment="1" applyProtection="1">
      <alignment horizontal="center" vertical="center"/>
      <protection locked="0"/>
    </xf>
    <xf numFmtId="1" fontId="54" fillId="0" borderId="73" xfId="2" applyNumberFormat="1" applyFont="1" applyBorder="1" applyAlignment="1" applyProtection="1">
      <alignment horizontal="center" vertical="center"/>
      <protection locked="0"/>
    </xf>
    <xf numFmtId="1" fontId="14" fillId="7" borderId="130" xfId="1" applyNumberFormat="1" applyFont="1" applyFill="1" applyBorder="1" applyAlignment="1">
      <alignment horizontal="center" vertical="center"/>
    </xf>
    <xf numFmtId="2" fontId="18" fillId="21" borderId="130" xfId="1" applyNumberFormat="1" applyFont="1" applyFill="1" applyBorder="1" applyAlignment="1">
      <alignment horizontal="center" vertical="center"/>
    </xf>
    <xf numFmtId="1" fontId="18" fillId="7" borderId="130" xfId="1" applyNumberFormat="1" applyFont="1" applyFill="1" applyBorder="1" applyAlignment="1">
      <alignment horizontal="center" vertical="center"/>
    </xf>
    <xf numFmtId="1" fontId="18" fillId="7" borderId="30" xfId="1" applyNumberFormat="1" applyFont="1" applyFill="1" applyBorder="1" applyAlignment="1">
      <alignment horizontal="center" vertical="center"/>
    </xf>
    <xf numFmtId="49" fontId="18" fillId="7" borderId="13" xfId="1" applyNumberFormat="1" applyFont="1" applyFill="1" applyBorder="1" applyAlignment="1" applyProtection="1">
      <alignment vertical="center"/>
      <protection locked="0"/>
    </xf>
    <xf numFmtId="49" fontId="54" fillId="15" borderId="134" xfId="2" applyNumberFormat="1" applyFont="1" applyFill="1" applyBorder="1" applyAlignment="1">
      <alignment horizontal="center" vertical="center" wrapText="1"/>
    </xf>
    <xf numFmtId="0" fontId="14" fillId="4" borderId="134" xfId="1" applyFont="1" applyFill="1" applyBorder="1" applyAlignment="1" applyProtection="1">
      <alignment horizontal="center" vertical="top"/>
      <protection locked="0"/>
    </xf>
    <xf numFmtId="0" fontId="81" fillId="0" borderId="130" xfId="1" applyFont="1" applyBorder="1" applyAlignment="1" applyProtection="1">
      <alignment vertical="top" wrapText="1"/>
      <protection locked="0"/>
    </xf>
    <xf numFmtId="0" fontId="93" fillId="0" borderId="130" xfId="1" applyFont="1" applyBorder="1" applyAlignment="1" applyProtection="1">
      <alignment horizontal="center" vertical="center" wrapText="1"/>
      <protection locked="0"/>
    </xf>
    <xf numFmtId="0" fontId="108" fillId="0" borderId="0" xfId="0" applyFont="1">
      <alignment vertical="top"/>
    </xf>
    <xf numFmtId="0" fontId="22" fillId="0" borderId="0" xfId="0" applyFont="1" applyAlignment="1">
      <alignment vertical="top" wrapText="1"/>
    </xf>
    <xf numFmtId="2" fontId="22" fillId="0" borderId="0" xfId="0" applyNumberFormat="1" applyFont="1" applyAlignment="1">
      <alignment vertical="top" wrapText="1"/>
    </xf>
    <xf numFmtId="0" fontId="58" fillId="16" borderId="131" xfId="0" applyNumberFormat="1" applyFont="1" applyFill="1" applyBorder="1" applyAlignment="1">
      <alignment vertical="center" wrapText="1"/>
    </xf>
    <xf numFmtId="0" fontId="58" fillId="16" borderId="130" xfId="0" applyNumberFormat="1" applyFont="1" applyFill="1" applyBorder="1" applyAlignment="1">
      <alignment vertical="center" wrapText="1"/>
    </xf>
    <xf numFmtId="2" fontId="57" fillId="0" borderId="69" xfId="0" applyNumberFormat="1" applyFont="1" applyFill="1" applyBorder="1">
      <alignment vertical="top"/>
    </xf>
    <xf numFmtId="0" fontId="58" fillId="16" borderId="131" xfId="0" applyNumberFormat="1" applyFont="1" applyFill="1" applyBorder="1" applyAlignment="1">
      <alignment vertical="center"/>
    </xf>
    <xf numFmtId="0" fontId="58" fillId="16" borderId="130" xfId="0" applyNumberFormat="1" applyFont="1" applyFill="1" applyBorder="1" applyAlignment="1">
      <alignment vertical="center"/>
    </xf>
    <xf numFmtId="2" fontId="57" fillId="0" borderId="17" xfId="0" applyNumberFormat="1" applyFont="1" applyFill="1" applyBorder="1">
      <alignment vertical="top"/>
    </xf>
    <xf numFmtId="2" fontId="57" fillId="0" borderId="112" xfId="0" applyNumberFormat="1" applyFont="1" applyFill="1" applyBorder="1">
      <alignment vertical="top"/>
    </xf>
    <xf numFmtId="2" fontId="57" fillId="0" borderId="33" xfId="0" applyNumberFormat="1" applyFont="1" applyFill="1" applyBorder="1">
      <alignment vertical="top"/>
    </xf>
    <xf numFmtId="2" fontId="57" fillId="0" borderId="21" xfId="0" applyNumberFormat="1" applyFont="1" applyFill="1" applyBorder="1">
      <alignment vertical="top"/>
    </xf>
    <xf numFmtId="0" fontId="18" fillId="0" borderId="69" xfId="0" applyNumberFormat="1" applyFont="1" applyBorder="1">
      <alignment vertical="top"/>
    </xf>
    <xf numFmtId="2" fontId="57" fillId="0" borderId="129" xfId="0" applyNumberFormat="1" applyFont="1" applyFill="1" applyBorder="1">
      <alignment vertical="top"/>
    </xf>
    <xf numFmtId="0" fontId="18" fillId="0" borderId="133" xfId="0" applyNumberFormat="1" applyFont="1" applyBorder="1" applyAlignment="1">
      <alignment horizontal="left" vertical="top"/>
    </xf>
    <xf numFmtId="2" fontId="57" fillId="0" borderId="121" xfId="0" applyNumberFormat="1" applyFont="1" applyFill="1" applyBorder="1">
      <alignment vertical="top"/>
    </xf>
    <xf numFmtId="0" fontId="18" fillId="0" borderId="33" xfId="0" applyNumberFormat="1" applyFont="1" applyBorder="1">
      <alignment vertical="top"/>
    </xf>
    <xf numFmtId="2" fontId="57" fillId="0" borderId="34" xfId="0" applyNumberFormat="1" applyFont="1" applyFill="1" applyBorder="1">
      <alignment vertical="top"/>
    </xf>
    <xf numFmtId="0" fontId="21" fillId="5" borderId="0" xfId="0" applyFont="1" applyFill="1" applyBorder="1" applyAlignment="1">
      <alignment horizontal="left" vertical="center" wrapText="1"/>
    </xf>
    <xf numFmtId="0" fontId="21" fillId="5" borderId="67" xfId="0" applyFont="1" applyFill="1" applyBorder="1" applyAlignment="1">
      <alignment horizontal="left" vertical="center" wrapText="1"/>
    </xf>
    <xf numFmtId="0" fontId="26" fillId="0" borderId="107" xfId="0" applyFont="1" applyBorder="1" applyAlignment="1">
      <alignment horizontal="left" vertical="top" wrapText="1"/>
    </xf>
    <xf numFmtId="0" fontId="26" fillId="0" borderId="26" xfId="0" applyFont="1" applyBorder="1" applyAlignment="1">
      <alignment horizontal="left" vertical="top" wrapText="1"/>
    </xf>
    <xf numFmtId="0" fontId="26" fillId="0" borderId="17" xfId="0" applyFont="1" applyBorder="1" applyAlignment="1">
      <alignment horizontal="left" vertical="top" wrapText="1"/>
    </xf>
    <xf numFmtId="0" fontId="14" fillId="0" borderId="107" xfId="0" applyFont="1" applyBorder="1" applyAlignment="1">
      <alignment horizontal="center" vertical="top" wrapText="1"/>
    </xf>
    <xf numFmtId="0" fontId="14" fillId="0" borderId="26" xfId="0" applyFont="1" applyBorder="1" applyAlignment="1">
      <alignment horizontal="center" vertical="top" wrapText="1"/>
    </xf>
    <xf numFmtId="0" fontId="14" fillId="0" borderId="17" xfId="0" applyFont="1" applyBorder="1" applyAlignment="1">
      <alignment horizontal="center" vertical="top" wrapText="1"/>
    </xf>
    <xf numFmtId="0" fontId="14" fillId="0" borderId="20" xfId="1" applyFont="1" applyFill="1" applyBorder="1" applyAlignment="1" applyProtection="1">
      <alignment horizontal="left" vertical="top" wrapText="1"/>
    </xf>
    <xf numFmtId="0" fontId="14" fillId="0" borderId="26" xfId="1" applyFont="1" applyFill="1" applyBorder="1" applyAlignment="1" applyProtection="1">
      <alignment horizontal="left" vertical="top" wrapText="1"/>
    </xf>
    <xf numFmtId="0" fontId="14" fillId="0" borderId="40" xfId="1" applyFont="1" applyFill="1" applyBorder="1" applyAlignment="1" applyProtection="1">
      <alignment horizontal="left" vertical="top" wrapText="1"/>
    </xf>
    <xf numFmtId="0" fontId="14" fillId="0" borderId="20" xfId="0" applyFont="1" applyBorder="1" applyAlignment="1" applyProtection="1">
      <alignment vertical="top" wrapText="1"/>
    </xf>
    <xf numFmtId="0" fontId="14" fillId="0" borderId="26" xfId="0" applyFont="1" applyBorder="1" applyAlignment="1" applyProtection="1">
      <alignment vertical="top" wrapText="1"/>
    </xf>
    <xf numFmtId="0" fontId="14" fillId="0" borderId="40" xfId="0" applyFont="1" applyBorder="1" applyAlignment="1" applyProtection="1">
      <alignment vertical="top" wrapText="1"/>
    </xf>
    <xf numFmtId="0" fontId="14" fillId="0" borderId="20" xfId="1" applyFont="1" applyBorder="1" applyAlignment="1" applyProtection="1">
      <alignment vertical="top" wrapText="1"/>
    </xf>
    <xf numFmtId="0" fontId="14" fillId="0" borderId="26" xfId="1" applyFont="1" applyBorder="1" applyAlignment="1" applyProtection="1">
      <alignment vertical="top" wrapText="1"/>
    </xf>
    <xf numFmtId="0" fontId="14" fillId="0" borderId="40" xfId="1" applyFont="1" applyBorder="1" applyAlignment="1" applyProtection="1">
      <alignment vertical="top" wrapText="1"/>
    </xf>
    <xf numFmtId="0" fontId="81" fillId="0" borderId="131" xfId="1" applyFont="1" applyBorder="1" applyAlignment="1" applyProtection="1">
      <alignment horizontal="left" vertical="top" wrapText="1"/>
      <protection locked="0"/>
    </xf>
    <xf numFmtId="0" fontId="81" fillId="0" borderId="123" xfId="1" applyFont="1" applyBorder="1" applyAlignment="1" applyProtection="1">
      <alignment horizontal="left" vertical="top" wrapText="1"/>
      <protection locked="0"/>
    </xf>
    <xf numFmtId="0" fontId="80" fillId="0" borderId="50" xfId="0" applyFont="1" applyFill="1" applyBorder="1" applyAlignment="1">
      <alignment horizontal="left" vertical="top" wrapText="1"/>
    </xf>
    <xf numFmtId="0" fontId="80" fillId="0" borderId="60" xfId="0" applyFont="1" applyFill="1" applyBorder="1" applyAlignment="1">
      <alignment horizontal="left" vertical="top" wrapText="1"/>
    </xf>
    <xf numFmtId="0" fontId="14" fillId="0" borderId="20" xfId="1" applyFont="1" applyFill="1" applyBorder="1" applyAlignment="1">
      <alignment horizontal="left" vertical="top" wrapText="1"/>
    </xf>
    <xf numFmtId="0" fontId="14" fillId="0" borderId="26" xfId="1" applyFont="1" applyFill="1" applyBorder="1" applyAlignment="1">
      <alignment horizontal="left" vertical="top" wrapText="1"/>
    </xf>
    <xf numFmtId="0" fontId="14" fillId="0" borderId="40" xfId="1" applyFont="1" applyFill="1" applyBorder="1" applyAlignment="1">
      <alignment horizontal="left" vertical="top" wrapText="1"/>
    </xf>
    <xf numFmtId="0" fontId="14" fillId="0" borderId="20" xfId="0" applyFont="1" applyFill="1" applyBorder="1" applyAlignment="1" applyProtection="1">
      <alignment horizontal="left" vertical="top" wrapText="1"/>
    </xf>
    <xf numFmtId="0" fontId="18" fillId="0" borderId="26" xfId="0" applyFont="1" applyBorder="1">
      <alignment vertical="top"/>
    </xf>
    <xf numFmtId="0" fontId="18" fillId="0" borderId="40" xfId="0" applyFont="1" applyBorder="1">
      <alignment vertical="top"/>
    </xf>
    <xf numFmtId="1" fontId="14" fillId="0" borderId="20" xfId="0" applyNumberFormat="1"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14" fillId="0" borderId="57"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4" fillId="0" borderId="67" xfId="0" applyFont="1" applyFill="1" applyBorder="1" applyAlignment="1" applyProtection="1">
      <alignment horizontal="left" vertical="top" wrapText="1"/>
    </xf>
    <xf numFmtId="0" fontId="14" fillId="0" borderId="68"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4" fillId="0" borderId="40"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0" xfId="1" applyFont="1" applyBorder="1" applyAlignment="1" applyProtection="1">
      <alignment horizontal="left" vertical="top" wrapText="1"/>
    </xf>
    <xf numFmtId="0" fontId="14" fillId="0" borderId="26" xfId="1" applyFont="1" applyBorder="1" applyAlignment="1" applyProtection="1">
      <alignment horizontal="left" vertical="top" wrapText="1"/>
    </xf>
    <xf numFmtId="0" fontId="14" fillId="0" borderId="40" xfId="1" applyFont="1" applyBorder="1" applyAlignment="1" applyProtection="1">
      <alignment horizontal="left" vertical="top" wrapText="1"/>
    </xf>
    <xf numFmtId="0" fontId="14" fillId="0" borderId="26" xfId="1" applyFont="1" applyFill="1" applyBorder="1" applyAlignment="1" applyProtection="1">
      <alignment horizontal="left" vertical="top"/>
    </xf>
    <xf numFmtId="0" fontId="14" fillId="0" borderId="40" xfId="1" applyFont="1" applyFill="1" applyBorder="1" applyAlignment="1" applyProtection="1">
      <alignment horizontal="left" vertical="top"/>
    </xf>
    <xf numFmtId="0" fontId="20" fillId="0" borderId="26" xfId="1" applyFont="1" applyFill="1" applyBorder="1" applyAlignment="1" applyProtection="1">
      <alignment horizontal="left" vertical="top" wrapText="1"/>
    </xf>
    <xf numFmtId="0" fontId="20" fillId="0" borderId="40" xfId="1" applyFont="1" applyFill="1" applyBorder="1" applyAlignment="1" applyProtection="1">
      <alignment horizontal="left" vertical="top" wrapText="1"/>
    </xf>
    <xf numFmtId="49" fontId="14" fillId="0" borderId="26" xfId="1" applyNumberFormat="1" applyFont="1" applyFill="1" applyBorder="1" applyAlignment="1" applyProtection="1">
      <alignment horizontal="left" vertical="top" wrapText="1"/>
    </xf>
    <xf numFmtId="0" fontId="14" fillId="0" borderId="20" xfId="0" applyFont="1" applyFill="1" applyBorder="1" applyAlignment="1">
      <alignment horizontal="left" vertical="top" wrapText="1"/>
    </xf>
    <xf numFmtId="0" fontId="20" fillId="0" borderId="26" xfId="0" applyFont="1" applyFill="1" applyBorder="1" applyAlignment="1">
      <alignment horizontal="left" vertical="top"/>
    </xf>
    <xf numFmtId="0" fontId="20" fillId="0" borderId="40" xfId="0" applyFont="1" applyFill="1" applyBorder="1" applyAlignment="1">
      <alignment horizontal="left" vertical="top"/>
    </xf>
    <xf numFmtId="0" fontId="14" fillId="0" borderId="17" xfId="1" applyFont="1" applyFill="1" applyBorder="1" applyAlignment="1" applyProtection="1">
      <alignment horizontal="left" vertical="top" wrapText="1"/>
    </xf>
    <xf numFmtId="0" fontId="20" fillId="0" borderId="112" xfId="1" applyFont="1" applyFill="1" applyBorder="1" applyAlignment="1" applyProtection="1">
      <alignment horizontal="left" vertical="top" wrapText="1"/>
    </xf>
    <xf numFmtId="0" fontId="20" fillId="0" borderId="21" xfId="1" applyFont="1" applyFill="1" applyBorder="1" applyAlignment="1" applyProtection="1">
      <alignment horizontal="left" vertical="top" wrapText="1"/>
    </xf>
    <xf numFmtId="0" fontId="14" fillId="0" borderId="118" xfId="1" applyFont="1" applyFill="1" applyBorder="1" applyAlignment="1" applyProtection="1">
      <alignment horizontal="left" vertical="top" wrapText="1"/>
    </xf>
    <xf numFmtId="0" fontId="14" fillId="0" borderId="112" xfId="1" applyFont="1" applyFill="1" applyBorder="1" applyAlignment="1" applyProtection="1">
      <alignment horizontal="left" vertical="top" wrapText="1"/>
    </xf>
    <xf numFmtId="0" fontId="14" fillId="0" borderId="21" xfId="1" applyFont="1" applyFill="1" applyBorder="1" applyAlignment="1" applyProtection="1">
      <alignment horizontal="left" vertical="top" wrapText="1"/>
    </xf>
    <xf numFmtId="49" fontId="14" fillId="0" borderId="20" xfId="1" applyNumberFormat="1" applyFont="1" applyFill="1" applyBorder="1" applyAlignment="1" applyProtection="1">
      <alignment horizontal="left" vertical="top" wrapText="1"/>
    </xf>
    <xf numFmtId="49" fontId="14" fillId="0" borderId="40" xfId="1" applyNumberFormat="1" applyFont="1" applyFill="1" applyBorder="1" applyAlignment="1" applyProtection="1">
      <alignment horizontal="left" vertical="top" wrapText="1"/>
    </xf>
    <xf numFmtId="1" fontId="14" fillId="0" borderId="20" xfId="0" applyNumberFormat="1" applyFont="1" applyFill="1" applyBorder="1" applyAlignment="1" applyProtection="1">
      <alignment horizontal="left" vertical="top"/>
    </xf>
    <xf numFmtId="0" fontId="14" fillId="0" borderId="26" xfId="1" applyFont="1" applyFill="1" applyBorder="1" applyAlignment="1">
      <alignment horizontal="left" vertical="top"/>
    </xf>
    <xf numFmtId="0" fontId="14" fillId="0" borderId="40" xfId="1" applyFont="1" applyFill="1" applyBorder="1" applyAlignment="1">
      <alignment horizontal="left" vertical="top"/>
    </xf>
    <xf numFmtId="0" fontId="14" fillId="0" borderId="26" xfId="0" applyFont="1" applyFill="1" applyBorder="1" applyAlignment="1">
      <alignment horizontal="left" vertical="top"/>
    </xf>
    <xf numFmtId="0" fontId="14" fillId="0" borderId="40" xfId="0" applyFont="1" applyFill="1" applyBorder="1" applyAlignment="1">
      <alignment horizontal="left" vertical="top"/>
    </xf>
    <xf numFmtId="0" fontId="14" fillId="0" borderId="67" xfId="0" applyFont="1" applyFill="1" applyBorder="1" applyAlignment="1">
      <alignment horizontal="left" vertical="top"/>
    </xf>
    <xf numFmtId="0" fontId="18" fillId="0" borderId="67" xfId="0" applyFont="1" applyBorder="1">
      <alignment vertical="top"/>
    </xf>
    <xf numFmtId="0" fontId="18" fillId="0" borderId="68" xfId="0" applyFont="1" applyBorder="1">
      <alignment vertical="top"/>
    </xf>
    <xf numFmtId="0" fontId="14" fillId="0" borderId="107" xfId="1" applyFont="1" applyFill="1" applyBorder="1" applyAlignment="1" applyProtection="1">
      <alignment horizontal="left" vertical="top" wrapText="1"/>
    </xf>
    <xf numFmtId="0" fontId="14" fillId="0" borderId="20" xfId="0" applyFont="1" applyFill="1" applyBorder="1" applyAlignment="1" applyProtection="1">
      <alignment horizontal="left" vertical="top"/>
    </xf>
    <xf numFmtId="0" fontId="14" fillId="0" borderId="92" xfId="0" applyFont="1" applyBorder="1" applyAlignment="1" applyProtection="1">
      <alignment vertical="top" wrapText="1"/>
    </xf>
    <xf numFmtId="1" fontId="14" fillId="0" borderId="26" xfId="0" applyNumberFormat="1" applyFont="1" applyFill="1" applyBorder="1" applyAlignment="1" applyProtection="1">
      <alignment horizontal="left" vertical="top" wrapText="1"/>
    </xf>
    <xf numFmtId="1" fontId="14" fillId="0" borderId="40" xfId="0" applyNumberFormat="1" applyFont="1" applyFill="1" applyBorder="1" applyAlignment="1" applyProtection="1">
      <alignment horizontal="left" vertical="top" wrapText="1"/>
    </xf>
    <xf numFmtId="0" fontId="14" fillId="0" borderId="20" xfId="0" applyFont="1" applyBorder="1" applyAlignment="1" applyProtection="1">
      <alignment horizontal="left" vertical="top" wrapText="1"/>
    </xf>
    <xf numFmtId="0" fontId="14" fillId="0" borderId="26" xfId="0" applyFont="1" applyBorder="1" applyAlignment="1" applyProtection="1">
      <alignment horizontal="left" vertical="top" wrapText="1"/>
    </xf>
    <xf numFmtId="0" fontId="14" fillId="0" borderId="40" xfId="0" applyFont="1" applyBorder="1" applyAlignment="1" applyProtection="1">
      <alignment horizontal="left" vertical="top" wrapText="1"/>
    </xf>
    <xf numFmtId="0" fontId="14" fillId="0" borderId="17" xfId="1" applyFont="1" applyFill="1" applyBorder="1" applyAlignment="1">
      <alignment horizontal="left" vertical="top" wrapText="1"/>
    </xf>
    <xf numFmtId="0" fontId="14" fillId="0" borderId="112" xfId="1" applyFont="1" applyFill="1" applyBorder="1" applyAlignment="1">
      <alignment horizontal="left" vertical="top" wrapText="1"/>
    </xf>
    <xf numFmtId="0" fontId="14" fillId="0" borderId="107" xfId="1" applyFont="1" applyFill="1" applyBorder="1" applyAlignment="1">
      <alignment horizontal="left" vertical="top" wrapText="1"/>
    </xf>
    <xf numFmtId="0" fontId="18" fillId="0" borderId="93" xfId="0" applyFont="1" applyBorder="1">
      <alignment vertical="top"/>
    </xf>
    <xf numFmtId="49" fontId="14" fillId="0" borderId="20" xfId="0" applyNumberFormat="1" applyFont="1" applyFill="1" applyBorder="1" applyAlignment="1" applyProtection="1">
      <alignment horizontal="left" vertical="top" wrapText="1"/>
    </xf>
    <xf numFmtId="49" fontId="14" fillId="0" borderId="26" xfId="0" applyNumberFormat="1" applyFont="1" applyFill="1" applyBorder="1" applyAlignment="1" applyProtection="1">
      <alignment horizontal="left" vertical="top" wrapText="1"/>
    </xf>
    <xf numFmtId="49" fontId="14" fillId="0" borderId="40" xfId="0" applyNumberFormat="1" applyFont="1" applyFill="1" applyBorder="1" applyAlignment="1" applyProtection="1">
      <alignment horizontal="left" vertical="top" wrapText="1"/>
    </xf>
    <xf numFmtId="0" fontId="99" fillId="9" borderId="19" xfId="1" applyFont="1" applyFill="1" applyBorder="1" applyAlignment="1" applyProtection="1">
      <alignment horizontal="center" vertical="center" wrapText="1"/>
    </xf>
    <xf numFmtId="0" fontId="99" fillId="9" borderId="35" xfId="1" applyFont="1" applyFill="1" applyBorder="1" applyAlignment="1" applyProtection="1">
      <alignment horizontal="center" vertical="center" wrapText="1"/>
    </xf>
    <xf numFmtId="0" fontId="99" fillId="9" borderId="28" xfId="1" applyFont="1" applyFill="1" applyBorder="1" applyAlignment="1" applyProtection="1">
      <alignment horizontal="center" vertical="center" wrapText="1"/>
    </xf>
    <xf numFmtId="0" fontId="17" fillId="0" borderId="30" xfId="1" applyFont="1" applyFill="1" applyBorder="1" applyAlignment="1" applyProtection="1">
      <alignment horizontal="left" vertical="top" wrapText="1"/>
    </xf>
    <xf numFmtId="0" fontId="17" fillId="0" borderId="47" xfId="1" applyFont="1" applyFill="1" applyBorder="1" applyAlignment="1" applyProtection="1">
      <alignment horizontal="left" vertical="top" wrapText="1"/>
    </xf>
    <xf numFmtId="0" fontId="17" fillId="0" borderId="41" xfId="1" applyFont="1" applyFill="1" applyBorder="1" applyAlignment="1" applyProtection="1">
      <alignment horizontal="left" vertical="top" wrapText="1"/>
    </xf>
    <xf numFmtId="0" fontId="17" fillId="6" borderId="30" xfId="0" applyFont="1" applyFill="1" applyBorder="1" applyAlignment="1" applyProtection="1">
      <alignment horizontal="left" vertical="center" wrapText="1"/>
    </xf>
    <xf numFmtId="0" fontId="17" fillId="6" borderId="47" xfId="0" applyFont="1" applyFill="1" applyBorder="1" applyAlignment="1" applyProtection="1">
      <alignment horizontal="left" vertical="center" wrapText="1"/>
    </xf>
    <xf numFmtId="0" fontId="17" fillId="6" borderId="39" xfId="0" applyFont="1" applyFill="1" applyBorder="1" applyAlignment="1" applyProtection="1">
      <alignment horizontal="left" vertical="center" wrapText="1"/>
    </xf>
    <xf numFmtId="0" fontId="14" fillId="0" borderId="20" xfId="0" applyFont="1" applyFill="1" applyBorder="1" applyAlignment="1">
      <alignment horizontal="left" vertical="top"/>
    </xf>
    <xf numFmtId="0" fontId="14" fillId="0" borderId="26" xfId="0" applyFont="1" applyFill="1" applyBorder="1" applyAlignment="1">
      <alignment horizontal="left" vertical="top" wrapText="1"/>
    </xf>
    <xf numFmtId="0" fontId="82" fillId="21" borderId="125" xfId="1" applyFont="1" applyFill="1" applyBorder="1" applyAlignment="1">
      <alignment horizontal="center" vertical="center" wrapText="1"/>
    </xf>
    <xf numFmtId="0" fontId="82" fillId="21" borderId="123" xfId="1" applyFont="1" applyFill="1" applyBorder="1" applyAlignment="1">
      <alignment horizontal="center" vertical="center" wrapText="1"/>
    </xf>
    <xf numFmtId="0" fontId="82" fillId="21" borderId="45" xfId="1" applyFont="1" applyFill="1" applyBorder="1" applyAlignment="1">
      <alignment horizontal="center" vertical="center" wrapText="1"/>
    </xf>
    <xf numFmtId="0" fontId="82" fillId="21" borderId="62" xfId="1" applyFont="1" applyFill="1" applyBorder="1" applyAlignment="1">
      <alignment horizontal="center" vertical="center" wrapText="1"/>
    </xf>
    <xf numFmtId="0" fontId="48" fillId="0" borderId="123" xfId="1" applyFont="1" applyBorder="1" applyAlignment="1">
      <alignment vertical="center" wrapText="1"/>
    </xf>
    <xf numFmtId="0" fontId="57" fillId="0" borderId="123" xfId="0" applyFont="1" applyBorder="1" applyAlignment="1">
      <alignment vertical="center" wrapText="1"/>
    </xf>
    <xf numFmtId="49" fontId="48" fillId="0" borderId="123" xfId="1" applyNumberFormat="1" applyFont="1" applyFill="1" applyBorder="1" applyAlignment="1">
      <alignment horizontal="right" vertical="center" wrapText="1"/>
    </xf>
    <xf numFmtId="0" fontId="57" fillId="0" borderId="123" xfId="0" applyFont="1" applyBorder="1" applyAlignment="1">
      <alignment horizontal="right" vertical="center" wrapText="1"/>
    </xf>
    <xf numFmtId="49" fontId="84" fillId="21" borderId="123" xfId="1" applyNumberFormat="1" applyFont="1" applyFill="1" applyBorder="1" applyAlignment="1">
      <alignment horizontal="left" vertical="center" wrapText="1"/>
    </xf>
    <xf numFmtId="49" fontId="84" fillId="21" borderId="124" xfId="1" applyNumberFormat="1" applyFont="1" applyFill="1" applyBorder="1" applyAlignment="1">
      <alignment horizontal="left" vertical="center" wrapText="1"/>
    </xf>
    <xf numFmtId="0" fontId="83" fillId="0" borderId="123" xfId="1" applyFont="1" applyBorder="1" applyAlignment="1">
      <alignment horizontal="left" vertical="center" wrapText="1"/>
    </xf>
    <xf numFmtId="0" fontId="83" fillId="0" borderId="124" xfId="1" applyFont="1" applyBorder="1" applyAlignment="1">
      <alignment horizontal="left" vertical="center" wrapText="1"/>
    </xf>
    <xf numFmtId="0" fontId="48" fillId="0" borderId="123" xfId="1" applyFont="1" applyBorder="1" applyAlignment="1">
      <alignment horizontal="left" vertical="center" wrapText="1"/>
    </xf>
    <xf numFmtId="0" fontId="48" fillId="0" borderId="124" xfId="1" applyFont="1" applyBorder="1" applyAlignment="1">
      <alignment horizontal="left" vertical="center" wrapText="1"/>
    </xf>
    <xf numFmtId="0" fontId="57" fillId="0" borderId="124" xfId="0" applyFont="1" applyBorder="1" applyAlignment="1">
      <alignment vertical="center" wrapText="1"/>
    </xf>
    <xf numFmtId="0" fontId="84" fillId="21" borderId="123" xfId="1" applyFont="1" applyFill="1" applyBorder="1" applyAlignment="1">
      <alignment vertical="center" wrapText="1"/>
    </xf>
    <xf numFmtId="0" fontId="86" fillId="21" borderId="123" xfId="0" applyFont="1" applyFill="1" applyBorder="1" applyAlignment="1">
      <alignment vertical="center" wrapText="1"/>
    </xf>
    <xf numFmtId="0" fontId="86" fillId="21" borderId="124" xfId="0" applyFont="1" applyFill="1" applyBorder="1" applyAlignment="1">
      <alignment vertical="center" wrapText="1"/>
    </xf>
    <xf numFmtId="0" fontId="18" fillId="7" borderId="6" xfId="1" applyFont="1" applyFill="1" applyBorder="1" applyAlignment="1" applyProtection="1">
      <alignment horizontal="center" vertical="center"/>
      <protection locked="0"/>
    </xf>
    <xf numFmtId="49" fontId="18" fillId="7" borderId="6" xfId="1" applyNumberFormat="1" applyFont="1" applyFill="1" applyBorder="1" applyAlignment="1" applyProtection="1">
      <alignment horizontal="center" vertical="center"/>
      <protection locked="0"/>
    </xf>
    <xf numFmtId="1" fontId="18" fillId="7" borderId="6" xfId="1" applyNumberFormat="1" applyFont="1" applyFill="1" applyBorder="1" applyAlignment="1" applyProtection="1">
      <alignment horizontal="center" vertical="center"/>
      <protection locked="0"/>
    </xf>
    <xf numFmtId="1" fontId="18" fillId="7" borderId="13" xfId="1" applyNumberFormat="1" applyFont="1" applyFill="1" applyBorder="1" applyAlignment="1" applyProtection="1">
      <alignment horizontal="center" vertical="center"/>
      <protection locked="0"/>
    </xf>
    <xf numFmtId="2" fontId="18" fillId="7" borderId="13" xfId="1" applyNumberFormat="1" applyFont="1" applyFill="1" applyBorder="1" applyAlignment="1" applyProtection="1">
      <alignment horizontal="center" vertical="center"/>
      <protection locked="0"/>
    </xf>
    <xf numFmtId="0" fontId="18" fillId="7" borderId="0" xfId="1" applyFont="1" applyFill="1" applyBorder="1" applyAlignment="1" applyProtection="1">
      <alignment horizontal="center" vertical="center"/>
      <protection locked="0"/>
    </xf>
    <xf numFmtId="49" fontId="18" fillId="7" borderId="0" xfId="1" applyNumberFormat="1" applyFont="1" applyFill="1" applyBorder="1" applyAlignment="1" applyProtection="1">
      <alignment horizontal="center" vertical="center"/>
      <protection locked="0"/>
    </xf>
    <xf numFmtId="1" fontId="18" fillId="7" borderId="0" xfId="1" applyNumberFormat="1" applyFont="1" applyFill="1" applyBorder="1" applyAlignment="1" applyProtection="1">
      <alignment horizontal="center" vertical="center"/>
      <protection locked="0"/>
    </xf>
    <xf numFmtId="1" fontId="18" fillId="7" borderId="26" xfId="1" applyNumberFormat="1" applyFont="1" applyFill="1" applyBorder="1" applyAlignment="1" applyProtection="1">
      <alignment horizontal="center" vertical="center"/>
      <protection locked="0"/>
    </xf>
    <xf numFmtId="2" fontId="18" fillId="7" borderId="26" xfId="1" applyNumberFormat="1" applyFont="1" applyFill="1" applyBorder="1" applyAlignment="1" applyProtection="1">
      <alignment horizontal="center" vertical="center"/>
      <protection locked="0"/>
    </xf>
    <xf numFmtId="0" fontId="97" fillId="0" borderId="125" xfId="1" applyFont="1" applyBorder="1" applyAlignment="1">
      <alignment vertical="top" wrapText="1"/>
    </xf>
    <xf numFmtId="0" fontId="98" fillId="0" borderId="125" xfId="0" applyFont="1" applyBorder="1" applyAlignment="1">
      <alignment vertical="top" wrapText="1"/>
    </xf>
    <xf numFmtId="49" fontId="11" fillId="0" borderId="10" xfId="1" applyNumberFormat="1" applyFont="1" applyFill="1" applyBorder="1" applyAlignment="1">
      <alignment horizontal="right" vertical="center" wrapText="1"/>
    </xf>
    <xf numFmtId="0" fontId="0" fillId="0" borderId="10" xfId="0" applyBorder="1" applyAlignment="1">
      <alignment horizontal="right" vertical="center" wrapText="1"/>
    </xf>
    <xf numFmtId="49" fontId="28" fillId="0" borderId="102" xfId="1" applyNumberFormat="1" applyFont="1" applyBorder="1" applyAlignment="1">
      <alignment horizontal="right" vertical="center" wrapText="1"/>
    </xf>
    <xf numFmtId="49" fontId="28" fillId="0" borderId="14" xfId="1" applyNumberFormat="1" applyFont="1" applyBorder="1" applyAlignment="1">
      <alignment horizontal="right" vertical="center" wrapText="1"/>
    </xf>
    <xf numFmtId="49" fontId="28" fillId="0" borderId="0" xfId="1" applyNumberFormat="1" applyFont="1" applyBorder="1" applyAlignment="1">
      <alignment horizontal="right" vertical="center" wrapText="1"/>
    </xf>
    <xf numFmtId="0" fontId="14" fillId="0" borderId="106" xfId="1" applyFont="1" applyBorder="1" applyAlignment="1">
      <alignment vertical="center" wrapText="1"/>
    </xf>
    <xf numFmtId="0" fontId="0" fillId="0" borderId="15" xfId="0" applyBorder="1" applyAlignment="1">
      <alignment vertical="center" wrapText="1"/>
    </xf>
    <xf numFmtId="0" fontId="14" fillId="0" borderId="96" xfId="1" applyFont="1" applyBorder="1" applyAlignment="1">
      <alignment vertical="center" wrapText="1"/>
    </xf>
    <xf numFmtId="0" fontId="0" fillId="0" borderId="85" xfId="0" applyBorder="1" applyAlignment="1">
      <alignment vertical="center" wrapText="1"/>
    </xf>
    <xf numFmtId="0" fontId="20" fillId="21" borderId="47" xfId="1" applyFont="1" applyFill="1" applyBorder="1" applyAlignment="1">
      <alignment vertical="center" wrapText="1"/>
    </xf>
    <xf numFmtId="0" fontId="40" fillId="21" borderId="47" xfId="0" applyFont="1" applyFill="1" applyBorder="1" applyAlignment="1">
      <alignment vertical="center" wrapText="1"/>
    </xf>
    <xf numFmtId="0" fontId="40" fillId="21" borderId="41" xfId="0" applyFont="1" applyFill="1" applyBorder="1" applyAlignment="1">
      <alignment vertical="center" wrapText="1"/>
    </xf>
    <xf numFmtId="0" fontId="83" fillId="0" borderId="123" xfId="1" applyFont="1" applyBorder="1" applyAlignment="1">
      <alignment vertical="center" wrapText="1"/>
    </xf>
    <xf numFmtId="0" fontId="20" fillId="21" borderId="10" xfId="1" applyFont="1" applyFill="1" applyBorder="1" applyAlignment="1">
      <alignment vertical="center" wrapText="1"/>
    </xf>
    <xf numFmtId="0" fontId="40" fillId="21" borderId="10" xfId="0" applyFont="1" applyFill="1" applyBorder="1" applyAlignment="1">
      <alignment vertical="center" wrapText="1"/>
    </xf>
    <xf numFmtId="0" fontId="40" fillId="21" borderId="68" xfId="0" applyFont="1" applyFill="1" applyBorder="1" applyAlignment="1">
      <alignment vertical="center" wrapText="1"/>
    </xf>
    <xf numFmtId="0" fontId="88" fillId="0" borderId="123" xfId="0" applyFont="1" applyBorder="1" applyAlignment="1">
      <alignment vertical="center" wrapText="1"/>
    </xf>
    <xf numFmtId="0" fontId="88" fillId="0" borderId="124" xfId="0" applyFont="1" applyBorder="1" applyAlignment="1">
      <alignment vertical="center" wrapText="1"/>
    </xf>
    <xf numFmtId="0" fontId="14" fillId="0" borderId="106" xfId="1" applyFont="1" applyFill="1" applyBorder="1" applyAlignment="1">
      <alignment vertical="center" wrapText="1"/>
    </xf>
    <xf numFmtId="0" fontId="0" fillId="0" borderId="15" xfId="0" applyFill="1" applyBorder="1" applyAlignment="1">
      <alignment vertical="center" wrapText="1"/>
    </xf>
    <xf numFmtId="0" fontId="57" fillId="21" borderId="123" xfId="0" applyFont="1" applyFill="1" applyBorder="1" applyAlignment="1">
      <alignment vertical="center" wrapText="1"/>
    </xf>
    <xf numFmtId="0" fontId="57" fillId="21" borderId="124" xfId="0" applyFont="1" applyFill="1" applyBorder="1" applyAlignment="1">
      <alignment vertical="center" wrapText="1"/>
    </xf>
    <xf numFmtId="0" fontId="48" fillId="0" borderId="123" xfId="1" applyFont="1" applyBorder="1" applyAlignment="1" applyProtection="1">
      <alignment vertical="top" wrapText="1"/>
    </xf>
    <xf numFmtId="0" fontId="57" fillId="0" borderId="123" xfId="0" applyFont="1" applyBorder="1" applyAlignment="1" applyProtection="1">
      <alignment vertical="top" wrapText="1"/>
    </xf>
    <xf numFmtId="0" fontId="57" fillId="0" borderId="124" xfId="0" applyFont="1" applyBorder="1" applyAlignment="1" applyProtection="1">
      <alignment vertical="top" wrapText="1"/>
    </xf>
    <xf numFmtId="0" fontId="97" fillId="0" borderId="50" xfId="1" applyFont="1" applyBorder="1" applyAlignment="1">
      <alignment horizontal="center" vertical="top" wrapText="1"/>
    </xf>
    <xf numFmtId="0" fontId="97" fillId="0" borderId="63" xfId="1" applyFont="1" applyBorder="1" applyAlignment="1">
      <alignment horizontal="center" vertical="top" wrapText="1"/>
    </xf>
    <xf numFmtId="0" fontId="97" fillId="0" borderId="60" xfId="1" applyFont="1" applyBorder="1" applyAlignment="1">
      <alignment horizontal="center" vertical="top" wrapText="1"/>
    </xf>
    <xf numFmtId="49" fontId="48" fillId="0" borderId="123" xfId="1" applyNumberFormat="1" applyFont="1" applyBorder="1" applyAlignment="1">
      <alignment horizontal="right" vertical="center" wrapText="1"/>
    </xf>
    <xf numFmtId="49" fontId="48" fillId="0" borderId="124" xfId="1" applyNumberFormat="1" applyFont="1" applyBorder="1" applyAlignment="1">
      <alignment horizontal="right" vertical="center" wrapText="1"/>
    </xf>
    <xf numFmtId="0" fontId="86" fillId="21" borderId="123" xfId="1" applyFont="1" applyFill="1" applyBorder="1" applyAlignment="1">
      <alignment vertical="center" wrapText="1"/>
    </xf>
    <xf numFmtId="0" fontId="86" fillId="21" borderId="124" xfId="1" applyFont="1" applyFill="1" applyBorder="1" applyAlignment="1">
      <alignment vertical="center" wrapText="1"/>
    </xf>
    <xf numFmtId="0" fontId="48" fillId="0" borderId="124" xfId="1" applyFont="1" applyBorder="1" applyAlignment="1">
      <alignment vertical="center" wrapText="1"/>
    </xf>
    <xf numFmtId="0" fontId="14" fillId="0" borderId="59" xfId="0" applyFont="1" applyBorder="1" applyAlignment="1">
      <alignment horizontal="center" vertical="top" wrapText="1"/>
    </xf>
    <xf numFmtId="0" fontId="56" fillId="4" borderId="30" xfId="0" applyFont="1" applyFill="1" applyBorder="1" applyAlignment="1">
      <alignment horizontal="center" vertical="top" wrapText="1"/>
    </xf>
    <xf numFmtId="0" fontId="56" fillId="4" borderId="41" xfId="0" applyFont="1" applyFill="1" applyBorder="1" applyAlignment="1">
      <alignment horizontal="center" vertical="top" wrapText="1"/>
    </xf>
    <xf numFmtId="0" fontId="14" fillId="0" borderId="40" xfId="0" applyFont="1" applyFill="1" applyBorder="1" applyAlignment="1">
      <alignment horizontal="left" vertical="top" wrapText="1"/>
    </xf>
    <xf numFmtId="1" fontId="14" fillId="0" borderId="31" xfId="0" applyNumberFormat="1" applyFont="1" applyFill="1" applyBorder="1" applyAlignment="1">
      <alignment horizontal="left" vertical="top" wrapText="1"/>
    </xf>
    <xf numFmtId="1" fontId="14" fillId="0" borderId="57" xfId="0" applyNumberFormat="1" applyFont="1" applyFill="1" applyBorder="1" applyAlignment="1">
      <alignment horizontal="left" vertical="top" wrapText="1"/>
    </xf>
    <xf numFmtId="0" fontId="47" fillId="0" borderId="83" xfId="0" applyFont="1" applyFill="1" applyBorder="1" applyAlignment="1">
      <alignment vertical="top" wrapText="1"/>
    </xf>
    <xf numFmtId="0" fontId="47" fillId="0" borderId="108" xfId="0" applyFont="1" applyFill="1" applyBorder="1" applyAlignment="1">
      <alignment vertical="top" wrapText="1"/>
    </xf>
    <xf numFmtId="0" fontId="47" fillId="0" borderId="36" xfId="0" applyFont="1" applyFill="1" applyBorder="1" applyAlignment="1">
      <alignment vertical="top" wrapText="1"/>
    </xf>
    <xf numFmtId="1" fontId="14" fillId="0" borderId="20" xfId="0" applyNumberFormat="1" applyFont="1" applyFill="1" applyBorder="1" applyAlignment="1">
      <alignment horizontal="left" vertical="top" wrapText="1"/>
    </xf>
    <xf numFmtId="1" fontId="14" fillId="0" borderId="26" xfId="0" applyNumberFormat="1" applyFont="1" applyFill="1" applyBorder="1" applyAlignment="1">
      <alignment horizontal="left" vertical="top" wrapText="1"/>
    </xf>
    <xf numFmtId="0" fontId="47" fillId="0" borderId="29" xfId="0" applyFont="1" applyFill="1" applyBorder="1" applyAlignment="1">
      <alignment vertical="top" wrapText="1"/>
    </xf>
    <xf numFmtId="0" fontId="47" fillId="0" borderId="67" xfId="0" applyFont="1" applyFill="1" applyBorder="1" applyAlignment="1">
      <alignment horizontal="left" vertical="top" wrapText="1"/>
    </xf>
    <xf numFmtId="0" fontId="47" fillId="0" borderId="68" xfId="0" applyFont="1" applyFill="1" applyBorder="1" applyAlignment="1">
      <alignment horizontal="left" vertical="top" wrapText="1"/>
    </xf>
    <xf numFmtId="0" fontId="14" fillId="0" borderId="26" xfId="0" applyFont="1" applyBorder="1" applyAlignment="1">
      <alignment horizontal="left" vertical="top" wrapText="1"/>
    </xf>
    <xf numFmtId="0" fontId="14" fillId="0" borderId="40" xfId="0" applyFont="1" applyBorder="1" applyAlignment="1">
      <alignment horizontal="left" vertical="top" wrapText="1"/>
    </xf>
    <xf numFmtId="0" fontId="14" fillId="0" borderId="57" xfId="0" applyFont="1" applyFill="1" applyBorder="1" applyAlignment="1">
      <alignment horizontal="left" vertical="top" wrapText="1"/>
    </xf>
    <xf numFmtId="0" fontId="14" fillId="0" borderId="31" xfId="0" applyFont="1" applyFill="1" applyBorder="1" applyAlignment="1">
      <alignment horizontal="left" vertical="top" wrapText="1"/>
    </xf>
    <xf numFmtId="0" fontId="14" fillId="0" borderId="19" xfId="0" applyFont="1" applyFill="1" applyBorder="1" applyAlignment="1">
      <alignment horizontal="left" vertical="top" wrapText="1"/>
    </xf>
    <xf numFmtId="1" fontId="14" fillId="0" borderId="20" xfId="0" applyNumberFormat="1" applyFont="1" applyFill="1" applyBorder="1" applyAlignment="1" applyProtection="1">
      <alignment horizontal="left" vertical="top" wrapText="1"/>
      <protection hidden="1"/>
    </xf>
    <xf numFmtId="1" fontId="14" fillId="0" borderId="26" xfId="0" applyNumberFormat="1" applyFont="1" applyFill="1" applyBorder="1" applyAlignment="1" applyProtection="1">
      <alignment horizontal="left" vertical="top" wrapText="1"/>
      <protection hidden="1"/>
    </xf>
    <xf numFmtId="1" fontId="14" fillId="0" borderId="40" xfId="0" applyNumberFormat="1" applyFont="1" applyFill="1" applyBorder="1" applyAlignment="1" applyProtection="1">
      <alignment horizontal="left" vertical="top" wrapText="1"/>
      <protection hidden="1"/>
    </xf>
    <xf numFmtId="0" fontId="47" fillId="0" borderId="28" xfId="0" applyFont="1" applyFill="1" applyBorder="1" applyAlignment="1">
      <alignment vertical="top" wrapText="1"/>
    </xf>
    <xf numFmtId="1" fontId="14" fillId="0" borderId="57" xfId="0" applyNumberFormat="1" applyFont="1" applyBorder="1" applyAlignment="1" applyProtection="1">
      <alignment horizontal="center" vertical="top" wrapText="1"/>
      <protection hidden="1"/>
    </xf>
    <xf numFmtId="1" fontId="14" fillId="0" borderId="0" xfId="0" applyNumberFormat="1" applyFont="1" applyBorder="1" applyAlignment="1" applyProtection="1">
      <alignment horizontal="center" vertical="top" wrapText="1"/>
      <protection hidden="1"/>
    </xf>
    <xf numFmtId="0" fontId="14" fillId="0" borderId="20" xfId="0" applyFont="1" applyBorder="1" applyAlignment="1">
      <alignment horizontal="left" vertical="top" wrapText="1"/>
    </xf>
    <xf numFmtId="1" fontId="14" fillId="0" borderId="52" xfId="0" applyNumberFormat="1" applyFont="1" applyFill="1" applyBorder="1" applyAlignment="1" applyProtection="1">
      <alignment horizontal="left" vertical="top" wrapText="1"/>
      <protection hidden="1"/>
    </xf>
    <xf numFmtId="1" fontId="14" fillId="0" borderId="13" xfId="0" applyNumberFormat="1" applyFont="1" applyFill="1" applyBorder="1" applyAlignment="1" applyProtection="1">
      <alignment horizontal="left" vertical="top" wrapText="1"/>
      <protection hidden="1"/>
    </xf>
    <xf numFmtId="1" fontId="14" fillId="0" borderId="8" xfId="0" applyNumberFormat="1" applyFont="1" applyFill="1" applyBorder="1" applyAlignment="1" applyProtection="1">
      <alignment horizontal="left" vertical="top" wrapText="1"/>
      <protection hidden="1"/>
    </xf>
    <xf numFmtId="0" fontId="14" fillId="0" borderId="0" xfId="0" applyFont="1" applyBorder="1" applyAlignment="1" applyProtection="1">
      <alignment horizontal="center" vertical="top" wrapText="1"/>
      <protection hidden="1"/>
    </xf>
    <xf numFmtId="1" fontId="14" fillId="0" borderId="40" xfId="0" applyNumberFormat="1" applyFont="1" applyFill="1" applyBorder="1" applyAlignment="1">
      <alignment horizontal="left" vertical="top" wrapText="1"/>
    </xf>
    <xf numFmtId="0" fontId="14" fillId="0" borderId="64" xfId="0" applyFont="1" applyFill="1" applyBorder="1" applyAlignment="1">
      <alignment horizontal="left" vertical="top" wrapText="1"/>
    </xf>
    <xf numFmtId="0" fontId="14" fillId="0" borderId="56" xfId="0" applyFont="1" applyFill="1" applyBorder="1" applyAlignment="1">
      <alignment horizontal="left" vertical="top" wrapText="1"/>
    </xf>
    <xf numFmtId="0" fontId="47" fillId="0" borderId="20" xfId="0" applyFont="1" applyFill="1" applyBorder="1" applyAlignment="1">
      <alignment horizontal="left" vertical="top" wrapText="1"/>
    </xf>
    <xf numFmtId="0" fontId="47" fillId="0" borderId="26" xfId="0" applyFont="1" applyFill="1" applyBorder="1" applyAlignment="1">
      <alignment horizontal="left" vertical="top" wrapText="1"/>
    </xf>
    <xf numFmtId="0" fontId="47" fillId="0" borderId="40"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62" xfId="0" applyFont="1" applyFill="1" applyBorder="1" applyAlignment="1">
      <alignment horizontal="left" vertical="top" wrapText="1"/>
    </xf>
    <xf numFmtId="0" fontId="50" fillId="0" borderId="83" xfId="0" applyFont="1" applyFill="1" applyBorder="1" applyAlignment="1">
      <alignment horizontal="left" vertical="top" wrapText="1"/>
    </xf>
    <xf numFmtId="0" fontId="47" fillId="0" borderId="108" xfId="0" applyFont="1" applyFill="1" applyBorder="1" applyAlignment="1">
      <alignment horizontal="left" vertical="top" wrapText="1"/>
    </xf>
    <xf numFmtId="0" fontId="47" fillId="0" borderId="28" xfId="0" applyFont="1" applyFill="1" applyBorder="1" applyAlignment="1">
      <alignment horizontal="left" vertical="top" wrapText="1"/>
    </xf>
    <xf numFmtId="0" fontId="14" fillId="0" borderId="17" xfId="0" applyFont="1" applyBorder="1" applyAlignment="1">
      <alignment horizontal="left" vertical="top" wrapText="1"/>
    </xf>
    <xf numFmtId="0" fontId="47" fillId="0" borderId="28" xfId="0" applyFont="1" applyBorder="1" applyAlignment="1">
      <alignment vertical="top" wrapText="1"/>
    </xf>
    <xf numFmtId="0" fontId="47" fillId="0" borderId="83" xfId="0" applyFont="1" applyBorder="1" applyAlignment="1">
      <alignment horizontal="left" vertical="top" wrapText="1"/>
    </xf>
    <xf numFmtId="0" fontId="47" fillId="0" borderId="108" xfId="0" applyFont="1" applyBorder="1" applyAlignment="1">
      <alignment horizontal="left" vertical="top" wrapText="1"/>
    </xf>
    <xf numFmtId="0" fontId="47" fillId="0" borderId="28" xfId="0" applyFont="1" applyBorder="1" applyAlignment="1">
      <alignment horizontal="left" vertical="top" wrapText="1"/>
    </xf>
    <xf numFmtId="1" fontId="14" fillId="0" borderId="19" xfId="0" applyNumberFormat="1" applyFont="1" applyFill="1" applyBorder="1" applyAlignment="1">
      <alignment horizontal="left" vertical="top" wrapText="1"/>
    </xf>
    <xf numFmtId="0" fontId="14" fillId="0" borderId="27" xfId="0" applyFont="1" applyFill="1" applyBorder="1" applyAlignment="1">
      <alignment vertical="top" wrapText="1"/>
    </xf>
    <xf numFmtId="0" fontId="14" fillId="0" borderId="67" xfId="0" applyFont="1" applyFill="1" applyBorder="1" applyAlignment="1">
      <alignment vertical="top" wrapText="1"/>
    </xf>
    <xf numFmtId="0" fontId="14" fillId="0" borderId="67" xfId="0" applyFont="1" applyBorder="1" applyAlignment="1">
      <alignment vertical="top" wrapText="1"/>
    </xf>
    <xf numFmtId="0" fontId="14" fillId="0" borderId="68" xfId="0" applyFont="1" applyBorder="1" applyAlignment="1">
      <alignment vertical="top" wrapText="1"/>
    </xf>
    <xf numFmtId="0" fontId="14" fillId="0" borderId="12" xfId="0" applyFont="1" applyBorder="1" applyAlignment="1">
      <alignment vertical="top" wrapText="1"/>
    </xf>
    <xf numFmtId="0" fontId="14" fillId="0" borderId="20" xfId="0" applyFont="1" applyBorder="1" applyAlignment="1">
      <alignment vertical="top" wrapText="1"/>
    </xf>
    <xf numFmtId="0" fontId="14" fillId="0" borderId="26" xfId="0" applyFont="1" applyBorder="1" applyAlignment="1">
      <alignment vertical="top" wrapText="1"/>
    </xf>
    <xf numFmtId="0" fontId="14" fillId="0" borderId="40" xfId="0" applyFont="1" applyBorder="1" applyAlignment="1">
      <alignment vertical="top" wrapText="1"/>
    </xf>
    <xf numFmtId="0" fontId="14" fillId="0" borderId="19" xfId="0" applyFont="1" applyBorder="1" applyAlignment="1">
      <alignment horizontal="center" vertical="top" wrapText="1"/>
    </xf>
    <xf numFmtId="0" fontId="14" fillId="0" borderId="10" xfId="0" applyFont="1" applyBorder="1" applyAlignment="1">
      <alignment horizontal="center" vertical="top" wrapText="1"/>
    </xf>
    <xf numFmtId="0" fontId="14" fillId="0" borderId="68" xfId="0" applyFont="1" applyBorder="1" applyAlignment="1">
      <alignment horizontal="center" vertical="top" wrapText="1"/>
    </xf>
    <xf numFmtId="0" fontId="56" fillId="4" borderId="72" xfId="0" applyFont="1" applyFill="1" applyBorder="1" applyAlignment="1">
      <alignment horizontal="center" vertical="top" wrapText="1"/>
    </xf>
    <xf numFmtId="0" fontId="56" fillId="4" borderId="36" xfId="0" applyFont="1" applyFill="1" applyBorder="1" applyAlignment="1">
      <alignment horizontal="center" vertical="top" wrapText="1"/>
    </xf>
    <xf numFmtId="0" fontId="14" fillId="0" borderId="57" xfId="0" applyFont="1" applyBorder="1" applyAlignment="1">
      <alignment horizontal="left" vertical="top" wrapText="1"/>
    </xf>
    <xf numFmtId="0" fontId="14" fillId="0" borderId="31" xfId="0" applyFont="1" applyBorder="1" applyAlignment="1">
      <alignment horizontal="left" vertical="top" wrapText="1"/>
    </xf>
    <xf numFmtId="0" fontId="14" fillId="0" borderId="19" xfId="0" applyFont="1" applyBorder="1" applyAlignment="1">
      <alignment horizontal="left" vertical="top" wrapText="1"/>
    </xf>
    <xf numFmtId="0" fontId="14" fillId="0" borderId="13" xfId="0" applyFont="1" applyBorder="1" applyAlignment="1">
      <alignment horizontal="left" vertical="top" wrapText="1"/>
    </xf>
    <xf numFmtId="1" fontId="14" fillId="0" borderId="57" xfId="0" applyNumberFormat="1" applyFont="1" applyBorder="1" applyAlignment="1">
      <alignment horizontal="left" vertical="top" wrapText="1"/>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wrapText="1"/>
    </xf>
    <xf numFmtId="0" fontId="14" fillId="0" borderId="68" xfId="0" applyFont="1" applyBorder="1" applyAlignment="1">
      <alignment horizontal="left" vertical="top" wrapText="1"/>
    </xf>
    <xf numFmtId="1" fontId="14" fillId="0" borderId="19" xfId="0" applyNumberFormat="1" applyFont="1" applyBorder="1" applyAlignment="1">
      <alignment horizontal="center" vertical="top"/>
    </xf>
    <xf numFmtId="1" fontId="14" fillId="0" borderId="10" xfId="0" applyNumberFormat="1" applyFont="1" applyBorder="1" applyAlignment="1">
      <alignment horizontal="center" vertical="top"/>
    </xf>
    <xf numFmtId="1" fontId="14" fillId="0" borderId="68" xfId="0" applyNumberFormat="1" applyFont="1" applyBorder="1" applyAlignment="1">
      <alignment horizontal="center" vertical="top"/>
    </xf>
    <xf numFmtId="1" fontId="14" fillId="0" borderId="8" xfId="0" applyNumberFormat="1"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72"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7" xfId="0" applyFont="1" applyBorder="1" applyAlignment="1">
      <alignment horizontal="left" vertical="top" wrapText="1"/>
    </xf>
    <xf numFmtId="0" fontId="14" fillId="0" borderId="72" xfId="0" applyFont="1" applyBorder="1" applyAlignment="1">
      <alignment horizontal="left" vertical="top" wrapText="1"/>
    </xf>
    <xf numFmtId="0" fontId="14" fillId="0" borderId="13" xfId="0" applyFont="1" applyFill="1" applyBorder="1" applyAlignment="1">
      <alignment vertical="top" wrapText="1"/>
    </xf>
    <xf numFmtId="0" fontId="14" fillId="0" borderId="26" xfId="0" applyFont="1" applyFill="1" applyBorder="1" applyAlignment="1">
      <alignment vertical="top" wrapText="1"/>
    </xf>
    <xf numFmtId="1" fontId="14" fillId="0" borderId="17" xfId="0" applyNumberFormat="1"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80" xfId="0"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112"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17" xfId="0" applyFont="1" applyFill="1" applyBorder="1" applyAlignment="1">
      <alignment vertical="top" wrapText="1"/>
    </xf>
    <xf numFmtId="0" fontId="14" fillId="0" borderId="18" xfId="0" applyFont="1" applyBorder="1" applyAlignment="1">
      <alignment vertical="top" wrapText="1"/>
    </xf>
    <xf numFmtId="0" fontId="14" fillId="0" borderId="21" xfId="0" applyFont="1" applyBorder="1" applyAlignment="1">
      <alignment vertical="top" wrapText="1"/>
    </xf>
    <xf numFmtId="0" fontId="14" fillId="0" borderId="67" xfId="0" applyFont="1" applyBorder="1" applyAlignment="1">
      <alignment horizontal="left" vertical="top" wrapText="1"/>
    </xf>
    <xf numFmtId="1" fontId="14" fillId="0" borderId="118" xfId="0" applyNumberFormat="1" applyFont="1" applyFill="1" applyBorder="1" applyAlignment="1">
      <alignment horizontal="left" vertical="top" wrapText="1"/>
    </xf>
    <xf numFmtId="1" fontId="14" fillId="0" borderId="112" xfId="0" applyNumberFormat="1" applyFont="1" applyFill="1" applyBorder="1" applyAlignment="1">
      <alignment horizontal="left" vertical="top" wrapText="1"/>
    </xf>
    <xf numFmtId="1" fontId="14" fillId="0" borderId="21" xfId="0" applyNumberFormat="1" applyFont="1" applyFill="1" applyBorder="1" applyAlignment="1">
      <alignment horizontal="left" vertical="top" wrapText="1"/>
    </xf>
    <xf numFmtId="49" fontId="14" fillId="0" borderId="20" xfId="0" applyNumberFormat="1" applyFont="1" applyFill="1" applyBorder="1" applyAlignment="1">
      <alignment horizontal="left" vertical="top" wrapText="1"/>
    </xf>
    <xf numFmtId="49" fontId="14" fillId="0" borderId="26" xfId="0" applyNumberFormat="1" applyFont="1" applyFill="1" applyBorder="1" applyAlignment="1">
      <alignment horizontal="left" vertical="top" wrapText="1"/>
    </xf>
    <xf numFmtId="49" fontId="14" fillId="0" borderId="40" xfId="0" applyNumberFormat="1" applyFont="1" applyFill="1" applyBorder="1" applyAlignment="1">
      <alignment horizontal="left" vertical="top" wrapText="1"/>
    </xf>
    <xf numFmtId="1" fontId="14" fillId="0" borderId="95" xfId="0" applyNumberFormat="1" applyFont="1" applyFill="1" applyBorder="1" applyAlignment="1">
      <alignment horizontal="left" vertical="top" wrapText="1"/>
    </xf>
    <xf numFmtId="1" fontId="14" fillId="0" borderId="90" xfId="0" applyNumberFormat="1" applyFont="1" applyFill="1" applyBorder="1" applyAlignment="1">
      <alignment horizontal="left" vertical="top" wrapText="1"/>
    </xf>
    <xf numFmtId="1" fontId="14" fillId="0" borderId="24" xfId="0" applyNumberFormat="1" applyFont="1" applyFill="1" applyBorder="1" applyAlignment="1">
      <alignment horizontal="left" vertical="top" wrapText="1"/>
    </xf>
    <xf numFmtId="0" fontId="14" fillId="0" borderId="20" xfId="0" applyFont="1" applyFill="1" applyBorder="1" applyAlignment="1">
      <alignment vertical="top" wrapText="1"/>
    </xf>
    <xf numFmtId="0" fontId="14" fillId="0" borderId="40" xfId="0" applyFont="1" applyFill="1" applyBorder="1" applyAlignment="1">
      <alignment vertical="top" wrapText="1"/>
    </xf>
    <xf numFmtId="0" fontId="14" fillId="0" borderId="13" xfId="0" applyFont="1" applyFill="1" applyBorder="1" applyAlignment="1">
      <alignment horizontal="left" vertical="top" wrapText="1"/>
    </xf>
    <xf numFmtId="0" fontId="56" fillId="4" borderId="31" xfId="0" applyFont="1" applyFill="1" applyBorder="1" applyAlignment="1">
      <alignment horizontal="center" vertical="top" wrapText="1"/>
    </xf>
    <xf numFmtId="0" fontId="56" fillId="4" borderId="27" xfId="0" applyFont="1" applyFill="1" applyBorder="1" applyAlignment="1">
      <alignment horizontal="center" vertical="top" wrapText="1"/>
    </xf>
    <xf numFmtId="1" fontId="14" fillId="0" borderId="31" xfId="0" applyNumberFormat="1" applyFont="1" applyBorder="1" applyAlignment="1">
      <alignment horizontal="left" vertical="top" wrapText="1"/>
    </xf>
    <xf numFmtId="1" fontId="14" fillId="0" borderId="19" xfId="0" applyNumberFormat="1" applyFont="1" applyBorder="1" applyAlignment="1">
      <alignment horizontal="left" vertical="top" wrapText="1"/>
    </xf>
    <xf numFmtId="1" fontId="14" fillId="0" borderId="20" xfId="0" applyNumberFormat="1" applyFont="1" applyBorder="1" applyAlignment="1">
      <alignment horizontal="left" vertical="top" wrapText="1"/>
    </xf>
    <xf numFmtId="1" fontId="14" fillId="0" borderId="26" xfId="0" applyNumberFormat="1" applyFont="1" applyBorder="1" applyAlignment="1">
      <alignment horizontal="left" vertical="top" wrapText="1"/>
    </xf>
    <xf numFmtId="1" fontId="14" fillId="0" borderId="40" xfId="0" applyNumberFormat="1" applyFont="1" applyBorder="1" applyAlignment="1">
      <alignment horizontal="left" vertical="top" wrapText="1"/>
    </xf>
    <xf numFmtId="1" fontId="35" fillId="0" borderId="19" xfId="0" applyNumberFormat="1" applyFont="1" applyBorder="1" applyAlignment="1">
      <alignment horizontal="center" vertical="top" wrapText="1"/>
    </xf>
    <xf numFmtId="1" fontId="35" fillId="0" borderId="10" xfId="0" applyNumberFormat="1" applyFont="1" applyBorder="1" applyAlignment="1">
      <alignment horizontal="center" vertical="top" wrapText="1"/>
    </xf>
    <xf numFmtId="1" fontId="35" fillId="0" borderId="68" xfId="0" applyNumberFormat="1" applyFont="1" applyBorder="1" applyAlignment="1">
      <alignment horizontal="center" vertical="top" wrapText="1"/>
    </xf>
    <xf numFmtId="0" fontId="14" fillId="0" borderId="20" xfId="0" applyNumberFormat="1" applyFont="1" applyFill="1" applyBorder="1" applyAlignment="1">
      <alignment horizontal="left" vertical="top" wrapText="1"/>
    </xf>
    <xf numFmtId="0" fontId="14" fillId="0" borderId="26" xfId="0" applyNumberFormat="1" applyFont="1" applyFill="1" applyBorder="1" applyAlignment="1">
      <alignment horizontal="left" vertical="top" wrapText="1"/>
    </xf>
    <xf numFmtId="0" fontId="14" fillId="0" borderId="40" xfId="0" applyNumberFormat="1" applyFont="1" applyFill="1" applyBorder="1" applyAlignment="1">
      <alignment horizontal="left" vertical="top" wrapText="1"/>
    </xf>
    <xf numFmtId="0" fontId="14" fillId="0" borderId="31" xfId="0" applyNumberFormat="1" applyFont="1" applyFill="1" applyBorder="1" applyAlignment="1">
      <alignment horizontal="left" vertical="top" wrapText="1"/>
    </xf>
    <xf numFmtId="0" fontId="14" fillId="0" borderId="57" xfId="0" applyNumberFormat="1" applyFont="1" applyFill="1" applyBorder="1" applyAlignment="1">
      <alignment horizontal="left" vertical="top" wrapText="1"/>
    </xf>
    <xf numFmtId="0" fontId="14" fillId="0" borderId="19" xfId="0" applyNumberFormat="1" applyFont="1" applyFill="1" applyBorder="1" applyAlignment="1">
      <alignment horizontal="left" vertical="top" wrapText="1"/>
    </xf>
    <xf numFmtId="0" fontId="14" fillId="0" borderId="59" xfId="0" applyNumberFormat="1" applyFont="1" applyFill="1" applyBorder="1" applyAlignment="1">
      <alignment horizontal="left" vertical="top" wrapText="1"/>
    </xf>
    <xf numFmtId="0" fontId="14" fillId="0" borderId="0" xfId="0" applyNumberFormat="1" applyFont="1" applyFill="1" applyBorder="1" applyAlignment="1">
      <alignment horizontal="left" vertical="top" wrapText="1"/>
    </xf>
    <xf numFmtId="0" fontId="14" fillId="0" borderId="10" xfId="0" applyNumberFormat="1" applyFont="1" applyFill="1" applyBorder="1" applyAlignment="1">
      <alignment horizontal="left" vertical="top" wrapText="1"/>
    </xf>
    <xf numFmtId="0" fontId="14" fillId="0" borderId="0" xfId="0" applyFont="1" applyAlignment="1" applyProtection="1">
      <alignment horizontal="center" vertical="top" wrapText="1"/>
      <protection hidden="1"/>
    </xf>
    <xf numFmtId="0" fontId="56" fillId="4" borderId="76" xfId="0" applyFont="1" applyFill="1" applyBorder="1" applyAlignment="1">
      <alignment horizontal="center" vertical="top" wrapText="1"/>
    </xf>
    <xf numFmtId="0" fontId="14" fillId="0" borderId="31" xfId="0" applyFont="1" applyFill="1" applyBorder="1" applyAlignment="1">
      <alignment vertical="top" wrapText="1"/>
    </xf>
    <xf numFmtId="0" fontId="14" fillId="0" borderId="57" xfId="0" applyFont="1" applyFill="1" applyBorder="1" applyAlignment="1">
      <alignment vertical="top" wrapText="1"/>
    </xf>
    <xf numFmtId="0" fontId="14" fillId="0" borderId="19" xfId="0" applyFont="1" applyFill="1" applyBorder="1" applyAlignment="1">
      <alignment vertical="top" wrapText="1"/>
    </xf>
    <xf numFmtId="1" fontId="14" fillId="0" borderId="13" xfId="0" applyNumberFormat="1" applyFont="1" applyBorder="1" applyAlignment="1">
      <alignment horizontal="left" vertical="top" wrapText="1"/>
    </xf>
    <xf numFmtId="1" fontId="14" fillId="0" borderId="20" xfId="0" applyNumberFormat="1" applyFont="1" applyFill="1" applyBorder="1" applyAlignment="1">
      <alignment vertical="top" wrapText="1"/>
    </xf>
    <xf numFmtId="0" fontId="14" fillId="0" borderId="27" xfId="0" applyFont="1" applyBorder="1" applyAlignment="1">
      <alignment horizontal="left" vertical="top" wrapText="1"/>
    </xf>
    <xf numFmtId="0" fontId="14" fillId="0" borderId="31" xfId="0" applyFont="1" applyBorder="1" applyAlignment="1">
      <alignment vertical="top" wrapText="1"/>
    </xf>
    <xf numFmtId="0" fontId="14" fillId="0" borderId="57" xfId="0" applyFont="1" applyBorder="1" applyAlignment="1">
      <alignment vertical="top" wrapText="1"/>
    </xf>
    <xf numFmtId="0" fontId="14" fillId="0" borderId="19" xfId="0" applyFont="1" applyBorder="1" applyAlignment="1">
      <alignment vertical="top" wrapText="1"/>
    </xf>
    <xf numFmtId="0" fontId="14" fillId="0" borderId="51" xfId="0" applyFont="1" applyBorder="1" applyAlignment="1">
      <alignment horizontal="left" vertical="top" wrapText="1"/>
    </xf>
    <xf numFmtId="0" fontId="14" fillId="0" borderId="6" xfId="0" applyFont="1" applyBorder="1" applyAlignment="1">
      <alignment horizontal="left" vertical="top" wrapText="1"/>
    </xf>
    <xf numFmtId="0" fontId="14" fillId="0" borderId="45" xfId="0" applyFont="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91" xfId="0" applyFont="1" applyBorder="1" applyAlignment="1">
      <alignment horizontal="left" vertical="top" wrapText="1"/>
    </xf>
    <xf numFmtId="0" fontId="14" fillId="0" borderId="25" xfId="0" applyFont="1" applyBorder="1" applyAlignment="1">
      <alignment horizontal="left" vertical="top" wrapText="1"/>
    </xf>
    <xf numFmtId="0" fontId="14" fillId="0" borderId="18" xfId="0" applyFont="1" applyBorder="1" applyAlignment="1">
      <alignment horizontal="left" vertical="top" wrapText="1"/>
    </xf>
    <xf numFmtId="0" fontId="14" fillId="0" borderId="107" xfId="0" applyFont="1" applyBorder="1" applyAlignment="1">
      <alignment horizontal="left" vertical="top" wrapText="1"/>
    </xf>
    <xf numFmtId="1" fontId="35" fillId="0" borderId="57" xfId="0" applyNumberFormat="1" applyFont="1" applyBorder="1" applyAlignment="1">
      <alignment horizontal="center" vertical="top" wrapText="1"/>
    </xf>
    <xf numFmtId="1" fontId="35" fillId="0" borderId="0" xfId="0" applyNumberFormat="1" applyFont="1" applyBorder="1" applyAlignment="1">
      <alignment horizontal="center" vertical="top" wrapText="1"/>
    </xf>
    <xf numFmtId="0" fontId="47" fillId="0" borderId="27" xfId="0" applyFont="1" applyBorder="1" applyAlignment="1">
      <alignment horizontal="left" vertical="top" wrapText="1"/>
    </xf>
    <xf numFmtId="0" fontId="47" fillId="0" borderId="67" xfId="0" applyFont="1" applyBorder="1" applyAlignment="1">
      <alignment horizontal="left" vertical="top" wrapText="1"/>
    </xf>
    <xf numFmtId="0" fontId="47" fillId="0" borderId="68" xfId="0" applyFont="1" applyBorder="1" applyAlignment="1">
      <alignment horizontal="left" vertical="top" wrapText="1"/>
    </xf>
    <xf numFmtId="0" fontId="47" fillId="0" borderId="27" xfId="0" applyFont="1" applyFill="1" applyBorder="1" applyAlignment="1">
      <alignment horizontal="left" vertical="top" wrapText="1"/>
    </xf>
    <xf numFmtId="49" fontId="14" fillId="0" borderId="31" xfId="0" applyNumberFormat="1" applyFont="1" applyFill="1" applyBorder="1" applyAlignment="1">
      <alignment horizontal="left" vertical="top" wrapText="1"/>
    </xf>
    <xf numFmtId="49" fontId="14" fillId="0" borderId="57" xfId="0" applyNumberFormat="1" applyFont="1" applyFill="1" applyBorder="1" applyAlignment="1">
      <alignment horizontal="left" vertical="top" wrapText="1"/>
    </xf>
    <xf numFmtId="49" fontId="14" fillId="0" borderId="19" xfId="0" applyNumberFormat="1" applyFont="1" applyFill="1" applyBorder="1" applyAlignment="1">
      <alignment horizontal="left" vertical="top" wrapText="1"/>
    </xf>
    <xf numFmtId="0" fontId="47" fillId="0" borderId="83" xfId="0" applyFont="1" applyFill="1" applyBorder="1" applyAlignment="1">
      <alignment horizontal="left" vertical="top" wrapText="1"/>
    </xf>
    <xf numFmtId="0" fontId="18" fillId="0" borderId="26" xfId="0" applyFont="1" applyBorder="1" applyAlignment="1">
      <alignment horizontal="left" vertical="top"/>
    </xf>
    <xf numFmtId="0" fontId="18" fillId="0" borderId="40" xfId="0" applyFont="1" applyBorder="1" applyAlignment="1">
      <alignment horizontal="left" vertical="top"/>
    </xf>
    <xf numFmtId="0" fontId="47" fillId="0" borderId="36" xfId="0" applyFont="1" applyFill="1" applyBorder="1" applyAlignment="1">
      <alignment horizontal="left" vertical="top" wrapText="1"/>
    </xf>
    <xf numFmtId="0" fontId="14" fillId="0" borderId="0" xfId="0" applyFont="1" applyFill="1" applyBorder="1" applyAlignment="1" applyProtection="1">
      <alignment horizontal="center" vertical="top" wrapText="1"/>
      <protection hidden="1"/>
    </xf>
    <xf numFmtId="0" fontId="14" fillId="0" borderId="70" xfId="0" applyFont="1" applyBorder="1" applyAlignment="1">
      <alignment horizontal="left" vertical="top" wrapText="1"/>
    </xf>
    <xf numFmtId="0" fontId="14" fillId="0" borderId="65" xfId="0" applyFont="1" applyBorder="1" applyAlignment="1">
      <alignment horizontal="left" vertical="top" wrapText="1"/>
    </xf>
    <xf numFmtId="0" fontId="14" fillId="0" borderId="112" xfId="0" applyFont="1" applyBorder="1" applyAlignment="1">
      <alignment horizontal="left" vertical="top" wrapText="1"/>
    </xf>
    <xf numFmtId="0" fontId="47" fillId="0" borderId="20" xfId="0" applyFont="1" applyFill="1" applyBorder="1" applyAlignment="1">
      <alignment vertical="top" wrapText="1"/>
    </xf>
    <xf numFmtId="0" fontId="47" fillId="0" borderId="26" xfId="0" applyFont="1" applyFill="1" applyBorder="1" applyAlignment="1">
      <alignment vertical="top" wrapText="1"/>
    </xf>
    <xf numFmtId="1" fontId="14" fillId="0" borderId="19" xfId="0" applyNumberFormat="1" applyFont="1" applyBorder="1" applyAlignment="1">
      <alignment horizontal="center" vertical="top" wrapText="1"/>
    </xf>
    <xf numFmtId="1" fontId="14" fillId="0" borderId="10" xfId="0" applyNumberFormat="1" applyFont="1" applyBorder="1" applyAlignment="1">
      <alignment horizontal="center" vertical="top" wrapText="1"/>
    </xf>
    <xf numFmtId="1" fontId="14" fillId="0" borderId="68" xfId="0" applyNumberFormat="1" applyFont="1" applyBorder="1" applyAlignment="1">
      <alignment horizontal="center" vertical="top" wrapText="1"/>
    </xf>
    <xf numFmtId="0" fontId="47" fillId="0" borderId="20" xfId="0" applyFont="1" applyBorder="1" applyAlignment="1">
      <alignment horizontal="left" vertical="top" wrapText="1"/>
    </xf>
    <xf numFmtId="0" fontId="47" fillId="0" borderId="26" xfId="0" applyFont="1" applyBorder="1" applyAlignment="1">
      <alignment horizontal="left" vertical="top" wrapText="1"/>
    </xf>
    <xf numFmtId="0" fontId="47" fillId="0" borderId="40" xfId="0" applyFont="1" applyBorder="1" applyAlignment="1">
      <alignment horizontal="left" vertical="top" wrapText="1"/>
    </xf>
    <xf numFmtId="0" fontId="47" fillId="0" borderId="40" xfId="0" applyFont="1" applyFill="1" applyBorder="1" applyAlignment="1">
      <alignment vertical="top" wrapText="1"/>
    </xf>
    <xf numFmtId="0" fontId="47" fillId="0" borderId="17" xfId="0" applyFont="1" applyFill="1" applyBorder="1" applyAlignment="1">
      <alignment horizontal="left" vertical="top" wrapText="1"/>
    </xf>
    <xf numFmtId="0" fontId="47" fillId="0" borderId="112" xfId="0" applyFont="1" applyFill="1" applyBorder="1" applyAlignment="1">
      <alignment horizontal="left" vertical="top" wrapText="1"/>
    </xf>
    <xf numFmtId="0" fontId="47" fillId="0" borderId="21" xfId="0" applyFont="1" applyFill="1" applyBorder="1" applyAlignment="1">
      <alignment horizontal="left" vertical="top" wrapText="1"/>
    </xf>
    <xf numFmtId="0" fontId="47" fillId="0" borderId="83" xfId="0" applyNumberFormat="1" applyFont="1" applyFill="1" applyBorder="1" applyAlignment="1">
      <alignment horizontal="left" vertical="top" wrapText="1"/>
    </xf>
    <xf numFmtId="0" fontId="47" fillId="0" borderId="108" xfId="0" applyNumberFormat="1" applyFont="1" applyFill="1" applyBorder="1" applyAlignment="1">
      <alignment horizontal="left" vertical="top" wrapText="1"/>
    </xf>
    <xf numFmtId="0" fontId="47" fillId="0" borderId="28" xfId="0" applyNumberFormat="1" applyFont="1" applyFill="1" applyBorder="1" applyAlignment="1">
      <alignment horizontal="left" vertical="top" wrapText="1"/>
    </xf>
    <xf numFmtId="0" fontId="47" fillId="0" borderId="20" xfId="0" applyFont="1" applyBorder="1" applyAlignment="1">
      <alignment vertical="top" wrapText="1"/>
    </xf>
    <xf numFmtId="0" fontId="47" fillId="0" borderId="26" xfId="0" applyFont="1" applyBorder="1" applyAlignment="1">
      <alignment vertical="top" wrapText="1"/>
    </xf>
    <xf numFmtId="0" fontId="47" fillId="0" borderId="40" xfId="0" applyFont="1" applyBorder="1" applyAlignment="1">
      <alignment vertical="top" wrapText="1"/>
    </xf>
    <xf numFmtId="0" fontId="14" fillId="0" borderId="118" xfId="0" applyFont="1" applyFill="1" applyBorder="1" applyAlignment="1">
      <alignment horizontal="left" vertical="top" wrapText="1"/>
    </xf>
    <xf numFmtId="0" fontId="50" fillId="0" borderId="20" xfId="0" applyFont="1" applyFill="1" applyBorder="1" applyAlignment="1">
      <alignment vertical="top" wrapText="1"/>
    </xf>
    <xf numFmtId="1" fontId="47" fillId="0" borderId="20" xfId="0" applyNumberFormat="1" applyFont="1" applyFill="1" applyBorder="1" applyAlignment="1">
      <alignment horizontal="left" vertical="top" wrapText="1"/>
    </xf>
    <xf numFmtId="1" fontId="47" fillId="0" borderId="26" xfId="0" applyNumberFormat="1" applyFont="1" applyFill="1" applyBorder="1" applyAlignment="1">
      <alignment horizontal="left" vertical="top" wrapText="1"/>
    </xf>
    <xf numFmtId="1" fontId="47" fillId="0" borderId="40" xfId="0" applyNumberFormat="1" applyFont="1" applyFill="1" applyBorder="1" applyAlignment="1">
      <alignment horizontal="left" vertical="top" wrapText="1"/>
    </xf>
    <xf numFmtId="49" fontId="47" fillId="0" borderId="20" xfId="0" applyNumberFormat="1" applyFont="1" applyFill="1" applyBorder="1" applyAlignment="1">
      <alignment horizontal="left" vertical="top" wrapText="1"/>
    </xf>
    <xf numFmtId="49" fontId="47" fillId="0" borderId="26" xfId="0" applyNumberFormat="1" applyFont="1" applyFill="1" applyBorder="1" applyAlignment="1">
      <alignment horizontal="left" vertical="top" wrapText="1"/>
    </xf>
    <xf numFmtId="49" fontId="47" fillId="0" borderId="40" xfId="0" applyNumberFormat="1" applyFont="1" applyFill="1" applyBorder="1" applyAlignment="1">
      <alignment horizontal="left" vertical="top" wrapText="1"/>
    </xf>
    <xf numFmtId="0" fontId="14" fillId="0" borderId="20" xfId="0" applyFont="1" applyBorder="1" applyAlignment="1">
      <alignment horizontal="left" vertical="top"/>
    </xf>
    <xf numFmtId="0" fontId="14" fillId="0" borderId="26" xfId="0" applyFont="1" applyBorder="1" applyAlignment="1">
      <alignment horizontal="left" vertical="top"/>
    </xf>
    <xf numFmtId="0" fontId="14" fillId="0" borderId="40" xfId="0" applyFont="1" applyBorder="1" applyAlignment="1">
      <alignment horizontal="left" vertical="top"/>
    </xf>
    <xf numFmtId="0" fontId="14" fillId="0" borderId="27" xfId="0" applyNumberFormat="1" applyFont="1" applyFill="1" applyBorder="1" applyAlignment="1">
      <alignment horizontal="left" vertical="top"/>
    </xf>
    <xf numFmtId="0" fontId="14" fillId="0" borderId="62" xfId="0" applyNumberFormat="1" applyFont="1" applyFill="1" applyBorder="1" applyAlignment="1">
      <alignment horizontal="left" vertical="top"/>
    </xf>
    <xf numFmtId="0" fontId="14" fillId="0" borderId="52" xfId="0" applyFont="1" applyFill="1" applyBorder="1" applyAlignment="1">
      <alignment horizontal="left" vertical="top"/>
    </xf>
    <xf numFmtId="0" fontId="14" fillId="0" borderId="13" xfId="0" applyFont="1" applyFill="1" applyBorder="1" applyAlignment="1">
      <alignment horizontal="left" vertical="top"/>
    </xf>
    <xf numFmtId="0" fontId="47" fillId="0" borderId="20" xfId="0" applyNumberFormat="1" applyFont="1" applyFill="1" applyBorder="1" applyAlignment="1">
      <alignment horizontal="left" vertical="top" wrapText="1"/>
    </xf>
    <xf numFmtId="0" fontId="47" fillId="0" borderId="40" xfId="0" applyNumberFormat="1" applyFont="1" applyFill="1" applyBorder="1" applyAlignment="1">
      <alignment horizontal="left" vertical="top" wrapText="1"/>
    </xf>
    <xf numFmtId="1" fontId="14" fillId="0" borderId="31" xfId="0" applyNumberFormat="1" applyFont="1" applyFill="1" applyBorder="1" applyAlignment="1">
      <alignment vertical="top" wrapText="1"/>
    </xf>
    <xf numFmtId="1" fontId="42" fillId="0" borderId="19" xfId="0" applyNumberFormat="1" applyFont="1" applyBorder="1" applyAlignment="1">
      <alignment horizontal="center" vertical="top"/>
    </xf>
    <xf numFmtId="1" fontId="42" fillId="0" borderId="10" xfId="0" applyNumberFormat="1" applyFont="1" applyBorder="1" applyAlignment="1">
      <alignment horizontal="center" vertical="top"/>
    </xf>
    <xf numFmtId="1" fontId="42" fillId="0" borderId="68" xfId="0" applyNumberFormat="1" applyFont="1" applyBorder="1" applyAlignment="1">
      <alignment horizontal="center" vertical="top"/>
    </xf>
    <xf numFmtId="0" fontId="14" fillId="0" borderId="27" xfId="0" applyFont="1" applyBorder="1" applyAlignment="1">
      <alignment horizontal="left" vertical="top"/>
    </xf>
    <xf numFmtId="0" fontId="14" fillId="0" borderId="67" xfId="0" applyFont="1" applyBorder="1" applyAlignment="1">
      <alignment horizontal="left" vertical="top"/>
    </xf>
    <xf numFmtId="0" fontId="14" fillId="0" borderId="68" xfId="0" applyFont="1" applyBorder="1" applyAlignment="1">
      <alignment horizontal="left" vertical="top"/>
    </xf>
    <xf numFmtId="0" fontId="47" fillId="0" borderId="17" xfId="0" applyFont="1" applyFill="1" applyBorder="1" applyAlignment="1">
      <alignment vertical="top" wrapText="1"/>
    </xf>
    <xf numFmtId="0" fontId="47" fillId="0" borderId="112" xfId="0" applyFont="1" applyFill="1" applyBorder="1" applyAlignment="1">
      <alignment vertical="top" wrapText="1"/>
    </xf>
    <xf numFmtId="0" fontId="47" fillId="0" borderId="107" xfId="0" applyFont="1" applyFill="1" applyBorder="1" applyAlignment="1">
      <alignment vertical="top" wrapText="1"/>
    </xf>
    <xf numFmtId="0" fontId="47" fillId="0" borderId="25" xfId="0" applyFont="1" applyFill="1" applyBorder="1" applyAlignment="1">
      <alignment vertical="top" wrapText="1"/>
    </xf>
    <xf numFmtId="0" fontId="47" fillId="0" borderId="18" xfId="0" applyFont="1" applyFill="1" applyBorder="1" applyAlignment="1">
      <alignment vertical="top" wrapText="1"/>
    </xf>
    <xf numFmtId="0" fontId="47" fillId="0" borderId="21" xfId="0" applyFont="1" applyFill="1" applyBorder="1" applyAlignment="1">
      <alignment vertical="top" wrapText="1"/>
    </xf>
    <xf numFmtId="0" fontId="47" fillId="0" borderId="118" xfId="0" applyFont="1" applyFill="1" applyBorder="1" applyAlignment="1">
      <alignment vertical="top" wrapText="1"/>
    </xf>
    <xf numFmtId="0" fontId="47" fillId="0" borderId="118" xfId="0" applyFont="1" applyFill="1" applyBorder="1" applyAlignment="1">
      <alignment horizontal="left" vertical="top" wrapText="1"/>
    </xf>
    <xf numFmtId="0" fontId="47" fillId="0" borderId="107" xfId="0" applyFont="1" applyFill="1" applyBorder="1" applyAlignment="1">
      <alignment horizontal="left" vertical="top" wrapText="1"/>
    </xf>
    <xf numFmtId="1" fontId="14" fillId="0" borderId="19" xfId="0" applyNumberFormat="1" applyFont="1" applyFill="1" applyBorder="1" applyAlignment="1">
      <alignment horizontal="center" vertical="top"/>
    </xf>
    <xf numFmtId="1" fontId="14" fillId="0" borderId="10" xfId="0" applyNumberFormat="1" applyFont="1" applyFill="1" applyBorder="1" applyAlignment="1">
      <alignment horizontal="center" vertical="top"/>
    </xf>
    <xf numFmtId="1" fontId="14" fillId="0" borderId="68" xfId="0" applyNumberFormat="1" applyFont="1" applyFill="1" applyBorder="1" applyAlignment="1">
      <alignment horizontal="center" vertical="top"/>
    </xf>
    <xf numFmtId="0" fontId="56" fillId="4" borderId="9" xfId="0" applyFont="1" applyFill="1" applyBorder="1" applyAlignment="1">
      <alignment horizontal="center" vertical="top" wrapText="1"/>
    </xf>
    <xf numFmtId="0" fontId="47" fillId="0" borderId="21" xfId="0" applyFont="1" applyBorder="1" applyAlignment="1">
      <alignment vertical="top" wrapText="1"/>
    </xf>
    <xf numFmtId="1" fontId="47" fillId="0" borderId="26" xfId="0" applyNumberFormat="1" applyFont="1" applyFill="1" applyBorder="1" applyAlignment="1">
      <alignment vertical="top" wrapText="1"/>
    </xf>
    <xf numFmtId="0" fontId="14" fillId="0" borderId="22"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24" xfId="0" applyFont="1" applyFill="1" applyBorder="1" applyAlignment="1">
      <alignment horizontal="left" vertical="top" wrapText="1"/>
    </xf>
    <xf numFmtId="2" fontId="14" fillId="11" borderId="20" xfId="0" applyNumberFormat="1" applyFont="1" applyFill="1" applyBorder="1" applyAlignment="1">
      <alignment horizontal="left" vertical="top" wrapText="1"/>
    </xf>
    <xf numFmtId="2" fontId="14" fillId="11" borderId="40" xfId="0" applyNumberFormat="1" applyFont="1" applyFill="1" applyBorder="1" applyAlignment="1">
      <alignment horizontal="left" vertical="top" wrapText="1"/>
    </xf>
    <xf numFmtId="0" fontId="14" fillId="0" borderId="83" xfId="0" applyFont="1" applyFill="1" applyBorder="1" applyAlignment="1">
      <alignment horizontal="left" vertical="top" wrapText="1"/>
    </xf>
    <xf numFmtId="0" fontId="14" fillId="0" borderId="108" xfId="0" applyFont="1" applyFill="1" applyBorder="1" applyAlignment="1">
      <alignment horizontal="left" vertical="top" wrapText="1"/>
    </xf>
    <xf numFmtId="0" fontId="14" fillId="0" borderId="28" xfId="0" applyFont="1" applyFill="1" applyBorder="1" applyAlignment="1">
      <alignment horizontal="left" vertical="top" wrapText="1"/>
    </xf>
    <xf numFmtId="2" fontId="14" fillId="0" borderId="20" xfId="0" applyNumberFormat="1" applyFont="1" applyFill="1" applyBorder="1" applyAlignment="1">
      <alignment horizontal="left" vertical="top" wrapText="1"/>
    </xf>
    <xf numFmtId="2" fontId="14" fillId="0" borderId="26" xfId="0" applyNumberFormat="1" applyFont="1" applyFill="1" applyBorder="1" applyAlignment="1">
      <alignment horizontal="left" vertical="top" wrapText="1"/>
    </xf>
    <xf numFmtId="2" fontId="14" fillId="0" borderId="20" xfId="0" applyNumberFormat="1" applyFont="1" applyBorder="1" applyAlignment="1">
      <alignment horizontal="left" vertical="top" wrapText="1"/>
    </xf>
    <xf numFmtId="2" fontId="14" fillId="0" borderId="26" xfId="0" applyNumberFormat="1" applyFont="1" applyBorder="1" applyAlignment="1">
      <alignment horizontal="left" vertical="top" wrapText="1"/>
    </xf>
    <xf numFmtId="2" fontId="14" fillId="0" borderId="40" xfId="0" applyNumberFormat="1" applyFont="1" applyBorder="1" applyAlignment="1">
      <alignment horizontal="left" vertical="top" wrapText="1"/>
    </xf>
    <xf numFmtId="2" fontId="14" fillId="0" borderId="40" xfId="0" applyNumberFormat="1" applyFont="1" applyFill="1" applyBorder="1" applyAlignment="1">
      <alignment horizontal="left" vertical="top" wrapText="1"/>
    </xf>
    <xf numFmtId="2" fontId="14" fillId="0" borderId="31" xfId="0" applyNumberFormat="1" applyFont="1" applyFill="1" applyBorder="1" applyAlignment="1">
      <alignment horizontal="left" vertical="top" wrapText="1"/>
    </xf>
    <xf numFmtId="2" fontId="14" fillId="0" borderId="57" xfId="0" applyNumberFormat="1" applyFont="1" applyFill="1" applyBorder="1" applyAlignment="1">
      <alignment horizontal="left" vertical="top" wrapText="1"/>
    </xf>
    <xf numFmtId="2" fontId="14" fillId="0" borderId="19" xfId="0" applyNumberFormat="1" applyFont="1" applyFill="1" applyBorder="1" applyAlignment="1">
      <alignment horizontal="left" vertical="top" wrapText="1"/>
    </xf>
    <xf numFmtId="2" fontId="14" fillId="0" borderId="13" xfId="0" applyNumberFormat="1" applyFont="1" applyFill="1" applyBorder="1" applyAlignment="1">
      <alignment horizontal="left" vertical="top" wrapText="1"/>
    </xf>
    <xf numFmtId="2" fontId="14" fillId="0" borderId="118" xfId="0" applyNumberFormat="1" applyFont="1" applyFill="1" applyBorder="1" applyAlignment="1">
      <alignment horizontal="left" vertical="top" wrapText="1"/>
    </xf>
    <xf numFmtId="2" fontId="14" fillId="0" borderId="112" xfId="0" applyNumberFormat="1" applyFont="1" applyFill="1" applyBorder="1" applyAlignment="1">
      <alignment horizontal="left" vertical="top" wrapText="1"/>
    </xf>
    <xf numFmtId="2" fontId="14" fillId="0" borderId="20" xfId="0" applyNumberFormat="1" applyFont="1" applyFill="1" applyBorder="1" applyAlignment="1">
      <alignment vertical="top" wrapText="1"/>
    </xf>
    <xf numFmtId="0" fontId="56" fillId="4" borderId="76" xfId="0" applyFont="1" applyFill="1" applyBorder="1" applyAlignment="1">
      <alignment vertical="top" wrapText="1"/>
    </xf>
    <xf numFmtId="2" fontId="14" fillId="0" borderId="31" xfId="0" applyNumberFormat="1" applyFont="1" applyBorder="1" applyAlignment="1">
      <alignment horizontal="left" vertical="top" wrapText="1"/>
    </xf>
    <xf numFmtId="2" fontId="14" fillId="0" borderId="57" xfId="0" applyNumberFormat="1" applyFont="1" applyBorder="1" applyAlignment="1">
      <alignment horizontal="left" vertical="top" wrapText="1"/>
    </xf>
    <xf numFmtId="2" fontId="14" fillId="0" borderId="19" xfId="0" applyNumberFormat="1" applyFont="1" applyBorder="1" applyAlignment="1">
      <alignment horizontal="left" vertical="top" wrapText="1"/>
    </xf>
    <xf numFmtId="2" fontId="14" fillId="0" borderId="31" xfId="0" applyNumberFormat="1" applyFont="1" applyFill="1" applyBorder="1" applyAlignment="1">
      <alignment vertical="top" wrapText="1"/>
    </xf>
    <xf numFmtId="2" fontId="14" fillId="0" borderId="57" xfId="0" applyNumberFormat="1" applyFont="1" applyFill="1" applyBorder="1" applyAlignment="1">
      <alignment vertical="top" wrapText="1"/>
    </xf>
    <xf numFmtId="2" fontId="14" fillId="0" borderId="26" xfId="0" applyNumberFormat="1" applyFont="1" applyFill="1" applyBorder="1" applyAlignment="1">
      <alignment vertical="top" wrapText="1"/>
    </xf>
    <xf numFmtId="2" fontId="14" fillId="0" borderId="19" xfId="0" applyNumberFormat="1" applyFont="1" applyFill="1" applyBorder="1" applyAlignment="1">
      <alignment vertical="top" wrapText="1"/>
    </xf>
    <xf numFmtId="2" fontId="14" fillId="0" borderId="40" xfId="0" applyNumberFormat="1" applyFont="1" applyFill="1" applyBorder="1" applyAlignment="1">
      <alignment vertical="top" wrapText="1"/>
    </xf>
    <xf numFmtId="2" fontId="14" fillId="0" borderId="13" xfId="0" applyNumberFormat="1" applyFont="1" applyFill="1" applyBorder="1" applyAlignment="1">
      <alignment vertical="top" wrapText="1"/>
    </xf>
    <xf numFmtId="2" fontId="14" fillId="0" borderId="31" xfId="0" applyNumberFormat="1" applyFont="1" applyBorder="1" applyAlignment="1">
      <alignment vertical="top" wrapText="1"/>
    </xf>
    <xf numFmtId="2" fontId="14" fillId="0" borderId="20" xfId="0" applyNumberFormat="1" applyFont="1" applyBorder="1" applyAlignment="1">
      <alignment vertical="top" wrapText="1"/>
    </xf>
    <xf numFmtId="0" fontId="18" fillId="0" borderId="57" xfId="0" applyFont="1" applyBorder="1" applyAlignment="1">
      <alignment horizontal="left" vertical="top"/>
    </xf>
    <xf numFmtId="0" fontId="18" fillId="0" borderId="19" xfId="0" applyFont="1" applyBorder="1" applyAlignment="1">
      <alignment horizontal="left" vertical="top"/>
    </xf>
    <xf numFmtId="0" fontId="18" fillId="0" borderId="26" xfId="0" applyFont="1" applyBorder="1" applyAlignment="1">
      <alignment vertical="top"/>
    </xf>
    <xf numFmtId="0" fontId="18" fillId="0" borderId="40" xfId="0" applyFont="1" applyBorder="1" applyAlignment="1">
      <alignment vertical="top"/>
    </xf>
    <xf numFmtId="0" fontId="18" fillId="0" borderId="13" xfId="0" applyFont="1" applyBorder="1" applyAlignment="1">
      <alignment horizontal="left" vertical="top"/>
    </xf>
    <xf numFmtId="1" fontId="47" fillId="0" borderId="27" xfId="0" applyNumberFormat="1" applyFont="1" applyFill="1" applyBorder="1" applyAlignment="1">
      <alignment horizontal="left" vertical="top" wrapText="1"/>
    </xf>
    <xf numFmtId="0" fontId="76" fillId="0" borderId="41" xfId="0" applyFont="1" applyBorder="1">
      <alignment vertical="top"/>
    </xf>
    <xf numFmtId="0" fontId="18" fillId="0" borderId="26" xfId="0" applyFont="1" applyFill="1" applyBorder="1" applyAlignment="1">
      <alignment vertical="top"/>
    </xf>
    <xf numFmtId="0" fontId="18" fillId="0" borderId="40" xfId="0" applyFont="1" applyFill="1" applyBorder="1" applyAlignment="1">
      <alignment vertical="top"/>
    </xf>
    <xf numFmtId="0" fontId="47" fillId="0" borderId="13" xfId="0" applyFont="1" applyBorder="1" applyAlignment="1">
      <alignment horizontal="left" vertical="top" wrapText="1"/>
    </xf>
    <xf numFmtId="2" fontId="14" fillId="0" borderId="0" xfId="0" applyNumberFormat="1" applyFont="1" applyFill="1" applyBorder="1" applyAlignment="1">
      <alignment horizontal="left" vertical="top" wrapText="1"/>
    </xf>
    <xf numFmtId="0" fontId="14" fillId="11" borderId="20" xfId="0" applyFont="1" applyFill="1" applyBorder="1" applyAlignment="1">
      <alignment horizontal="left" vertical="top" wrapText="1"/>
    </xf>
    <xf numFmtId="0" fontId="14" fillId="11" borderId="26" xfId="0" applyFont="1" applyFill="1" applyBorder="1" applyAlignment="1">
      <alignment horizontal="left" vertical="top" wrapText="1"/>
    </xf>
    <xf numFmtId="0" fontId="14" fillId="11" borderId="40" xfId="0" applyFont="1" applyFill="1" applyBorder="1" applyAlignment="1">
      <alignment horizontal="left" vertical="top" wrapText="1"/>
    </xf>
    <xf numFmtId="0" fontId="14" fillId="11" borderId="31" xfId="0" applyFont="1" applyFill="1" applyBorder="1" applyAlignment="1">
      <alignment horizontal="left" vertical="top" wrapText="1"/>
    </xf>
    <xf numFmtId="0" fontId="14" fillId="11" borderId="57" xfId="0" applyFont="1" applyFill="1" applyBorder="1" applyAlignment="1">
      <alignment horizontal="left" vertical="top" wrapText="1"/>
    </xf>
    <xf numFmtId="0" fontId="14" fillId="11" borderId="19" xfId="0" applyFont="1" applyFill="1" applyBorder="1" applyAlignment="1">
      <alignment horizontal="left" vertical="top" wrapText="1"/>
    </xf>
    <xf numFmtId="49" fontId="14" fillId="0" borderId="13" xfId="0" applyNumberFormat="1" applyFont="1" applyFill="1" applyBorder="1" applyAlignment="1">
      <alignment horizontal="left" vertical="top" wrapText="1"/>
    </xf>
    <xf numFmtId="1" fontId="14" fillId="0" borderId="13" xfId="0" applyNumberFormat="1" applyFont="1" applyFill="1" applyBorder="1" applyAlignment="1">
      <alignment horizontal="left" vertical="top" wrapText="1"/>
    </xf>
    <xf numFmtId="49" fontId="56" fillId="4" borderId="72" xfId="0" applyNumberFormat="1" applyFont="1" applyFill="1" applyBorder="1" applyAlignment="1">
      <alignment horizontal="center" vertical="top" wrapText="1"/>
    </xf>
    <xf numFmtId="49" fontId="56" fillId="4" borderId="76"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49" fontId="14" fillId="0" borderId="20" xfId="0" applyNumberFormat="1" applyFont="1" applyBorder="1" applyAlignment="1">
      <alignment horizontal="left" vertical="top" wrapText="1"/>
    </xf>
    <xf numFmtId="49" fontId="14" fillId="0" borderId="26" xfId="0" applyNumberFormat="1" applyFont="1" applyBorder="1" applyAlignment="1">
      <alignment horizontal="left" vertical="top" wrapText="1"/>
    </xf>
    <xf numFmtId="49" fontId="14" fillId="0" borderId="40" xfId="0" applyNumberFormat="1" applyFont="1" applyBorder="1" applyAlignment="1">
      <alignment horizontal="left" vertical="top" wrapText="1"/>
    </xf>
    <xf numFmtId="0" fontId="14" fillId="0" borderId="25" xfId="0" applyFont="1" applyFill="1" applyBorder="1" applyAlignment="1">
      <alignment horizontal="left" vertical="top" wrapText="1"/>
    </xf>
    <xf numFmtId="0" fontId="14" fillId="0" borderId="8" xfId="0" applyFont="1" applyBorder="1" applyAlignment="1">
      <alignment horizontal="left" vertical="top" wrapText="1"/>
    </xf>
    <xf numFmtId="0" fontId="44" fillId="4" borderId="31" xfId="0" applyFont="1" applyFill="1" applyBorder="1" applyAlignment="1">
      <alignment horizontal="center" vertical="top" wrapText="1"/>
    </xf>
    <xf numFmtId="0" fontId="44" fillId="4" borderId="27" xfId="0" applyFont="1" applyFill="1" applyBorder="1" applyAlignment="1">
      <alignment horizontal="left" vertical="top" wrapText="1"/>
    </xf>
    <xf numFmtId="0" fontId="14" fillId="0" borderId="80" xfId="0" applyFont="1" applyBorder="1" applyAlignment="1">
      <alignment horizontal="left" vertical="top" wrapText="1"/>
    </xf>
    <xf numFmtId="0" fontId="35" fillId="0" borderId="19" xfId="0" applyFont="1" applyBorder="1" applyAlignment="1">
      <alignment horizontal="center" wrapText="1"/>
    </xf>
    <xf numFmtId="0" fontId="35" fillId="0" borderId="10" xfId="0" applyFont="1" applyBorder="1" applyAlignment="1">
      <alignment horizontal="center" wrapText="1"/>
    </xf>
    <xf numFmtId="0" fontId="35" fillId="0" borderId="68" xfId="0" applyFont="1" applyBorder="1" applyAlignment="1">
      <alignment horizontal="center" wrapText="1"/>
    </xf>
    <xf numFmtId="0" fontId="61" fillId="0" borderId="0" xfId="3" applyFont="1" applyFill="1" applyBorder="1" applyAlignment="1" applyProtection="1">
      <alignment horizontal="center" vertical="center" wrapText="1"/>
      <protection hidden="1"/>
    </xf>
    <xf numFmtId="2" fontId="13" fillId="0" borderId="0" xfId="0" applyNumberFormat="1" applyFont="1" applyFill="1" applyBorder="1" applyAlignment="1" applyProtection="1">
      <alignment horizontal="center" vertical="top" wrapText="1"/>
      <protection locked="0"/>
    </xf>
    <xf numFmtId="0" fontId="78" fillId="0" borderId="117" xfId="0" applyFont="1" applyFill="1" applyBorder="1" applyAlignment="1">
      <alignment horizontal="center" vertical="top" wrapText="1"/>
    </xf>
    <xf numFmtId="0" fontId="78" fillId="0" borderId="115" xfId="0" applyFont="1" applyFill="1" applyBorder="1" applyAlignment="1">
      <alignment horizontal="center" vertical="top" wrapText="1"/>
    </xf>
    <xf numFmtId="0" fontId="34" fillId="0" borderId="1" xfId="0" applyFont="1" applyBorder="1" applyAlignment="1">
      <alignment horizontal="left" vertical="center" wrapText="1"/>
    </xf>
  </cellXfs>
  <cellStyles count="149">
    <cellStyle name="Normal" xfId="0" builtinId="0"/>
    <cellStyle name="Normal 2" xfId="1"/>
    <cellStyle name="Normal 3" xfId="2"/>
    <cellStyle name="Normal 4" xfId="3"/>
    <cellStyle name="Normal 4 10" xfId="77"/>
    <cellStyle name="Normal 4 2" xfId="4"/>
    <cellStyle name="Normal 4 2 2" xfId="6"/>
    <cellStyle name="Normal 4 2 2 2" xfId="10"/>
    <cellStyle name="Normal 4 2 2 2 2" xfId="26"/>
    <cellStyle name="Normal 4 2 2 2 2 2" xfId="62"/>
    <cellStyle name="Normal 4 2 2 2 2 2 2" xfId="134"/>
    <cellStyle name="Normal 4 2 2 2 2 3" xfId="98"/>
    <cellStyle name="Normal 4 2 2 2 3" xfId="20"/>
    <cellStyle name="Normal 4 2 2 2 3 2" xfId="57"/>
    <cellStyle name="Normal 4 2 2 2 3 2 2" xfId="129"/>
    <cellStyle name="Normal 4 2 2 2 3 3" xfId="93"/>
    <cellStyle name="Normal 4 2 2 2 4" xfId="36"/>
    <cellStyle name="Normal 4 2 2 2 4 2" xfId="72"/>
    <cellStyle name="Normal 4 2 2 2 4 2 2" xfId="144"/>
    <cellStyle name="Normal 4 2 2 2 4 3" xfId="108"/>
    <cellStyle name="Normal 4 2 2 2 5" xfId="48"/>
    <cellStyle name="Normal 4 2 2 2 5 2" xfId="120"/>
    <cellStyle name="Normal 4 2 2 2 6" xfId="84"/>
    <cellStyle name="Normal 4 2 2 3" xfId="25"/>
    <cellStyle name="Normal 4 2 2 3 2" xfId="61"/>
    <cellStyle name="Normal 4 2 2 3 2 2" xfId="133"/>
    <cellStyle name="Normal 4 2 2 3 3" xfId="97"/>
    <cellStyle name="Normal 4 2 2 4" xfId="16"/>
    <cellStyle name="Normal 4 2 2 4 2" xfId="53"/>
    <cellStyle name="Normal 4 2 2 4 2 2" xfId="125"/>
    <cellStyle name="Normal 4 2 2 4 3" xfId="89"/>
    <cellStyle name="Normal 4 2 2 5" xfId="35"/>
    <cellStyle name="Normal 4 2 2 5 2" xfId="71"/>
    <cellStyle name="Normal 4 2 2 5 2 2" xfId="143"/>
    <cellStyle name="Normal 4 2 2 5 3" xfId="107"/>
    <cellStyle name="Normal 4 2 2 6" xfId="44"/>
    <cellStyle name="Normal 4 2 2 6 2" xfId="116"/>
    <cellStyle name="Normal 4 2 2 7" xfId="80"/>
    <cellStyle name="Normal 4 2 3" xfId="8"/>
    <cellStyle name="Normal 4 2 3 2" xfId="27"/>
    <cellStyle name="Normal 4 2 3 2 2" xfId="63"/>
    <cellStyle name="Normal 4 2 3 2 2 2" xfId="135"/>
    <cellStyle name="Normal 4 2 3 2 3" xfId="99"/>
    <cellStyle name="Normal 4 2 3 3" xfId="18"/>
    <cellStyle name="Normal 4 2 3 3 2" xfId="55"/>
    <cellStyle name="Normal 4 2 3 3 2 2" xfId="127"/>
    <cellStyle name="Normal 4 2 3 3 3" xfId="91"/>
    <cellStyle name="Normal 4 2 3 4" xfId="37"/>
    <cellStyle name="Normal 4 2 3 4 2" xfId="73"/>
    <cellStyle name="Normal 4 2 3 4 2 2" xfId="145"/>
    <cellStyle name="Normal 4 2 3 4 3" xfId="109"/>
    <cellStyle name="Normal 4 2 3 5" xfId="46"/>
    <cellStyle name="Normal 4 2 3 5 2" xfId="118"/>
    <cellStyle name="Normal 4 2 3 6" xfId="82"/>
    <cellStyle name="Normal 4 2 4" xfId="24"/>
    <cellStyle name="Normal 4 2 4 2" xfId="60"/>
    <cellStyle name="Normal 4 2 4 2 2" xfId="132"/>
    <cellStyle name="Normal 4 2 4 3" xfId="96"/>
    <cellStyle name="Normal 4 2 5" xfId="14"/>
    <cellStyle name="Normal 4 2 5 2" xfId="51"/>
    <cellStyle name="Normal 4 2 5 2 2" xfId="123"/>
    <cellStyle name="Normal 4 2 5 3" xfId="87"/>
    <cellStyle name="Normal 4 2 6" xfId="33"/>
    <cellStyle name="Normal 4 2 6 2" xfId="69"/>
    <cellStyle name="Normal 4 2 6 2 2" xfId="141"/>
    <cellStyle name="Normal 4 2 6 3" xfId="105"/>
    <cellStyle name="Normal 4 2 7" xfId="42"/>
    <cellStyle name="Normal 4 2 7 2" xfId="114"/>
    <cellStyle name="Normal 4 2 8" xfId="78"/>
    <cellStyle name="Normal 4 3" xfId="5"/>
    <cellStyle name="Normal 4 3 2" xfId="9"/>
    <cellStyle name="Normal 4 3 2 2" xfId="29"/>
    <cellStyle name="Normal 4 3 2 2 2" xfId="65"/>
    <cellStyle name="Normal 4 3 2 2 2 2" xfId="137"/>
    <cellStyle name="Normal 4 3 2 2 3" xfId="101"/>
    <cellStyle name="Normal 4 3 2 3" xfId="19"/>
    <cellStyle name="Normal 4 3 2 3 2" xfId="56"/>
    <cellStyle name="Normal 4 3 2 3 2 2" xfId="128"/>
    <cellStyle name="Normal 4 3 2 3 3" xfId="92"/>
    <cellStyle name="Normal 4 3 2 4" xfId="38"/>
    <cellStyle name="Normal 4 3 2 4 2" xfId="74"/>
    <cellStyle name="Normal 4 3 2 4 2 2" xfId="146"/>
    <cellStyle name="Normal 4 3 2 4 3" xfId="110"/>
    <cellStyle name="Normal 4 3 2 5" xfId="47"/>
    <cellStyle name="Normal 4 3 2 5 2" xfId="119"/>
    <cellStyle name="Normal 4 3 2 6" xfId="83"/>
    <cellStyle name="Normal 4 3 3" xfId="28"/>
    <cellStyle name="Normal 4 3 3 2" xfId="64"/>
    <cellStyle name="Normal 4 3 3 2 2" xfId="136"/>
    <cellStyle name="Normal 4 3 3 3" xfId="100"/>
    <cellStyle name="Normal 4 3 4" xfId="15"/>
    <cellStyle name="Normal 4 3 4 2" xfId="52"/>
    <cellStyle name="Normal 4 3 4 2 2" xfId="124"/>
    <cellStyle name="Normal 4 3 4 3" xfId="88"/>
    <cellStyle name="Normal 4 3 5" xfId="34"/>
    <cellStyle name="Normal 4 3 5 2" xfId="70"/>
    <cellStyle name="Normal 4 3 5 2 2" xfId="142"/>
    <cellStyle name="Normal 4 3 5 3" xfId="106"/>
    <cellStyle name="Normal 4 3 6" xfId="43"/>
    <cellStyle name="Normal 4 3 6 2" xfId="115"/>
    <cellStyle name="Normal 4 3 7" xfId="79"/>
    <cellStyle name="Normal 4 4" xfId="7"/>
    <cellStyle name="Normal 4 4 2" xfId="30"/>
    <cellStyle name="Normal 4 4 2 2" xfId="66"/>
    <cellStyle name="Normal 4 4 2 2 2" xfId="138"/>
    <cellStyle name="Normal 4 4 2 3" xfId="102"/>
    <cellStyle name="Normal 4 4 3" xfId="17"/>
    <cellStyle name="Normal 4 4 3 2" xfId="54"/>
    <cellStyle name="Normal 4 4 3 2 2" xfId="126"/>
    <cellStyle name="Normal 4 4 3 3" xfId="90"/>
    <cellStyle name="Normal 4 4 4" xfId="39"/>
    <cellStyle name="Normal 4 4 4 2" xfId="75"/>
    <cellStyle name="Normal 4 4 4 2 2" xfId="147"/>
    <cellStyle name="Normal 4 4 4 3" xfId="111"/>
    <cellStyle name="Normal 4 4 5" xfId="45"/>
    <cellStyle name="Normal 4 4 5 2" xfId="117"/>
    <cellStyle name="Normal 4 4 6" xfId="81"/>
    <cellStyle name="Normal 4 5" xfId="11"/>
    <cellStyle name="Normal 4 5 2" xfId="31"/>
    <cellStyle name="Normal 4 5 2 2" xfId="67"/>
    <cellStyle name="Normal 4 5 2 2 2" xfId="139"/>
    <cellStyle name="Normal 4 5 2 3" xfId="103"/>
    <cellStyle name="Normal 4 5 3" xfId="21"/>
    <cellStyle name="Normal 4 5 3 2" xfId="58"/>
    <cellStyle name="Normal 4 5 3 2 2" xfId="130"/>
    <cellStyle name="Normal 4 5 3 3" xfId="94"/>
    <cellStyle name="Normal 4 5 4" xfId="40"/>
    <cellStyle name="Normal 4 5 4 2" xfId="76"/>
    <cellStyle name="Normal 4 5 4 2 2" xfId="148"/>
    <cellStyle name="Normal 4 5 4 3" xfId="112"/>
    <cellStyle name="Normal 4 5 5" xfId="49"/>
    <cellStyle name="Normal 4 5 5 2" xfId="121"/>
    <cellStyle name="Normal 4 5 6" xfId="85"/>
    <cellStyle name="Normal 4 6" xfId="23"/>
    <cellStyle name="Normal 4 6 2" xfId="59"/>
    <cellStyle name="Normal 4 6 2 2" xfId="131"/>
    <cellStyle name="Normal 4 6 3" xfId="95"/>
    <cellStyle name="Normal 4 7" xfId="13"/>
    <cellStyle name="Normal 4 7 2" xfId="50"/>
    <cellStyle name="Normal 4 7 2 2" xfId="122"/>
    <cellStyle name="Normal 4 7 3" xfId="86"/>
    <cellStyle name="Normal 4 8" xfId="32"/>
    <cellStyle name="Normal 4 8 2" xfId="68"/>
    <cellStyle name="Normal 4 8 2 2" xfId="140"/>
    <cellStyle name="Normal 4 8 3" xfId="104"/>
    <cellStyle name="Normal 4 9" xfId="41"/>
    <cellStyle name="Normal 4 9 2" xfId="113"/>
    <cellStyle name="Normal 5" xfId="12"/>
    <cellStyle name="Normal 6" xfId="22"/>
  </cellStyles>
  <dxfs count="129">
    <dxf>
      <font>
        <condense val="0"/>
        <extend val="0"/>
        <color rgb="FF9C0006"/>
      </font>
      <fill>
        <patternFill>
          <bgColor rgb="FFFFC7CE"/>
        </patternFill>
      </fill>
    </dxf>
    <dxf>
      <fill>
        <patternFill>
          <fgColor theme="0"/>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rgb="FF00FF00"/>
        </patternFill>
      </fill>
    </dxf>
    <dxf>
      <fill>
        <patternFill>
          <fgColor indexed="64"/>
          <bgColor rgb="FFFF66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fgColor indexed="64"/>
          <bgColor rgb="FFFF6600"/>
        </patternFill>
      </fill>
    </dxf>
    <dxf>
      <fill>
        <patternFill>
          <bgColor indexed="46"/>
        </patternFill>
      </fill>
    </dxf>
    <dxf>
      <font>
        <condense val="0"/>
        <extend val="0"/>
        <color rgb="FF9C0006"/>
      </font>
      <fill>
        <patternFill>
          <bgColor rgb="FFFFC7CE"/>
        </patternFill>
      </fill>
    </dxf>
  </dxfs>
  <tableStyles count="0" defaultTableStyle="TableStyleMedium9" defaultPivotStyle="PivotStyleLight16"/>
  <colors>
    <mruColors>
      <color rgb="FFFF6600"/>
      <color rgb="FFFFB9DC"/>
      <color rgb="FF00FF00"/>
      <color rgb="FFFFFF66"/>
      <color rgb="FF797453"/>
      <color rgb="FFFFFF99"/>
      <color rgb="FF737D4F"/>
      <color rgb="FFB8C09C"/>
      <color rgb="FFFF6699"/>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Desktop\Paul_work\Alaska\Documents%20and%20Settings\Paul\Application%20Data\Microsoft\Excel\ORWAPv1.5_Explan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ol\Desktop\Paul_work\Alaska\Documents%20and%20Settings\Paul\Application%20Data\Microsoft\Excel\ORWAP_08\Macro2\ORWAP_Macro\ORWAP_Macro\ORWAP%20RK%20bat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Scores"/>
      <sheetName val="CoverPg"/>
      <sheetName val="Sketch"/>
      <sheetName val="OF"/>
      <sheetName val="FieldF"/>
      <sheetName val="FieldS"/>
      <sheetName val="Matrix"/>
      <sheetName val="WS"/>
      <sheetName val="SR"/>
      <sheetName val="PR"/>
      <sheetName val="NR"/>
      <sheetName val="T"/>
      <sheetName val="CS"/>
      <sheetName val="OE"/>
      <sheetName val="INV"/>
      <sheetName val="FA"/>
      <sheetName val="FR"/>
      <sheetName val="AM"/>
      <sheetName val="WBF"/>
      <sheetName val="WBN"/>
      <sheetName val="SBM"/>
      <sheetName val="POL"/>
      <sheetName val="PD"/>
      <sheetName val="STR"/>
      <sheetName val="Sen"/>
      <sheetName val="CQ"/>
      <sheetName val="PU"/>
      <sheetName val="PS"/>
      <sheetName val="HGM"/>
      <sheetName val="Plants"/>
      <sheetName val="Verts"/>
      <sheetName val="InvertsNonNativ"/>
      <sheetName val="InvertsRare"/>
      <sheetName val="IBAs"/>
      <sheetName val="WQprob"/>
      <sheetName val="NWIstats"/>
      <sheetName val="HydricTab"/>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D2">
            <v>0</v>
          </cell>
        </row>
        <row r="3">
          <cell r="G3">
            <v>0</v>
          </cell>
        </row>
        <row r="5">
          <cell r="D5">
            <v>0</v>
          </cell>
        </row>
        <row r="6">
          <cell r="D6">
            <v>1</v>
          </cell>
        </row>
        <row r="8">
          <cell r="G8" t="str">
            <v/>
          </cell>
        </row>
        <row r="9">
          <cell r="D9">
            <v>0</v>
          </cell>
        </row>
        <row r="10">
          <cell r="D10">
            <v>0</v>
          </cell>
        </row>
        <row r="15">
          <cell r="G15">
            <v>0</v>
          </cell>
        </row>
        <row r="22">
          <cell r="G22">
            <v>0.3</v>
          </cell>
        </row>
        <row r="29">
          <cell r="G29">
            <v>1</v>
          </cell>
        </row>
        <row r="36">
          <cell r="G36">
            <v>0.25</v>
          </cell>
        </row>
        <row r="42">
          <cell r="G42">
            <v>0.6</v>
          </cell>
        </row>
        <row r="48">
          <cell r="G48">
            <v>0</v>
          </cell>
        </row>
        <row r="52">
          <cell r="D52">
            <v>0</v>
          </cell>
        </row>
        <row r="53">
          <cell r="G53">
            <v>1</v>
          </cell>
        </row>
        <row r="56">
          <cell r="G56" t="str">
            <v/>
          </cell>
        </row>
        <row r="62">
          <cell r="G62">
            <v>1</v>
          </cell>
        </row>
        <row r="63">
          <cell r="G63">
            <v>0.5</v>
          </cell>
        </row>
        <row r="67">
          <cell r="G67">
            <v>1</v>
          </cell>
        </row>
        <row r="72">
          <cell r="G72">
            <v>1</v>
          </cell>
        </row>
        <row r="75">
          <cell r="G75">
            <v>0</v>
          </cell>
        </row>
        <row r="79">
          <cell r="G79">
            <v>1</v>
          </cell>
        </row>
        <row r="84">
          <cell r="G84">
            <v>1</v>
          </cell>
        </row>
        <row r="88">
          <cell r="G88">
            <v>0</v>
          </cell>
        </row>
        <row r="92">
          <cell r="G92">
            <v>1</v>
          </cell>
        </row>
        <row r="96">
          <cell r="G96">
            <v>0</v>
          </cell>
        </row>
        <row r="102">
          <cell r="G102">
            <v>0</v>
          </cell>
        </row>
        <row r="106">
          <cell r="G106">
            <v>1</v>
          </cell>
        </row>
      </sheetData>
      <sheetData sheetId="8">
        <row r="2">
          <cell r="D2">
            <v>0</v>
          </cell>
        </row>
        <row r="3">
          <cell r="G3" t="str">
            <v/>
          </cell>
        </row>
        <row r="9">
          <cell r="D9">
            <v>0</v>
          </cell>
        </row>
        <row r="17">
          <cell r="G17">
            <v>1</v>
          </cell>
        </row>
        <row r="24">
          <cell r="G24" t="str">
            <v/>
          </cell>
        </row>
        <row r="30">
          <cell r="G30">
            <v>0.75</v>
          </cell>
        </row>
        <row r="36">
          <cell r="G36">
            <v>0</v>
          </cell>
        </row>
        <row r="40">
          <cell r="D40">
            <v>0</v>
          </cell>
        </row>
        <row r="41">
          <cell r="G41">
            <v>1</v>
          </cell>
        </row>
        <row r="44">
          <cell r="G44" t="str">
            <v/>
          </cell>
        </row>
        <row r="50">
          <cell r="G50" t="str">
            <v/>
          </cell>
        </row>
        <row r="56">
          <cell r="G56">
            <v>1</v>
          </cell>
        </row>
        <row r="61">
          <cell r="G61">
            <v>0.5</v>
          </cell>
        </row>
        <row r="65">
          <cell r="G65">
            <v>1</v>
          </cell>
        </row>
        <row r="70">
          <cell r="G70">
            <v>1</v>
          </cell>
        </row>
        <row r="75">
          <cell r="G75">
            <v>0</v>
          </cell>
        </row>
        <row r="81">
          <cell r="G81">
            <v>1</v>
          </cell>
        </row>
        <row r="85">
          <cell r="G85">
            <v>1</v>
          </cell>
        </row>
        <row r="90">
          <cell r="G90">
            <v>0</v>
          </cell>
        </row>
        <row r="94">
          <cell r="G94">
            <v>0</v>
          </cell>
        </row>
        <row r="98">
          <cell r="G98">
            <v>1</v>
          </cell>
        </row>
        <row r="102">
          <cell r="G102">
            <v>0</v>
          </cell>
        </row>
        <row r="109">
          <cell r="D109">
            <v>0</v>
          </cell>
        </row>
        <row r="112">
          <cell r="G112" t="str">
            <v/>
          </cell>
        </row>
        <row r="116">
          <cell r="G116">
            <v>0</v>
          </cell>
        </row>
        <row r="117">
          <cell r="G117" t="str">
            <v/>
          </cell>
        </row>
        <row r="123">
          <cell r="G123">
            <v>0.83333333333333337</v>
          </cell>
        </row>
        <row r="130">
          <cell r="G130">
            <v>0.75</v>
          </cell>
        </row>
        <row r="136">
          <cell r="G136" t="str">
            <v/>
          </cell>
        </row>
        <row r="139">
          <cell r="G139" t="str">
            <v/>
          </cell>
        </row>
        <row r="146">
          <cell r="G146">
            <v>0</v>
          </cell>
        </row>
        <row r="150">
          <cell r="G150">
            <v>0</v>
          </cell>
        </row>
        <row r="154">
          <cell r="G154">
            <v>0.5</v>
          </cell>
        </row>
        <row r="160">
          <cell r="G160">
            <v>1</v>
          </cell>
        </row>
      </sheetData>
      <sheetData sheetId="9">
        <row r="2">
          <cell r="D2">
            <v>0</v>
          </cell>
        </row>
        <row r="4">
          <cell r="G4" t="str">
            <v/>
          </cell>
        </row>
        <row r="10">
          <cell r="G10" t="str">
            <v/>
          </cell>
        </row>
        <row r="14">
          <cell r="G14">
            <v>1</v>
          </cell>
        </row>
        <row r="19">
          <cell r="D19">
            <v>0</v>
          </cell>
        </row>
        <row r="27">
          <cell r="G27">
            <v>0.75</v>
          </cell>
        </row>
        <row r="34">
          <cell r="G34">
            <v>1</v>
          </cell>
        </row>
        <row r="41">
          <cell r="G41">
            <v>0.2</v>
          </cell>
        </row>
        <row r="47">
          <cell r="G47">
            <v>0.66666666666666663</v>
          </cell>
        </row>
        <row r="53">
          <cell r="G53">
            <v>0</v>
          </cell>
        </row>
        <row r="57">
          <cell r="D57">
            <v>0</v>
          </cell>
        </row>
        <row r="58">
          <cell r="G58">
            <v>1</v>
          </cell>
        </row>
        <row r="61">
          <cell r="G61" t="str">
            <v/>
          </cell>
        </row>
        <row r="67">
          <cell r="G67" t="str">
            <v/>
          </cell>
        </row>
        <row r="73">
          <cell r="G73">
            <v>1</v>
          </cell>
        </row>
        <row r="74">
          <cell r="G74">
            <v>1</v>
          </cell>
        </row>
        <row r="75">
          <cell r="G75">
            <v>1</v>
          </cell>
        </row>
        <row r="81">
          <cell r="G81">
            <v>1</v>
          </cell>
        </row>
        <row r="86">
          <cell r="G86">
            <v>0</v>
          </cell>
        </row>
        <row r="91">
          <cell r="G91">
            <v>0.5</v>
          </cell>
        </row>
        <row r="95">
          <cell r="G95">
            <v>1</v>
          </cell>
        </row>
        <row r="105">
          <cell r="G105">
            <v>1</v>
          </cell>
        </row>
        <row r="107">
          <cell r="G107">
            <v>1</v>
          </cell>
        </row>
        <row r="111">
          <cell r="G111">
            <v>1</v>
          </cell>
        </row>
        <row r="116">
          <cell r="G116">
            <v>1</v>
          </cell>
        </row>
        <row r="120">
          <cell r="G120">
            <v>0</v>
          </cell>
        </row>
        <row r="124">
          <cell r="G124">
            <v>1</v>
          </cell>
        </row>
        <row r="128">
          <cell r="G128">
            <v>0</v>
          </cell>
        </row>
        <row r="134">
          <cell r="D134">
            <v>0</v>
          </cell>
        </row>
        <row r="137">
          <cell r="G137" t="str">
            <v/>
          </cell>
        </row>
        <row r="141">
          <cell r="G141">
            <v>0.33333333333333331</v>
          </cell>
        </row>
        <row r="146">
          <cell r="G146">
            <v>0</v>
          </cell>
        </row>
        <row r="147">
          <cell r="G147" t="str">
            <v/>
          </cell>
        </row>
        <row r="150">
          <cell r="G150">
            <v>0.5</v>
          </cell>
        </row>
        <row r="156">
          <cell r="G156">
            <v>1</v>
          </cell>
        </row>
      </sheetData>
      <sheetData sheetId="10">
        <row r="2">
          <cell r="D2">
            <v>0</v>
          </cell>
        </row>
        <row r="4">
          <cell r="G4">
            <v>1</v>
          </cell>
        </row>
        <row r="9">
          <cell r="D9">
            <v>0</v>
          </cell>
        </row>
        <row r="10">
          <cell r="G10">
            <v>0</v>
          </cell>
        </row>
        <row r="17">
          <cell r="G17">
            <v>0.5</v>
          </cell>
        </row>
        <row r="24">
          <cell r="G24">
            <v>1</v>
          </cell>
        </row>
        <row r="31">
          <cell r="G31">
            <v>0.25</v>
          </cell>
        </row>
        <row r="37">
          <cell r="G37">
            <v>0.8</v>
          </cell>
        </row>
        <row r="43">
          <cell r="G43">
            <v>0.45</v>
          </cell>
        </row>
        <row r="44">
          <cell r="G44">
            <v>0</v>
          </cell>
        </row>
        <row r="49">
          <cell r="G49">
            <v>0</v>
          </cell>
        </row>
        <row r="53">
          <cell r="D53">
            <v>0</v>
          </cell>
        </row>
        <row r="54">
          <cell r="G54">
            <v>1</v>
          </cell>
        </row>
        <row r="57">
          <cell r="G57" t="str">
            <v/>
          </cell>
        </row>
        <row r="63">
          <cell r="G63" t="str">
            <v/>
          </cell>
        </row>
        <row r="75">
          <cell r="G75">
            <v>1</v>
          </cell>
        </row>
        <row r="80">
          <cell r="G80">
            <v>0</v>
          </cell>
        </row>
        <row r="84">
          <cell r="G84">
            <v>0</v>
          </cell>
        </row>
        <row r="87">
          <cell r="G87">
            <v>0.25</v>
          </cell>
        </row>
        <row r="92">
          <cell r="G92">
            <v>0.66666666666666663</v>
          </cell>
        </row>
        <row r="96">
          <cell r="G96">
            <v>1</v>
          </cell>
        </row>
        <row r="101">
          <cell r="G101">
            <v>1</v>
          </cell>
        </row>
        <row r="102">
          <cell r="G102">
            <v>0</v>
          </cell>
        </row>
        <row r="103">
          <cell r="G103">
            <v>1</v>
          </cell>
        </row>
        <row r="104">
          <cell r="G104">
            <v>1</v>
          </cell>
        </row>
        <row r="107">
          <cell r="G107">
            <v>0</v>
          </cell>
        </row>
        <row r="111">
          <cell r="G111">
            <v>1</v>
          </cell>
        </row>
        <row r="116">
          <cell r="G116">
            <v>0</v>
          </cell>
        </row>
        <row r="120">
          <cell r="G120">
            <v>0</v>
          </cell>
        </row>
        <row r="124">
          <cell r="G124">
            <v>1</v>
          </cell>
        </row>
        <row r="129">
          <cell r="D129">
            <v>0</v>
          </cell>
        </row>
        <row r="132">
          <cell r="G132" t="str">
            <v/>
          </cell>
        </row>
        <row r="136">
          <cell r="G136">
            <v>0.5</v>
          </cell>
        </row>
        <row r="139">
          <cell r="G139">
            <v>0</v>
          </cell>
        </row>
        <row r="142">
          <cell r="G142">
            <v>0.66666666666666663</v>
          </cell>
        </row>
        <row r="147">
          <cell r="G147">
            <v>0</v>
          </cell>
        </row>
        <row r="148">
          <cell r="G148" t="str">
            <v/>
          </cell>
        </row>
        <row r="151">
          <cell r="G151">
            <v>0</v>
          </cell>
        </row>
        <row r="155">
          <cell r="G155">
            <v>0.5</v>
          </cell>
        </row>
        <row r="161">
          <cell r="G161">
            <v>1</v>
          </cell>
        </row>
        <row r="168">
          <cell r="G168">
            <v>0.7055555555555556</v>
          </cell>
        </row>
      </sheetData>
      <sheetData sheetId="11">
        <row r="2">
          <cell r="D2">
            <v>0</v>
          </cell>
        </row>
        <row r="4">
          <cell r="D4">
            <v>0</v>
          </cell>
        </row>
        <row r="5">
          <cell r="D5">
            <v>0</v>
          </cell>
        </row>
        <row r="6">
          <cell r="G6">
            <v>0</v>
          </cell>
        </row>
        <row r="13">
          <cell r="G13">
            <v>0.66666666666666663</v>
          </cell>
        </row>
        <row r="19">
          <cell r="G19">
            <v>0</v>
          </cell>
        </row>
        <row r="24">
          <cell r="G24">
            <v>1</v>
          </cell>
        </row>
        <row r="28">
          <cell r="D28">
            <v>0</v>
          </cell>
        </row>
        <row r="29">
          <cell r="G29">
            <v>0</v>
          </cell>
        </row>
        <row r="37">
          <cell r="G37">
            <v>1</v>
          </cell>
        </row>
        <row r="39">
          <cell r="D39">
            <v>0</v>
          </cell>
        </row>
        <row r="42">
          <cell r="G42">
            <v>0</v>
          </cell>
        </row>
      </sheetData>
      <sheetData sheetId="12">
        <row r="3">
          <cell r="D3">
            <v>0</v>
          </cell>
        </row>
        <row r="4">
          <cell r="D4">
            <v>0</v>
          </cell>
        </row>
        <row r="15">
          <cell r="G15">
            <v>1</v>
          </cell>
        </row>
        <row r="21">
          <cell r="G21">
            <v>1</v>
          </cell>
        </row>
        <row r="28">
          <cell r="G28" t="str">
            <v/>
          </cell>
        </row>
        <row r="35">
          <cell r="G35">
            <v>0.75</v>
          </cell>
        </row>
        <row r="41">
          <cell r="G41">
            <v>0.25</v>
          </cell>
        </row>
        <row r="47">
          <cell r="G47">
            <v>0.25</v>
          </cell>
        </row>
        <row r="53">
          <cell r="G53">
            <v>0</v>
          </cell>
        </row>
        <row r="58">
          <cell r="G58">
            <v>0</v>
          </cell>
        </row>
        <row r="63">
          <cell r="G63">
            <v>1</v>
          </cell>
        </row>
        <row r="66">
          <cell r="G66" t="str">
            <v/>
          </cell>
        </row>
        <row r="72">
          <cell r="G72" t="str">
            <v/>
          </cell>
        </row>
        <row r="75">
          <cell r="G75" t="str">
            <v/>
          </cell>
        </row>
        <row r="81">
          <cell r="G81">
            <v>1</v>
          </cell>
        </row>
        <row r="82">
          <cell r="G82">
            <v>0</v>
          </cell>
        </row>
        <row r="88">
          <cell r="G88">
            <v>0.18181818181818182</v>
          </cell>
        </row>
        <row r="101">
          <cell r="G101">
            <v>1</v>
          </cell>
        </row>
        <row r="107">
          <cell r="G107">
            <v>1</v>
          </cell>
        </row>
        <row r="112">
          <cell r="G112">
            <v>0</v>
          </cell>
        </row>
        <row r="117">
          <cell r="G117">
            <v>0.5</v>
          </cell>
        </row>
        <row r="121">
          <cell r="G121">
            <v>1</v>
          </cell>
        </row>
        <row r="126">
          <cell r="G126">
            <v>1</v>
          </cell>
        </row>
        <row r="131">
          <cell r="G131">
            <v>0</v>
          </cell>
        </row>
        <row r="135">
          <cell r="G135">
            <v>1</v>
          </cell>
        </row>
        <row r="136">
          <cell r="G136">
            <v>1</v>
          </cell>
        </row>
      </sheetData>
      <sheetData sheetId="13">
        <row r="2">
          <cell r="D2">
            <v>0</v>
          </cell>
        </row>
        <row r="4">
          <cell r="G4" t="str">
            <v/>
          </cell>
        </row>
        <row r="10">
          <cell r="G10" t="str">
            <v/>
          </cell>
        </row>
        <row r="16">
          <cell r="G16">
            <v>0</v>
          </cell>
        </row>
        <row r="21">
          <cell r="D21">
            <v>0</v>
          </cell>
        </row>
        <row r="22">
          <cell r="G22">
            <v>1</v>
          </cell>
        </row>
        <row r="29">
          <cell r="G29">
            <v>0</v>
          </cell>
        </row>
        <row r="36">
          <cell r="G36">
            <v>0.25</v>
          </cell>
        </row>
        <row r="42">
          <cell r="G42">
            <v>1</v>
          </cell>
        </row>
        <row r="48">
          <cell r="G48">
            <v>0.2</v>
          </cell>
        </row>
        <row r="54">
          <cell r="G54">
            <v>0.45</v>
          </cell>
        </row>
        <row r="55">
          <cell r="G55">
            <v>1</v>
          </cell>
        </row>
        <row r="59">
          <cell r="D59">
            <v>0</v>
          </cell>
        </row>
        <row r="60">
          <cell r="G60">
            <v>0</v>
          </cell>
        </row>
        <row r="63">
          <cell r="G63" t="str">
            <v/>
          </cell>
        </row>
        <row r="69">
          <cell r="G69" t="str">
            <v/>
          </cell>
        </row>
        <row r="72">
          <cell r="G72" t="str">
            <v/>
          </cell>
        </row>
        <row r="78">
          <cell r="G78">
            <v>1</v>
          </cell>
        </row>
        <row r="79">
          <cell r="G79">
            <v>0</v>
          </cell>
        </row>
        <row r="85">
          <cell r="G85">
            <v>1</v>
          </cell>
        </row>
        <row r="91">
          <cell r="G91">
            <v>1</v>
          </cell>
        </row>
        <row r="101">
          <cell r="G101">
            <v>0.5</v>
          </cell>
        </row>
        <row r="105">
          <cell r="G105">
            <v>1</v>
          </cell>
        </row>
        <row r="110">
          <cell r="G110">
            <v>1</v>
          </cell>
        </row>
        <row r="115">
          <cell r="G115">
            <v>1</v>
          </cell>
        </row>
        <row r="116">
          <cell r="G116">
            <v>1</v>
          </cell>
        </row>
        <row r="117">
          <cell r="G117">
            <v>1</v>
          </cell>
        </row>
      </sheetData>
      <sheetData sheetId="14">
        <row r="2">
          <cell r="D2">
            <v>0</v>
          </cell>
        </row>
        <row r="3">
          <cell r="D3">
            <v>0</v>
          </cell>
        </row>
        <row r="4">
          <cell r="G4" t="str">
            <v/>
          </cell>
        </row>
        <row r="10">
          <cell r="G10">
            <v>0</v>
          </cell>
        </row>
        <row r="15">
          <cell r="D15">
            <v>0</v>
          </cell>
        </row>
        <row r="16">
          <cell r="G16">
            <v>0</v>
          </cell>
        </row>
        <row r="23">
          <cell r="G23">
            <v>0.5</v>
          </cell>
        </row>
        <row r="30">
          <cell r="G30">
            <v>0.33333333333333331</v>
          </cell>
        </row>
        <row r="37">
          <cell r="G37" t="str">
            <v/>
          </cell>
        </row>
        <row r="43">
          <cell r="G43">
            <v>1</v>
          </cell>
        </row>
        <row r="47">
          <cell r="G47">
            <v>0.33333333333333331</v>
          </cell>
        </row>
        <row r="53">
          <cell r="G53">
            <v>0.4</v>
          </cell>
        </row>
        <row r="59">
          <cell r="G59">
            <v>0.5</v>
          </cell>
        </row>
        <row r="63">
          <cell r="G63">
            <v>0.45</v>
          </cell>
        </row>
        <row r="64">
          <cell r="G64">
            <v>0</v>
          </cell>
        </row>
        <row r="69">
          <cell r="G69" t="str">
            <v/>
          </cell>
        </row>
        <row r="75">
          <cell r="G75">
            <v>0</v>
          </cell>
        </row>
        <row r="76">
          <cell r="G76">
            <v>0.75</v>
          </cell>
        </row>
        <row r="88">
          <cell r="G88">
            <v>0.75</v>
          </cell>
        </row>
        <row r="94">
          <cell r="G94">
            <v>0</v>
          </cell>
        </row>
        <row r="100">
          <cell r="G100">
            <v>1</v>
          </cell>
        </row>
        <row r="103">
          <cell r="G103">
            <v>1</v>
          </cell>
        </row>
        <row r="108">
          <cell r="G108">
            <v>0</v>
          </cell>
        </row>
        <row r="111">
          <cell r="G111">
            <v>0.5</v>
          </cell>
        </row>
        <row r="115">
          <cell r="G115">
            <v>1</v>
          </cell>
        </row>
        <row r="116">
          <cell r="G116">
            <v>1</v>
          </cell>
        </row>
        <row r="122">
          <cell r="G122">
            <v>0.5</v>
          </cell>
        </row>
        <row r="128">
          <cell r="G128">
            <v>0</v>
          </cell>
        </row>
        <row r="136">
          <cell r="G136">
            <v>1</v>
          </cell>
        </row>
        <row r="139">
          <cell r="G139">
            <v>1</v>
          </cell>
        </row>
        <row r="140">
          <cell r="G140">
            <v>1</v>
          </cell>
        </row>
        <row r="141">
          <cell r="G141">
            <v>1</v>
          </cell>
        </row>
        <row r="144">
          <cell r="G144">
            <v>0</v>
          </cell>
        </row>
        <row r="155">
          <cell r="G155">
            <v>1</v>
          </cell>
        </row>
        <row r="159">
          <cell r="G159">
            <v>0.70972222222222225</v>
          </cell>
        </row>
        <row r="160">
          <cell r="G160">
            <v>0.82874999999999999</v>
          </cell>
        </row>
        <row r="161">
          <cell r="G161">
            <v>0.56278499278499283</v>
          </cell>
        </row>
        <row r="162">
          <cell r="G162" t="e">
            <v>#REF!</v>
          </cell>
        </row>
        <row r="163">
          <cell r="G163">
            <v>0.54677777777777781</v>
          </cell>
        </row>
        <row r="164">
          <cell r="G164">
            <v>0.37724747474747478</v>
          </cell>
        </row>
      </sheetData>
      <sheetData sheetId="15">
        <row r="2">
          <cell r="D2">
            <v>0</v>
          </cell>
        </row>
        <row r="4">
          <cell r="D4">
            <v>0</v>
          </cell>
        </row>
        <row r="5">
          <cell r="D5">
            <v>0</v>
          </cell>
        </row>
        <row r="6">
          <cell r="D6">
            <v>1</v>
          </cell>
        </row>
        <row r="7">
          <cell r="D7">
            <v>1</v>
          </cell>
        </row>
        <row r="8">
          <cell r="G8" t="str">
            <v/>
          </cell>
        </row>
        <row r="14">
          <cell r="G14" t="str">
            <v/>
          </cell>
        </row>
        <row r="20">
          <cell r="D20">
            <v>0</v>
          </cell>
        </row>
        <row r="21">
          <cell r="G21">
            <v>1</v>
          </cell>
        </row>
        <row r="28">
          <cell r="G28" t="str">
            <v/>
          </cell>
        </row>
        <row r="38">
          <cell r="G38">
            <v>1</v>
          </cell>
        </row>
        <row r="44">
          <cell r="G44">
            <v>0.45</v>
          </cell>
        </row>
        <row r="45">
          <cell r="G45">
            <v>0</v>
          </cell>
        </row>
        <row r="50">
          <cell r="G50">
            <v>1</v>
          </cell>
        </row>
        <row r="58">
          <cell r="G58" t="str">
            <v/>
          </cell>
        </row>
        <row r="64">
          <cell r="G64" t="str">
            <v/>
          </cell>
        </row>
        <row r="70">
          <cell r="G70">
            <v>0</v>
          </cell>
        </row>
        <row r="76">
          <cell r="G76">
            <v>1</v>
          </cell>
        </row>
        <row r="79">
          <cell r="G79">
            <v>1</v>
          </cell>
        </row>
        <row r="82">
          <cell r="G82">
            <v>0.5</v>
          </cell>
        </row>
        <row r="91">
          <cell r="G91">
            <v>0</v>
          </cell>
        </row>
        <row r="93">
          <cell r="G93">
            <v>0.5</v>
          </cell>
        </row>
        <row r="99">
          <cell r="G99">
            <v>0</v>
          </cell>
        </row>
        <row r="107">
          <cell r="G107">
            <v>1</v>
          </cell>
        </row>
        <row r="115">
          <cell r="G115">
            <v>0</v>
          </cell>
        </row>
        <row r="118">
          <cell r="G118">
            <v>1</v>
          </cell>
        </row>
        <row r="119">
          <cell r="G119">
            <v>1</v>
          </cell>
        </row>
        <row r="123">
          <cell r="G123">
            <v>1</v>
          </cell>
        </row>
        <row r="124">
          <cell r="G124" t="e">
            <v>#REF!</v>
          </cell>
        </row>
      </sheetData>
      <sheetData sheetId="16">
        <row r="2">
          <cell r="D2">
            <v>0</v>
          </cell>
        </row>
        <row r="3">
          <cell r="D3">
            <v>1</v>
          </cell>
        </row>
        <row r="4">
          <cell r="D4">
            <v>0</v>
          </cell>
        </row>
        <row r="22">
          <cell r="D22">
            <v>0</v>
          </cell>
        </row>
        <row r="23">
          <cell r="G23">
            <v>1</v>
          </cell>
        </row>
        <row r="35">
          <cell r="D35">
            <v>0</v>
          </cell>
        </row>
        <row r="37">
          <cell r="G37">
            <v>0</v>
          </cell>
        </row>
        <row r="44">
          <cell r="G44">
            <v>1</v>
          </cell>
        </row>
        <row r="48">
          <cell r="G48">
            <v>0.75</v>
          </cell>
        </row>
        <row r="54">
          <cell r="G54">
            <v>0</v>
          </cell>
        </row>
        <row r="58">
          <cell r="G58">
            <v>0.45</v>
          </cell>
        </row>
        <row r="59">
          <cell r="G59">
            <v>1</v>
          </cell>
        </row>
        <row r="63">
          <cell r="D63">
            <v>0</v>
          </cell>
        </row>
        <row r="64">
          <cell r="G64" t="str">
            <v/>
          </cell>
        </row>
        <row r="67">
          <cell r="G67" t="str">
            <v/>
          </cell>
        </row>
        <row r="73">
          <cell r="G73" t="str">
            <v/>
          </cell>
        </row>
        <row r="79">
          <cell r="G79">
            <v>1</v>
          </cell>
        </row>
        <row r="82">
          <cell r="G82">
            <v>1</v>
          </cell>
        </row>
        <row r="85">
          <cell r="G85">
            <v>0</v>
          </cell>
        </row>
        <row r="88">
          <cell r="G88">
            <v>1</v>
          </cell>
        </row>
        <row r="96">
          <cell r="D96">
            <v>1</v>
          </cell>
        </row>
        <row r="97">
          <cell r="G97">
            <v>0.75</v>
          </cell>
        </row>
        <row r="106">
          <cell r="G106">
            <v>0</v>
          </cell>
        </row>
        <row r="111">
          <cell r="D111">
            <v>1</v>
          </cell>
        </row>
        <row r="112">
          <cell r="D112" t="e">
            <v>#REF!</v>
          </cell>
        </row>
      </sheetData>
      <sheetData sheetId="17">
        <row r="2">
          <cell r="D2">
            <v>0</v>
          </cell>
        </row>
        <row r="3">
          <cell r="D3">
            <v>0</v>
          </cell>
        </row>
        <row r="4">
          <cell r="D4">
            <v>1</v>
          </cell>
        </row>
        <row r="5">
          <cell r="D5">
            <v>0</v>
          </cell>
        </row>
        <row r="6">
          <cell r="G6">
            <v>0</v>
          </cell>
        </row>
        <row r="13">
          <cell r="G13">
            <v>1</v>
          </cell>
        </row>
        <row r="20">
          <cell r="G20">
            <v>1</v>
          </cell>
        </row>
        <row r="27">
          <cell r="G27" t="str">
            <v/>
          </cell>
        </row>
        <row r="33">
          <cell r="G33">
            <v>1</v>
          </cell>
        </row>
        <row r="37">
          <cell r="G37">
            <v>0.25</v>
          </cell>
        </row>
        <row r="43">
          <cell r="G43">
            <v>1</v>
          </cell>
        </row>
        <row r="48">
          <cell r="G48">
            <v>0.5</v>
          </cell>
        </row>
        <row r="49">
          <cell r="G49">
            <v>0</v>
          </cell>
        </row>
        <row r="54">
          <cell r="G54" t="str">
            <v/>
          </cell>
        </row>
        <row r="60">
          <cell r="G60">
            <v>0.25</v>
          </cell>
        </row>
        <row r="67">
          <cell r="G67">
            <v>1</v>
          </cell>
        </row>
        <row r="70">
          <cell r="G70">
            <v>0</v>
          </cell>
        </row>
        <row r="80">
          <cell r="G80">
            <v>0.18181818181818182</v>
          </cell>
        </row>
        <row r="93">
          <cell r="G93">
            <v>0.66666666666666663</v>
          </cell>
        </row>
        <row r="98">
          <cell r="B98" t="str">
            <v>Upland Inclusions</v>
          </cell>
        </row>
        <row r="101">
          <cell r="G101">
            <v>0</v>
          </cell>
        </row>
        <row r="104">
          <cell r="G104">
            <v>0.5</v>
          </cell>
        </row>
        <row r="108">
          <cell r="G108">
            <v>1</v>
          </cell>
        </row>
        <row r="113">
          <cell r="G113">
            <v>1</v>
          </cell>
        </row>
        <row r="118">
          <cell r="G118">
            <v>1</v>
          </cell>
        </row>
        <row r="121">
          <cell r="G121">
            <v>0</v>
          </cell>
        </row>
        <row r="125">
          <cell r="G125">
            <v>0</v>
          </cell>
        </row>
        <row r="130">
          <cell r="G130">
            <v>0.33333333333333331</v>
          </cell>
        </row>
        <row r="135">
          <cell r="G135">
            <v>0</v>
          </cell>
        </row>
        <row r="141">
          <cell r="G141">
            <v>0</v>
          </cell>
        </row>
        <row r="146">
          <cell r="G146">
            <v>0.25</v>
          </cell>
        </row>
        <row r="152">
          <cell r="G152">
            <v>0.4</v>
          </cell>
        </row>
        <row r="158">
          <cell r="G158">
            <v>0</v>
          </cell>
        </row>
        <row r="166">
          <cell r="G166">
            <v>0</v>
          </cell>
        </row>
        <row r="167">
          <cell r="G167">
            <v>0.4</v>
          </cell>
        </row>
        <row r="180">
          <cell r="G180">
            <v>0</v>
          </cell>
        </row>
        <row r="188">
          <cell r="G188">
            <v>0</v>
          </cell>
        </row>
        <row r="194">
          <cell r="G194">
            <v>0.5</v>
          </cell>
        </row>
        <row r="200">
          <cell r="G200">
            <v>0.2</v>
          </cell>
        </row>
        <row r="207">
          <cell r="G207">
            <v>1</v>
          </cell>
        </row>
        <row r="214">
          <cell r="G214" t="str">
            <v/>
          </cell>
        </row>
        <row r="220">
          <cell r="G220">
            <v>0</v>
          </cell>
        </row>
        <row r="224">
          <cell r="G224">
            <v>1</v>
          </cell>
        </row>
        <row r="228">
          <cell r="G228">
            <v>0</v>
          </cell>
        </row>
        <row r="232">
          <cell r="G232">
            <v>0</v>
          </cell>
        </row>
        <row r="237">
          <cell r="G237">
            <v>0.66666666666666663</v>
          </cell>
        </row>
        <row r="244">
          <cell r="G244">
            <v>1</v>
          </cell>
        </row>
      </sheetData>
      <sheetData sheetId="18">
        <row r="2">
          <cell r="D2">
            <v>0</v>
          </cell>
        </row>
        <row r="3">
          <cell r="D3">
            <v>1</v>
          </cell>
        </row>
        <row r="4">
          <cell r="D4">
            <v>0</v>
          </cell>
        </row>
        <row r="6">
          <cell r="G6" t="str">
            <v/>
          </cell>
        </row>
        <row r="12">
          <cell r="G12" t="str">
            <v/>
          </cell>
        </row>
        <row r="18">
          <cell r="G18">
            <v>0</v>
          </cell>
        </row>
        <row r="23">
          <cell r="D23">
            <v>0</v>
          </cell>
        </row>
        <row r="24">
          <cell r="G24">
            <v>0.3</v>
          </cell>
        </row>
        <row r="30">
          <cell r="G30">
            <v>0.75</v>
          </cell>
        </row>
        <row r="37">
          <cell r="G37">
            <v>0</v>
          </cell>
        </row>
        <row r="44">
          <cell r="G44">
            <v>0.16666666666666666</v>
          </cell>
        </row>
        <row r="50">
          <cell r="G50">
            <v>0.5</v>
          </cell>
        </row>
        <row r="54">
          <cell r="G54">
            <v>0.45</v>
          </cell>
        </row>
        <row r="55">
          <cell r="G55" t="str">
            <v/>
          </cell>
        </row>
        <row r="65">
          <cell r="G65">
            <v>1</v>
          </cell>
        </row>
        <row r="71">
          <cell r="D71">
            <v>1</v>
          </cell>
        </row>
        <row r="72">
          <cell r="G72">
            <v>1</v>
          </cell>
        </row>
        <row r="78">
          <cell r="G78">
            <v>0.75</v>
          </cell>
        </row>
        <row r="84">
          <cell r="G84">
            <v>0.3</v>
          </cell>
        </row>
        <row r="90">
          <cell r="G90">
            <v>0</v>
          </cell>
        </row>
        <row r="96">
          <cell r="G96">
            <v>1</v>
          </cell>
        </row>
        <row r="97">
          <cell r="D97">
            <v>0</v>
          </cell>
        </row>
        <row r="101">
          <cell r="G101">
            <v>1</v>
          </cell>
        </row>
        <row r="102">
          <cell r="G102">
            <v>0</v>
          </cell>
        </row>
        <row r="107">
          <cell r="G107">
            <v>0.33333333333333331</v>
          </cell>
        </row>
        <row r="112">
          <cell r="G112">
            <v>0</v>
          </cell>
        </row>
        <row r="118">
          <cell r="G118">
            <v>0</v>
          </cell>
        </row>
        <row r="123">
          <cell r="G123">
            <v>0.2</v>
          </cell>
        </row>
        <row r="130">
          <cell r="G130">
            <v>1</v>
          </cell>
        </row>
        <row r="137">
          <cell r="G137">
            <v>0.5</v>
          </cell>
        </row>
        <row r="141">
          <cell r="G141">
            <v>0</v>
          </cell>
        </row>
        <row r="145">
          <cell r="G145">
            <v>0.9</v>
          </cell>
        </row>
        <row r="152">
          <cell r="G152" t="str">
            <v/>
          </cell>
        </row>
        <row r="159">
          <cell r="D159">
            <v>0</v>
          </cell>
        </row>
        <row r="164">
          <cell r="G164" t="str">
            <v/>
          </cell>
        </row>
        <row r="170">
          <cell r="G170">
            <v>0</v>
          </cell>
        </row>
        <row r="174">
          <cell r="G174">
            <v>0.4</v>
          </cell>
        </row>
        <row r="181">
          <cell r="G181">
            <v>1</v>
          </cell>
        </row>
      </sheetData>
      <sheetData sheetId="19">
        <row r="2">
          <cell r="D2">
            <v>0</v>
          </cell>
        </row>
        <row r="3">
          <cell r="D3">
            <v>0</v>
          </cell>
        </row>
        <row r="10">
          <cell r="G10">
            <v>0</v>
          </cell>
        </row>
        <row r="16">
          <cell r="G16">
            <v>0.8</v>
          </cell>
        </row>
        <row r="23">
          <cell r="G23">
            <v>1</v>
          </cell>
        </row>
        <row r="30">
          <cell r="G30">
            <v>0.25</v>
          </cell>
        </row>
        <row r="36">
          <cell r="G36">
            <v>0.33333333333333331</v>
          </cell>
        </row>
        <row r="42">
          <cell r="G42">
            <v>0.5</v>
          </cell>
        </row>
        <row r="49">
          <cell r="G49">
            <v>0.45</v>
          </cell>
        </row>
        <row r="50">
          <cell r="G50" t="str">
            <v/>
          </cell>
        </row>
        <row r="56">
          <cell r="G56" t="str">
            <v/>
          </cell>
        </row>
        <row r="69">
          <cell r="G69">
            <v>0</v>
          </cell>
        </row>
        <row r="73">
          <cell r="D73">
            <v>1</v>
          </cell>
        </row>
        <row r="74">
          <cell r="G74">
            <v>0.75</v>
          </cell>
        </row>
        <row r="93">
          <cell r="G93">
            <v>0.5</v>
          </cell>
        </row>
        <row r="99">
          <cell r="G99">
            <v>0.25</v>
          </cell>
        </row>
        <row r="105">
          <cell r="G105">
            <v>1</v>
          </cell>
        </row>
        <row r="108">
          <cell r="G108">
            <v>1</v>
          </cell>
        </row>
        <row r="109">
          <cell r="D109">
            <v>0</v>
          </cell>
        </row>
        <row r="113">
          <cell r="G113">
            <v>1</v>
          </cell>
        </row>
        <row r="118">
          <cell r="G118">
            <v>0</v>
          </cell>
        </row>
        <row r="123">
          <cell r="G123">
            <v>0.33333333333333331</v>
          </cell>
        </row>
        <row r="128">
          <cell r="G128">
            <v>0.5</v>
          </cell>
        </row>
        <row r="134">
          <cell r="G134">
            <v>0</v>
          </cell>
        </row>
        <row r="142">
          <cell r="G142">
            <v>0.5</v>
          </cell>
        </row>
        <row r="148">
          <cell r="G148">
            <v>0.2</v>
          </cell>
        </row>
        <row r="155">
          <cell r="G155">
            <v>1</v>
          </cell>
        </row>
        <row r="162">
          <cell r="G162">
            <v>0.5</v>
          </cell>
        </row>
        <row r="163">
          <cell r="D163">
            <v>0</v>
          </cell>
        </row>
        <row r="166">
          <cell r="G166">
            <v>0.9</v>
          </cell>
        </row>
        <row r="179">
          <cell r="G179">
            <v>0.4</v>
          </cell>
        </row>
        <row r="186">
          <cell r="G186">
            <v>1</v>
          </cell>
        </row>
        <row r="192">
          <cell r="G192" t="str">
            <v/>
          </cell>
        </row>
        <row r="199">
          <cell r="G199">
            <v>0</v>
          </cell>
        </row>
        <row r="211">
          <cell r="G211">
            <v>1</v>
          </cell>
        </row>
      </sheetData>
      <sheetData sheetId="20">
        <row r="2">
          <cell r="D2">
            <v>0</v>
          </cell>
        </row>
        <row r="3">
          <cell r="G3" t="str">
            <v/>
          </cell>
        </row>
        <row r="4">
          <cell r="D4">
            <v>0</v>
          </cell>
        </row>
        <row r="9">
          <cell r="G9" t="str">
            <v/>
          </cell>
        </row>
        <row r="16">
          <cell r="D16">
            <v>0</v>
          </cell>
        </row>
        <row r="22">
          <cell r="G22">
            <v>1</v>
          </cell>
        </row>
        <row r="25">
          <cell r="G25">
            <v>0</v>
          </cell>
        </row>
        <row r="31">
          <cell r="G31">
            <v>0</v>
          </cell>
        </row>
        <row r="37">
          <cell r="G37" t="str">
            <v/>
          </cell>
        </row>
        <row r="41">
          <cell r="G41">
            <v>0.22727272727272727</v>
          </cell>
        </row>
        <row r="54">
          <cell r="G54">
            <v>1</v>
          </cell>
        </row>
        <row r="57">
          <cell r="G57">
            <v>1.6666666666666667</v>
          </cell>
        </row>
        <row r="62">
          <cell r="G62">
            <v>0</v>
          </cell>
        </row>
        <row r="66">
          <cell r="G66">
            <v>1</v>
          </cell>
        </row>
        <row r="69">
          <cell r="G69">
            <v>0</v>
          </cell>
        </row>
        <row r="72">
          <cell r="G72">
            <v>0.5</v>
          </cell>
        </row>
        <row r="77">
          <cell r="D77">
            <v>1</v>
          </cell>
        </row>
        <row r="78">
          <cell r="G78">
            <v>0</v>
          </cell>
        </row>
        <row r="79">
          <cell r="G79">
            <v>1</v>
          </cell>
        </row>
        <row r="84">
          <cell r="G84">
            <v>0</v>
          </cell>
        </row>
        <row r="89">
          <cell r="G89">
            <v>0.33333333333333331</v>
          </cell>
        </row>
        <row r="94">
          <cell r="G94">
            <v>0.4</v>
          </cell>
        </row>
        <row r="100">
          <cell r="G100">
            <v>0</v>
          </cell>
        </row>
        <row r="108">
          <cell r="G108">
            <v>0</v>
          </cell>
        </row>
        <row r="109">
          <cell r="G109">
            <v>0.4</v>
          </cell>
        </row>
        <row r="116">
          <cell r="G116">
            <v>0</v>
          </cell>
        </row>
        <row r="122">
          <cell r="G122">
            <v>0</v>
          </cell>
        </row>
        <row r="127">
          <cell r="G127">
            <v>0.25</v>
          </cell>
        </row>
        <row r="133">
          <cell r="G133">
            <v>0.25</v>
          </cell>
        </row>
        <row r="139">
          <cell r="G139">
            <v>0</v>
          </cell>
        </row>
        <row r="147">
          <cell r="G147">
            <v>0</v>
          </cell>
        </row>
        <row r="153">
          <cell r="G153">
            <v>0.5</v>
          </cell>
        </row>
        <row r="159">
          <cell r="G159">
            <v>0</v>
          </cell>
        </row>
        <row r="166">
          <cell r="G166">
            <v>1</v>
          </cell>
        </row>
        <row r="173">
          <cell r="G173">
            <v>0.83333333333333337</v>
          </cell>
        </row>
        <row r="180">
          <cell r="G180" t="str">
            <v/>
          </cell>
        </row>
        <row r="199">
          <cell r="G199">
            <v>0</v>
          </cell>
        </row>
        <row r="211">
          <cell r="G211">
            <v>1</v>
          </cell>
        </row>
      </sheetData>
      <sheetData sheetId="21">
        <row r="3">
          <cell r="G3" t="str">
            <v/>
          </cell>
        </row>
        <row r="9">
          <cell r="G9">
            <v>0.25</v>
          </cell>
        </row>
        <row r="18">
          <cell r="G18">
            <v>0</v>
          </cell>
        </row>
        <row r="22">
          <cell r="G22">
            <v>0</v>
          </cell>
        </row>
        <row r="31">
          <cell r="G31">
            <v>0</v>
          </cell>
        </row>
        <row r="36">
          <cell r="G36" t="str">
            <v/>
          </cell>
        </row>
        <row r="42">
          <cell r="G42">
            <v>0.24090909090909091</v>
          </cell>
        </row>
        <row r="61">
          <cell r="G61">
            <v>0</v>
          </cell>
        </row>
        <row r="64">
          <cell r="G64">
            <v>0.33333333333333331</v>
          </cell>
        </row>
        <row r="69">
          <cell r="G69">
            <v>0</v>
          </cell>
        </row>
        <row r="72">
          <cell r="G72">
            <v>0</v>
          </cell>
        </row>
        <row r="76">
          <cell r="G76">
            <v>0</v>
          </cell>
        </row>
        <row r="77">
          <cell r="G77">
            <v>0.5</v>
          </cell>
        </row>
        <row r="83">
          <cell r="G83">
            <v>0</v>
          </cell>
        </row>
        <row r="89">
          <cell r="G89">
            <v>0.5</v>
          </cell>
        </row>
        <row r="95">
          <cell r="G95">
            <v>0.9</v>
          </cell>
        </row>
        <row r="102">
          <cell r="G102">
            <v>1</v>
          </cell>
        </row>
        <row r="105">
          <cell r="G105">
            <v>0</v>
          </cell>
        </row>
        <row r="107">
          <cell r="G107">
            <v>0</v>
          </cell>
        </row>
        <row r="113">
          <cell r="G113">
            <v>0</v>
          </cell>
        </row>
        <row r="118">
          <cell r="G118">
            <v>0</v>
          </cell>
        </row>
        <row r="122">
          <cell r="G122">
            <v>0</v>
          </cell>
        </row>
        <row r="123">
          <cell r="G123" t="e">
            <v>#REF!</v>
          </cell>
        </row>
      </sheetData>
      <sheetData sheetId="22">
        <row r="2">
          <cell r="D2">
            <v>0</v>
          </cell>
        </row>
        <row r="3">
          <cell r="G3" t="str">
            <v/>
          </cell>
        </row>
        <row r="9">
          <cell r="G9" t="str">
            <v/>
          </cell>
        </row>
        <row r="15">
          <cell r="G15" t="str">
            <v/>
          </cell>
        </row>
        <row r="21">
          <cell r="G21" t="str">
            <v/>
          </cell>
        </row>
        <row r="28">
          <cell r="G28">
            <v>0</v>
          </cell>
        </row>
        <row r="33">
          <cell r="G33">
            <v>1</v>
          </cell>
        </row>
        <row r="37">
          <cell r="G37">
            <v>0.25</v>
          </cell>
        </row>
        <row r="43">
          <cell r="G43">
            <v>0</v>
          </cell>
        </row>
        <row r="46">
          <cell r="G46" t="str">
            <v/>
          </cell>
        </row>
        <row r="50">
          <cell r="G50">
            <v>0</v>
          </cell>
        </row>
        <row r="69">
          <cell r="G69">
            <v>0</v>
          </cell>
        </row>
        <row r="74">
          <cell r="G74" t="str">
            <v/>
          </cell>
        </row>
        <row r="80">
          <cell r="G80" t="str">
            <v/>
          </cell>
        </row>
        <row r="86">
          <cell r="G86" t="str">
            <v/>
          </cell>
        </row>
        <row r="92">
          <cell r="G92">
            <v>1</v>
          </cell>
        </row>
        <row r="95">
          <cell r="G95">
            <v>0</v>
          </cell>
        </row>
        <row r="100">
          <cell r="G100">
            <v>0.5</v>
          </cell>
        </row>
        <row r="105">
          <cell r="G105">
            <v>1</v>
          </cell>
        </row>
        <row r="109">
          <cell r="G109">
            <v>1</v>
          </cell>
        </row>
        <row r="114">
          <cell r="G114">
            <v>0.75</v>
          </cell>
        </row>
        <row r="120">
          <cell r="G120">
            <v>0</v>
          </cell>
        </row>
        <row r="125">
          <cell r="G125">
            <v>0.66666666666666663</v>
          </cell>
        </row>
        <row r="130">
          <cell r="G130">
            <v>1</v>
          </cell>
        </row>
        <row r="135">
          <cell r="G135">
            <v>0.5</v>
          </cell>
        </row>
        <row r="141">
          <cell r="G141">
            <v>0</v>
          </cell>
        </row>
        <row r="149">
          <cell r="G149">
            <v>0.2</v>
          </cell>
        </row>
        <row r="156">
          <cell r="G156">
            <v>1</v>
          </cell>
        </row>
        <row r="163">
          <cell r="G163">
            <v>0.4</v>
          </cell>
        </row>
        <row r="170">
          <cell r="D170">
            <v>0</v>
          </cell>
        </row>
        <row r="171">
          <cell r="D171">
            <v>0</v>
          </cell>
        </row>
        <row r="174">
          <cell r="G174">
            <v>0</v>
          </cell>
        </row>
        <row r="178">
          <cell r="G178">
            <v>0</v>
          </cell>
        </row>
        <row r="183">
          <cell r="G183" t="e">
            <v>#REF!</v>
          </cell>
        </row>
        <row r="188">
          <cell r="G188">
            <v>0.4</v>
          </cell>
        </row>
        <row r="195">
          <cell r="G195">
            <v>1</v>
          </cell>
        </row>
        <row r="199">
          <cell r="G199">
            <v>0.48498737373737372</v>
          </cell>
        </row>
        <row r="200">
          <cell r="G200" t="e">
            <v>#REF!</v>
          </cell>
        </row>
        <row r="201">
          <cell r="G201">
            <v>0.37724747474747478</v>
          </cell>
        </row>
      </sheetData>
      <sheetData sheetId="23">
        <row r="2">
          <cell r="G2">
            <v>0.2</v>
          </cell>
        </row>
        <row r="3">
          <cell r="G3">
            <v>0</v>
          </cell>
        </row>
        <row r="4">
          <cell r="G4">
            <v>0</v>
          </cell>
        </row>
        <row r="5">
          <cell r="G5">
            <v>0</v>
          </cell>
        </row>
        <row r="6">
          <cell r="G6">
            <v>0.6</v>
          </cell>
        </row>
        <row r="7">
          <cell r="G7">
            <v>0</v>
          </cell>
        </row>
        <row r="8">
          <cell r="G8">
            <v>0.2</v>
          </cell>
        </row>
        <row r="9">
          <cell r="G9">
            <v>0</v>
          </cell>
        </row>
        <row r="10">
          <cell r="G10">
            <v>0</v>
          </cell>
        </row>
        <row r="15">
          <cell r="G15">
            <v>0</v>
          </cell>
        </row>
        <row r="19">
          <cell r="G19">
            <v>0.25</v>
          </cell>
        </row>
        <row r="25">
          <cell r="G25">
            <v>0</v>
          </cell>
        </row>
        <row r="30">
          <cell r="G30">
            <v>0.66666666666666663</v>
          </cell>
        </row>
        <row r="35">
          <cell r="G35">
            <v>1</v>
          </cell>
        </row>
        <row r="40">
          <cell r="G40">
            <v>0.5</v>
          </cell>
        </row>
        <row r="46">
          <cell r="G46">
            <v>1</v>
          </cell>
        </row>
        <row r="61">
          <cell r="G61">
            <v>1</v>
          </cell>
        </row>
        <row r="62">
          <cell r="G62">
            <v>0</v>
          </cell>
        </row>
      </sheetData>
      <sheetData sheetId="24">
        <row r="3">
          <cell r="D3">
            <v>0</v>
          </cell>
        </row>
        <row r="4">
          <cell r="D4">
            <v>0</v>
          </cell>
        </row>
        <row r="5">
          <cell r="G5">
            <v>1</v>
          </cell>
        </row>
        <row r="12">
          <cell r="G12">
            <v>0.25</v>
          </cell>
        </row>
        <row r="18">
          <cell r="G18">
            <v>0.25</v>
          </cell>
        </row>
        <row r="29">
          <cell r="G29">
            <v>0</v>
          </cell>
        </row>
        <row r="33">
          <cell r="D33">
            <v>0</v>
          </cell>
        </row>
        <row r="34">
          <cell r="G34">
            <v>1</v>
          </cell>
        </row>
        <row r="37">
          <cell r="G37" t="str">
            <v/>
          </cell>
        </row>
        <row r="40">
          <cell r="G40" t="str">
            <v/>
          </cell>
        </row>
        <row r="48">
          <cell r="G48" t="str">
            <v/>
          </cell>
        </row>
        <row r="52">
          <cell r="G52" t="str">
            <v/>
          </cell>
        </row>
        <row r="56">
          <cell r="G56" t="str">
            <v/>
          </cell>
        </row>
        <row r="62">
          <cell r="G62">
            <v>1</v>
          </cell>
        </row>
        <row r="68">
          <cell r="G68">
            <v>0</v>
          </cell>
        </row>
        <row r="71">
          <cell r="G71">
            <v>0</v>
          </cell>
        </row>
        <row r="80">
          <cell r="G80" t="str">
            <v/>
          </cell>
        </row>
        <row r="86">
          <cell r="G86" t="str">
            <v/>
          </cell>
        </row>
        <row r="89">
          <cell r="G89" t="str">
            <v/>
          </cell>
        </row>
        <row r="105">
          <cell r="G105">
            <v>0</v>
          </cell>
        </row>
        <row r="110">
          <cell r="G110">
            <v>0</v>
          </cell>
        </row>
        <row r="115">
          <cell r="G115">
            <v>0</v>
          </cell>
        </row>
        <row r="116">
          <cell r="G116" t="str">
            <v/>
          </cell>
        </row>
        <row r="122">
          <cell r="G122" t="str">
            <v/>
          </cell>
        </row>
        <row r="127">
          <cell r="G127">
            <v>1</v>
          </cell>
        </row>
        <row r="133">
          <cell r="G133">
            <v>0.5</v>
          </cell>
        </row>
        <row r="139">
          <cell r="G139">
            <v>0.8</v>
          </cell>
        </row>
        <row r="146">
          <cell r="G146">
            <v>0</v>
          </cell>
        </row>
        <row r="153">
          <cell r="G153">
            <v>0.5</v>
          </cell>
        </row>
        <row r="157">
          <cell r="G157">
            <v>0</v>
          </cell>
        </row>
        <row r="163">
          <cell r="G163">
            <v>0.9</v>
          </cell>
        </row>
        <row r="170">
          <cell r="G170">
            <v>0</v>
          </cell>
        </row>
        <row r="174">
          <cell r="G174">
            <v>0</v>
          </cell>
        </row>
        <row r="179">
          <cell r="G179">
            <v>0.6</v>
          </cell>
        </row>
        <row r="186">
          <cell r="G186" t="b">
            <v>0</v>
          </cell>
        </row>
        <row r="187">
          <cell r="G187">
            <v>0.25</v>
          </cell>
        </row>
        <row r="188">
          <cell r="G188">
            <v>0.33333333333333331</v>
          </cell>
        </row>
        <row r="189">
          <cell r="G189">
            <v>0.55999999999999994</v>
          </cell>
        </row>
      </sheetData>
      <sheetData sheetId="25">
        <row r="3">
          <cell r="G3">
            <v>0</v>
          </cell>
        </row>
        <row r="13">
          <cell r="G13">
            <v>0.6</v>
          </cell>
        </row>
        <row r="20">
          <cell r="G20">
            <v>1</v>
          </cell>
        </row>
        <row r="23">
          <cell r="G23" t="str">
            <v/>
          </cell>
        </row>
        <row r="27">
          <cell r="G27" t="str">
            <v/>
          </cell>
        </row>
        <row r="37">
          <cell r="G37">
            <v>1</v>
          </cell>
        </row>
        <row r="46">
          <cell r="G46">
            <v>0</v>
          </cell>
        </row>
        <row r="49">
          <cell r="G49">
            <v>1</v>
          </cell>
        </row>
        <row r="55">
          <cell r="G55" t="str">
            <v/>
          </cell>
        </row>
        <row r="65">
          <cell r="G65" t="str">
            <v/>
          </cell>
        </row>
        <row r="76">
          <cell r="G76" t="e">
            <v>#REF!</v>
          </cell>
        </row>
      </sheetData>
      <sheetData sheetId="26">
        <row r="2">
          <cell r="G2">
            <v>1</v>
          </cell>
        </row>
        <row r="6">
          <cell r="G6">
            <v>-1</v>
          </cell>
        </row>
        <row r="9">
          <cell r="G9">
            <v>1</v>
          </cell>
        </row>
        <row r="16">
          <cell r="G16">
            <v>0.66666666666666663</v>
          </cell>
        </row>
        <row r="20">
          <cell r="G20" t="str">
            <v/>
          </cell>
        </row>
        <row r="22">
          <cell r="G22" t="str">
            <v/>
          </cell>
        </row>
        <row r="24">
          <cell r="G24" t="str">
            <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
      <sheetName val="FieldF"/>
      <sheetName val="FieldS"/>
      <sheetName val="FinalScores"/>
      <sheetName val="AllSites"/>
      <sheetName val="WS"/>
      <sheetName val="SR"/>
      <sheetName val="PR"/>
      <sheetName val="NR"/>
      <sheetName val="T"/>
      <sheetName val="CS"/>
      <sheetName val="OE"/>
      <sheetName val="INV"/>
      <sheetName val="FA"/>
      <sheetName val="FR"/>
      <sheetName val="AM"/>
      <sheetName val="WBF"/>
      <sheetName val="WBN"/>
      <sheetName val="SBM"/>
      <sheetName val="POL"/>
      <sheetName val="PD"/>
      <sheetName val="STR"/>
      <sheetName val="Sen"/>
      <sheetName val="CQ"/>
      <sheetName val="PU"/>
      <sheetName val="PS"/>
      <sheetName val="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06">
          <cell r="G206">
            <v>1</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Narrow">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31"/>
  <sheetViews>
    <sheetView tabSelected="1" workbookViewId="0">
      <selection activeCell="C21" sqref="C21"/>
    </sheetView>
  </sheetViews>
  <sheetFormatPr defaultColWidth="9.33203125" defaultRowHeight="12.75" x14ac:dyDescent="0.2"/>
  <cols>
    <col min="1" max="1" width="5.83203125" style="5" customWidth="1"/>
    <col min="2" max="2" width="66.83203125" style="5" customWidth="1"/>
    <col min="3" max="3" width="32.6640625" style="670" customWidth="1"/>
    <col min="4" max="4" width="43.1640625" style="630" customWidth="1"/>
    <col min="5" max="5" width="9.6640625" style="3" customWidth="1"/>
    <col min="6" max="6" width="9.33203125" style="3"/>
    <col min="7" max="7" width="9.6640625" style="3" customWidth="1"/>
    <col min="8" max="8" width="9" style="3" customWidth="1"/>
    <col min="9" max="24" width="9.33203125" style="3"/>
    <col min="25" max="16384" width="9.33203125" style="5"/>
  </cols>
  <sheetData>
    <row r="1" spans="1:24" ht="62.25" customHeight="1" thickBot="1" x14ac:dyDescent="0.25">
      <c r="A1" s="1822" t="s">
        <v>2501</v>
      </c>
      <c r="B1" s="1822"/>
      <c r="C1" s="1823"/>
    </row>
    <row r="2" spans="1:24" ht="24" customHeight="1" x14ac:dyDescent="0.2">
      <c r="A2" s="991">
        <v>1</v>
      </c>
      <c r="B2" s="988" t="s">
        <v>2293</v>
      </c>
      <c r="C2" s="979"/>
    </row>
    <row r="3" spans="1:24" ht="24" customHeight="1" x14ac:dyDescent="0.2">
      <c r="A3" s="992">
        <v>2</v>
      </c>
      <c r="B3" s="989" t="s">
        <v>2294</v>
      </c>
      <c r="C3" s="980"/>
    </row>
    <row r="4" spans="1:24" ht="30" customHeight="1" x14ac:dyDescent="0.2">
      <c r="A4" s="992">
        <v>3</v>
      </c>
      <c r="B4" s="989" t="s">
        <v>2295</v>
      </c>
      <c r="C4" s="981"/>
      <c r="D4" s="5"/>
    </row>
    <row r="5" spans="1:24" ht="30" customHeight="1" x14ac:dyDescent="0.2">
      <c r="A5" s="992">
        <v>4</v>
      </c>
      <c r="B5" s="1271"/>
      <c r="C5" s="980"/>
    </row>
    <row r="6" spans="1:24" ht="20.100000000000001" customHeight="1" x14ac:dyDescent="0.2">
      <c r="A6" s="1827">
        <v>5</v>
      </c>
      <c r="B6" s="1824" t="s">
        <v>2296</v>
      </c>
      <c r="C6" s="982"/>
    </row>
    <row r="7" spans="1:24" ht="20.100000000000001" customHeight="1" x14ac:dyDescent="0.2">
      <c r="A7" s="1828"/>
      <c r="B7" s="1825"/>
      <c r="C7" s="982"/>
    </row>
    <row r="8" spans="1:24" ht="20.100000000000001" customHeight="1" x14ac:dyDescent="0.2">
      <c r="A8" s="1828"/>
      <c r="B8" s="1825"/>
      <c r="C8" s="982"/>
    </row>
    <row r="9" spans="1:24" ht="20.100000000000001" customHeight="1" x14ac:dyDescent="0.2">
      <c r="A9" s="1828"/>
      <c r="B9" s="1825"/>
      <c r="C9" s="982"/>
    </row>
    <row r="10" spans="1:24" ht="20.100000000000001" customHeight="1" x14ac:dyDescent="0.2">
      <c r="A10" s="1829"/>
      <c r="B10" s="1826"/>
      <c r="C10" s="982"/>
    </row>
    <row r="11" spans="1:24" ht="20.100000000000001" customHeight="1" x14ac:dyDescent="0.2">
      <c r="A11" s="1827">
        <v>6</v>
      </c>
      <c r="B11" s="1824" t="s">
        <v>2297</v>
      </c>
      <c r="C11" s="983"/>
    </row>
    <row r="12" spans="1:24" ht="20.100000000000001" customHeight="1" x14ac:dyDescent="0.2">
      <c r="A12" s="1828"/>
      <c r="B12" s="1825"/>
      <c r="C12" s="983"/>
      <c r="D12" s="940"/>
      <c r="E12" s="940"/>
      <c r="F12" s="940"/>
      <c r="G12" s="940"/>
      <c r="H12" s="940"/>
      <c r="I12" s="940"/>
      <c r="J12" s="940"/>
      <c r="K12" s="940"/>
      <c r="L12" s="940"/>
      <c r="M12" s="940"/>
      <c r="N12" s="940"/>
      <c r="O12" s="940"/>
      <c r="P12" s="940"/>
      <c r="Q12" s="940"/>
      <c r="R12" s="940"/>
      <c r="S12" s="940"/>
      <c r="T12" s="940"/>
      <c r="U12" s="940"/>
      <c r="V12" s="940"/>
      <c r="W12" s="940"/>
      <c r="X12" s="940"/>
    </row>
    <row r="13" spans="1:24" ht="20.100000000000001" customHeight="1" x14ac:dyDescent="0.2">
      <c r="A13" s="1828"/>
      <c r="B13" s="1825"/>
      <c r="C13" s="983"/>
      <c r="D13" s="940"/>
      <c r="E13" s="940"/>
      <c r="F13" s="940"/>
      <c r="G13" s="940"/>
      <c r="H13" s="940"/>
      <c r="I13" s="940"/>
      <c r="J13" s="940"/>
      <c r="K13" s="940"/>
      <c r="L13" s="940"/>
      <c r="M13" s="940"/>
      <c r="N13" s="940"/>
      <c r="O13" s="940"/>
      <c r="P13" s="940"/>
      <c r="Q13" s="940"/>
      <c r="R13" s="940"/>
      <c r="S13" s="940"/>
      <c r="T13" s="940"/>
      <c r="U13" s="940"/>
      <c r="V13" s="940"/>
      <c r="W13" s="940"/>
      <c r="X13" s="940"/>
    </row>
    <row r="14" spans="1:24" ht="20.100000000000001" customHeight="1" x14ac:dyDescent="0.2">
      <c r="A14" s="1828"/>
      <c r="B14" s="1825"/>
      <c r="C14" s="983"/>
      <c r="D14" s="940"/>
      <c r="E14" s="940"/>
      <c r="F14" s="940"/>
      <c r="G14" s="940"/>
      <c r="H14" s="940"/>
      <c r="I14" s="940"/>
      <c r="J14" s="940"/>
      <c r="K14" s="940"/>
      <c r="L14" s="940"/>
      <c r="M14" s="940"/>
      <c r="N14" s="940"/>
      <c r="O14" s="940"/>
      <c r="P14" s="940"/>
      <c r="Q14" s="940"/>
      <c r="R14" s="940"/>
      <c r="S14" s="940"/>
      <c r="T14" s="940"/>
      <c r="U14" s="940"/>
      <c r="V14" s="940"/>
      <c r="W14" s="940"/>
      <c r="X14" s="940"/>
    </row>
    <row r="15" spans="1:24" ht="20.100000000000001" customHeight="1" x14ac:dyDescent="0.2">
      <c r="A15" s="1828"/>
      <c r="B15" s="1825"/>
      <c r="C15" s="983"/>
      <c r="D15" s="940"/>
      <c r="E15" s="940"/>
      <c r="F15" s="940"/>
      <c r="G15" s="940"/>
      <c r="H15" s="940"/>
      <c r="I15" s="940"/>
      <c r="J15" s="940"/>
      <c r="K15" s="940"/>
      <c r="L15" s="940"/>
      <c r="M15" s="940"/>
      <c r="N15" s="940"/>
      <c r="O15" s="940"/>
      <c r="P15" s="940"/>
      <c r="Q15" s="940"/>
      <c r="R15" s="940"/>
      <c r="S15" s="940"/>
      <c r="T15" s="940"/>
      <c r="U15" s="940"/>
      <c r="V15" s="940"/>
      <c r="W15" s="940"/>
      <c r="X15" s="940"/>
    </row>
    <row r="16" spans="1:24" ht="20.100000000000001" customHeight="1" x14ac:dyDescent="0.2">
      <c r="A16" s="1829"/>
      <c r="B16" s="1826"/>
      <c r="C16" s="983"/>
      <c r="D16" s="940"/>
      <c r="E16" s="940"/>
      <c r="F16" s="940"/>
      <c r="G16" s="940"/>
      <c r="H16" s="940"/>
      <c r="I16" s="940"/>
      <c r="J16" s="940"/>
      <c r="K16" s="940"/>
      <c r="L16" s="940"/>
      <c r="M16" s="940"/>
      <c r="N16" s="940"/>
      <c r="O16" s="940"/>
      <c r="P16" s="940"/>
      <c r="Q16" s="940"/>
      <c r="R16" s="940"/>
      <c r="S16" s="940"/>
      <c r="T16" s="940"/>
      <c r="U16" s="940"/>
      <c r="V16" s="940"/>
      <c r="W16" s="940"/>
      <c r="X16" s="940"/>
    </row>
    <row r="17" spans="1:24" s="9" customFormat="1" ht="20.100000000000001" customHeight="1" x14ac:dyDescent="0.2">
      <c r="A17" s="1827">
        <v>7</v>
      </c>
      <c r="B17" s="1824" t="s">
        <v>2298</v>
      </c>
      <c r="C17" s="984"/>
      <c r="D17" s="28"/>
      <c r="E17" s="28"/>
      <c r="F17" s="28"/>
      <c r="G17" s="28"/>
      <c r="H17" s="29"/>
      <c r="I17" s="29"/>
      <c r="J17" s="30"/>
      <c r="K17" s="7"/>
      <c r="L17" s="7"/>
      <c r="M17" s="7"/>
      <c r="N17" s="7"/>
      <c r="O17" s="7"/>
      <c r="P17" s="7"/>
      <c r="Q17" s="7"/>
      <c r="R17" s="7"/>
      <c r="S17" s="7"/>
      <c r="T17" s="7"/>
    </row>
    <row r="18" spans="1:24" s="9" customFormat="1" ht="20.100000000000001" customHeight="1" x14ac:dyDescent="0.2">
      <c r="A18" s="1828"/>
      <c r="B18" s="1825"/>
      <c r="C18" s="984"/>
      <c r="D18" s="28"/>
      <c r="E18" s="28"/>
      <c r="F18" s="28"/>
      <c r="G18" s="28"/>
      <c r="H18" s="29"/>
      <c r="I18" s="29"/>
      <c r="J18" s="30"/>
      <c r="K18" s="7"/>
      <c r="L18" s="7"/>
      <c r="M18" s="7"/>
      <c r="N18" s="7"/>
      <c r="O18" s="7"/>
      <c r="P18" s="7"/>
      <c r="Q18" s="7"/>
      <c r="R18" s="7"/>
      <c r="S18" s="7"/>
      <c r="T18" s="7"/>
    </row>
    <row r="19" spans="1:24" s="9" customFormat="1" ht="20.100000000000001" customHeight="1" x14ac:dyDescent="0.2">
      <c r="A19" s="1828"/>
      <c r="B19" s="1825"/>
      <c r="C19" s="984"/>
      <c r="D19" s="28"/>
      <c r="E19" s="28"/>
      <c r="F19" s="28"/>
      <c r="G19" s="28"/>
      <c r="H19" s="29"/>
      <c r="I19" s="29"/>
      <c r="J19" s="30"/>
      <c r="K19" s="7"/>
      <c r="L19" s="7"/>
      <c r="M19" s="7"/>
      <c r="N19" s="7"/>
      <c r="O19" s="7"/>
      <c r="P19" s="7"/>
      <c r="Q19" s="7"/>
      <c r="R19" s="7"/>
      <c r="S19" s="7"/>
      <c r="T19" s="7"/>
    </row>
    <row r="20" spans="1:24" s="9" customFormat="1" ht="20.100000000000001" customHeight="1" x14ac:dyDescent="0.2">
      <c r="A20" s="1828"/>
      <c r="B20" s="1825"/>
      <c r="C20" s="984"/>
      <c r="D20" s="28"/>
      <c r="E20" s="28"/>
      <c r="F20" s="28"/>
      <c r="G20" s="28"/>
      <c r="H20" s="29"/>
      <c r="I20" s="29"/>
      <c r="J20" s="30"/>
      <c r="K20" s="7"/>
      <c r="L20" s="7"/>
      <c r="M20" s="7"/>
      <c r="N20" s="7"/>
      <c r="O20" s="7"/>
      <c r="P20" s="7"/>
      <c r="Q20" s="7"/>
      <c r="R20" s="7"/>
      <c r="S20" s="7"/>
      <c r="T20" s="7"/>
    </row>
    <row r="21" spans="1:24" s="9" customFormat="1" ht="20.100000000000001" customHeight="1" x14ac:dyDescent="0.2">
      <c r="A21" s="1828"/>
      <c r="B21" s="1825"/>
      <c r="C21" s="984"/>
      <c r="D21" s="28"/>
      <c r="E21" s="28"/>
      <c r="F21" s="28"/>
      <c r="G21" s="28"/>
      <c r="H21" s="29"/>
      <c r="I21" s="29"/>
      <c r="J21" s="30"/>
      <c r="K21" s="7"/>
      <c r="L21" s="7"/>
      <c r="M21" s="7"/>
      <c r="N21" s="7"/>
      <c r="O21" s="7"/>
      <c r="P21" s="7"/>
      <c r="Q21" s="7"/>
      <c r="R21" s="7"/>
      <c r="S21" s="7"/>
      <c r="T21" s="7"/>
    </row>
    <row r="22" spans="1:24" s="9" customFormat="1" ht="20.100000000000001" customHeight="1" x14ac:dyDescent="0.2">
      <c r="A22" s="1829"/>
      <c r="B22" s="1826"/>
      <c r="C22" s="984"/>
      <c r="D22" s="28"/>
      <c r="E22" s="28"/>
      <c r="F22" s="28"/>
      <c r="G22" s="28"/>
      <c r="H22" s="29"/>
      <c r="I22" s="29"/>
      <c r="J22" s="30"/>
      <c r="K22" s="7"/>
      <c r="L22" s="7"/>
      <c r="M22" s="7"/>
      <c r="N22" s="7"/>
      <c r="O22" s="7"/>
      <c r="P22" s="7"/>
      <c r="Q22" s="7"/>
      <c r="R22" s="7"/>
      <c r="S22" s="7"/>
      <c r="T22" s="7"/>
    </row>
    <row r="23" spans="1:24" s="9" customFormat="1" ht="30" customHeight="1" x14ac:dyDescent="0.2">
      <c r="A23" s="992">
        <v>8</v>
      </c>
      <c r="B23" s="989" t="s">
        <v>2299</v>
      </c>
      <c r="C23" s="985"/>
      <c r="D23" s="28"/>
      <c r="E23" s="28"/>
      <c r="F23" s="28"/>
      <c r="G23" s="28"/>
      <c r="H23" s="29"/>
      <c r="I23" s="29"/>
      <c r="J23" s="30"/>
      <c r="K23" s="7"/>
      <c r="L23" s="7"/>
      <c r="M23" s="7"/>
      <c r="N23" s="7"/>
      <c r="O23" s="7"/>
      <c r="P23" s="7"/>
      <c r="Q23" s="7"/>
      <c r="R23" s="7"/>
      <c r="S23" s="7"/>
      <c r="T23" s="7"/>
    </row>
    <row r="24" spans="1:24" s="9" customFormat="1" ht="30" customHeight="1" x14ac:dyDescent="0.2">
      <c r="A24" s="992">
        <v>9</v>
      </c>
      <c r="B24" s="989" t="s">
        <v>2300</v>
      </c>
      <c r="C24" s="985"/>
      <c r="D24" s="28"/>
      <c r="E24" s="28"/>
      <c r="F24" s="28"/>
      <c r="G24" s="28"/>
      <c r="H24" s="29"/>
      <c r="I24" s="29"/>
      <c r="J24" s="29"/>
      <c r="K24" s="7"/>
      <c r="L24" s="7"/>
      <c r="M24" s="7"/>
      <c r="N24" s="7"/>
      <c r="O24" s="7"/>
      <c r="P24" s="7"/>
      <c r="Q24" s="7"/>
      <c r="R24" s="7"/>
      <c r="S24" s="7"/>
      <c r="T24" s="7"/>
    </row>
    <row r="25" spans="1:24" s="7" customFormat="1" ht="28.5" x14ac:dyDescent="0.2">
      <c r="A25" s="992">
        <v>10</v>
      </c>
      <c r="B25" s="989" t="s">
        <v>2301</v>
      </c>
      <c r="C25" s="980"/>
      <c r="D25" s="28"/>
      <c r="E25" s="28"/>
      <c r="F25" s="28"/>
      <c r="G25" s="28"/>
      <c r="H25" s="29"/>
      <c r="I25" s="29"/>
      <c r="J25" s="29"/>
    </row>
    <row r="26" spans="1:24" ht="30" customHeight="1" x14ac:dyDescent="0.2">
      <c r="A26" s="992">
        <v>11</v>
      </c>
      <c r="B26" s="989" t="s">
        <v>2302</v>
      </c>
      <c r="C26" s="980"/>
    </row>
    <row r="27" spans="1:24" ht="30" customHeight="1" x14ac:dyDescent="0.2">
      <c r="A27" s="992">
        <v>12</v>
      </c>
      <c r="B27" s="989" t="s">
        <v>2303</v>
      </c>
      <c r="C27" s="980"/>
      <c r="D27" s="940"/>
      <c r="E27" s="940"/>
      <c r="F27" s="940"/>
      <c r="G27" s="940"/>
      <c r="H27" s="940"/>
      <c r="I27" s="940"/>
      <c r="J27" s="940"/>
      <c r="K27" s="940"/>
      <c r="L27" s="940"/>
      <c r="M27" s="940"/>
      <c r="N27" s="940"/>
      <c r="O27" s="940"/>
      <c r="P27" s="940"/>
      <c r="Q27" s="940"/>
      <c r="R27" s="940"/>
      <c r="S27" s="940"/>
      <c r="T27" s="940"/>
      <c r="U27" s="940"/>
      <c r="V27" s="940"/>
      <c r="W27" s="940"/>
      <c r="X27" s="940"/>
    </row>
    <row r="28" spans="1:24" ht="42.75" x14ac:dyDescent="0.2">
      <c r="A28" s="992">
        <v>13</v>
      </c>
      <c r="B28" s="989" t="s">
        <v>2304</v>
      </c>
      <c r="C28" s="1272"/>
    </row>
    <row r="29" spans="1:24" ht="66.75" customHeight="1" thickBot="1" x14ac:dyDescent="0.25">
      <c r="A29" s="992">
        <v>14</v>
      </c>
      <c r="B29" s="990" t="s">
        <v>2305</v>
      </c>
      <c r="C29" s="986"/>
    </row>
    <row r="30" spans="1:24" ht="14.25" x14ac:dyDescent="0.2">
      <c r="A30" s="7"/>
      <c r="B30" s="987"/>
      <c r="C30" s="978"/>
    </row>
    <row r="31" spans="1:24" ht="14.25" x14ac:dyDescent="0.2">
      <c r="B31" s="606"/>
      <c r="C31" s="606"/>
    </row>
  </sheetData>
  <sheetProtection password="C4B9" sheet="1" objects="1" scenarios="1" formatCells="0" formatColumns="0" formatRows="0"/>
  <customSheetViews>
    <customSheetView guid="{B8E02330-2419-4DE6-AD01-7ACC7A5D18DD}" topLeftCell="A15">
      <selection activeCell="A33" sqref="A33"/>
      <pageMargins left="0.25" right="0.25" top="0.75" bottom="0.75" header="0.3" footer="0.3"/>
      <printOptions horizontalCentered="1"/>
      <pageSetup orientation="portrait" horizontalDpi="4294967294" verticalDpi="300" r:id="rId1"/>
      <headerFooter alignWithMargins="0">
        <oddFooter>&amp;LWESPUS beta v1.  by Dr. Paul Adamus&amp;R&amp;D</oddFooter>
      </headerFooter>
    </customSheetView>
  </customSheetViews>
  <mergeCells count="7">
    <mergeCell ref="A1:C1"/>
    <mergeCell ref="B6:B10"/>
    <mergeCell ref="B11:B16"/>
    <mergeCell ref="B17:B22"/>
    <mergeCell ref="A11:A16"/>
    <mergeCell ref="A17:A22"/>
    <mergeCell ref="A6:A10"/>
  </mergeCells>
  <phoneticPr fontId="12" type="noConversion"/>
  <printOptions horizontalCentered="1"/>
  <pageMargins left="0.25" right="0.25" top="0.75" bottom="0.75" header="0.3" footer="0.3"/>
  <pageSetup orientation="portrait" horizontalDpi="4294967294" verticalDpi="300" r:id="rId2"/>
  <headerFooter alignWithMargins="0">
    <oddFooter>&amp;LWESPUS beta v1.  by Dr. Paul Adamus&amp;R&amp;D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40"/>
  <sheetViews>
    <sheetView zoomScaleNormal="100" workbookViewId="0">
      <selection activeCell="C10" sqref="C10"/>
    </sheetView>
  </sheetViews>
  <sheetFormatPr defaultColWidth="9.33203125" defaultRowHeight="12.75" x14ac:dyDescent="0.2"/>
  <cols>
    <col min="1" max="1" width="5.83203125" style="1350" customWidth="1"/>
    <col min="2" max="2" width="18.83203125" style="25" customWidth="1"/>
    <col min="3" max="3" width="69.83203125" style="5" customWidth="1"/>
    <col min="4" max="4" width="6.83203125" style="574" customWidth="1"/>
    <col min="5" max="5" width="6.83203125" style="1594" customWidth="1"/>
    <col min="6" max="6" width="6.83203125" style="1595" customWidth="1"/>
    <col min="7" max="7" width="10.83203125" style="215" customWidth="1"/>
    <col min="8" max="8" width="13.6640625" style="118" customWidth="1"/>
    <col min="9" max="9" width="67.83203125" style="5" customWidth="1"/>
    <col min="10" max="10" width="26.1640625" style="5" customWidth="1"/>
    <col min="11" max="11" width="93.33203125" style="5" customWidth="1"/>
    <col min="12" max="12" width="78.1640625" style="5" customWidth="1"/>
    <col min="13" max="16384" width="9.33203125" style="5"/>
  </cols>
  <sheetData>
    <row r="1" spans="1:11" ht="66" customHeight="1" thickBot="1" x14ac:dyDescent="0.25">
      <c r="A1" s="1976" t="s">
        <v>504</v>
      </c>
      <c r="B1" s="1977"/>
      <c r="C1" s="60" t="s">
        <v>679</v>
      </c>
      <c r="D1" s="74" t="s">
        <v>505</v>
      </c>
      <c r="E1" s="1998"/>
      <c r="F1" s="1999"/>
      <c r="G1" s="1999"/>
      <c r="H1" s="1999"/>
      <c r="I1" s="1393" t="s">
        <v>884</v>
      </c>
    </row>
    <row r="2" spans="1:11" s="1014" customFormat="1" ht="50.25" thickBot="1" x14ac:dyDescent="0.25">
      <c r="A2" s="1087" t="s">
        <v>78</v>
      </c>
      <c r="B2" s="1009" t="s">
        <v>701</v>
      </c>
      <c r="C2" s="1010" t="s">
        <v>866</v>
      </c>
      <c r="D2" s="1008"/>
      <c r="E2" s="1011"/>
      <c r="F2" s="1012"/>
      <c r="G2" s="1013" t="s">
        <v>710</v>
      </c>
      <c r="H2" s="1009" t="s">
        <v>2029</v>
      </c>
      <c r="I2" s="1009" t="s">
        <v>255</v>
      </c>
    </row>
    <row r="3" spans="1:11" s="19" customFormat="1" ht="44.45" customHeight="1" thickBot="1" x14ac:dyDescent="0.25">
      <c r="A3" s="1194" t="str">
        <f>OF!A10</f>
        <v>OF9</v>
      </c>
      <c r="B3" s="1194" t="str">
        <f>OF!B10</f>
        <v>ElevPctileHUC8</v>
      </c>
      <c r="C3" s="1048"/>
      <c r="D3" s="1259"/>
      <c r="E3" s="321"/>
      <c r="F3" s="321"/>
      <c r="G3" s="330" t="str">
        <f>IF((ElevPctileHUC8=""),"",ElevPctileHUC8)</f>
        <v/>
      </c>
      <c r="H3" s="1194" t="s">
        <v>670</v>
      </c>
      <c r="I3" s="131" t="s">
        <v>2377</v>
      </c>
    </row>
    <row r="4" spans="1:11" s="1325" customFormat="1" ht="51.75" thickBot="1" x14ac:dyDescent="0.25">
      <c r="A4" s="317" t="str">
        <f>OF!A17</f>
        <v>OF16</v>
      </c>
      <c r="B4" s="318" t="str">
        <f>OF!C17</f>
        <v>Groundwater Discharge Area or Spring</v>
      </c>
      <c r="C4" s="1102"/>
      <c r="D4" s="414"/>
      <c r="E4" s="321"/>
      <c r="F4" s="321"/>
      <c r="G4" s="330" t="str">
        <f>IF((GWDspring=""),"",GWDspring)</f>
        <v/>
      </c>
      <c r="H4" s="331" t="s">
        <v>668</v>
      </c>
      <c r="I4" s="319" t="s">
        <v>832</v>
      </c>
    </row>
    <row r="5" spans="1:11" s="107" customFormat="1" ht="30.75" customHeight="1" thickBot="1" x14ac:dyDescent="0.25">
      <c r="A5" s="317" t="str">
        <f>OF!A24</f>
        <v>OF23</v>
      </c>
      <c r="B5" s="318" t="str">
        <f>OF!C24</f>
        <v>% of AA that is Open Water (macro scale)</v>
      </c>
      <c r="C5" s="1102"/>
      <c r="D5" s="414"/>
      <c r="E5" s="321"/>
      <c r="F5" s="321"/>
      <c r="G5" s="330" t="str">
        <f>IF((OWpct=""),"",OWpct)</f>
        <v/>
      </c>
      <c r="H5" s="331" t="s">
        <v>787</v>
      </c>
      <c r="I5" s="319" t="s">
        <v>833</v>
      </c>
      <c r="J5" s="1325"/>
      <c r="K5" s="1325"/>
    </row>
    <row r="6" spans="1:11" s="107" customFormat="1" ht="55.5" customHeight="1" thickBot="1" x14ac:dyDescent="0.25">
      <c r="A6" s="317" t="str">
        <f>OF!A28</f>
        <v>OF27</v>
      </c>
      <c r="B6" s="318" t="str">
        <f>OF!C28</f>
        <v>Climate Moisture Surplus (P-PET)</v>
      </c>
      <c r="C6" s="1102"/>
      <c r="D6" s="414"/>
      <c r="E6" s="321"/>
      <c r="F6" s="321"/>
      <c r="G6" s="330" t="str">
        <f>IF((PPET=""),"",PPET)</f>
        <v/>
      </c>
      <c r="H6" s="331" t="s">
        <v>664</v>
      </c>
      <c r="I6" s="319" t="s">
        <v>1047</v>
      </c>
      <c r="J6" s="1325"/>
      <c r="K6" s="1325"/>
    </row>
    <row r="7" spans="1:11" s="1325" customFormat="1" ht="104.25" customHeight="1" thickBot="1" x14ac:dyDescent="0.25">
      <c r="A7" s="317" t="str">
        <f>OF!A37</f>
        <v>OF36</v>
      </c>
      <c r="B7" s="318" t="str">
        <f>OF!C37</f>
        <v>Subzero Days</v>
      </c>
      <c r="C7" s="1102" t="s">
        <v>867</v>
      </c>
      <c r="D7" s="414"/>
      <c r="E7" s="321"/>
      <c r="F7" s="321"/>
      <c r="G7" s="330" t="str">
        <f>IF((Sub0Days=""),"",Sub0Days)</f>
        <v/>
      </c>
      <c r="H7" s="331" t="s">
        <v>689</v>
      </c>
      <c r="I7" s="319" t="s">
        <v>1090</v>
      </c>
    </row>
    <row r="8" spans="1:11" s="1325" customFormat="1" ht="44.25" customHeight="1" thickBot="1" x14ac:dyDescent="0.25">
      <c r="A8" s="317" t="str">
        <f>OF!A44</f>
        <v>OF43</v>
      </c>
      <c r="B8" s="318" t="str">
        <f>OF!C44</f>
        <v>AA Size</v>
      </c>
      <c r="C8" s="1102"/>
      <c r="D8" s="414"/>
      <c r="E8" s="321"/>
      <c r="F8" s="321"/>
      <c r="G8" s="330" t="str">
        <f>IF((WetArea=""),"",WetArea)</f>
        <v/>
      </c>
      <c r="H8" s="331" t="s">
        <v>655</v>
      </c>
      <c r="I8" s="319" t="s">
        <v>1339</v>
      </c>
    </row>
    <row r="9" spans="1:11" s="1325" customFormat="1" ht="39.75" customHeight="1" thickBot="1" x14ac:dyDescent="0.25">
      <c r="A9" s="317" t="str">
        <f>OF!A49</f>
        <v>OF48</v>
      </c>
      <c r="B9" s="318" t="str">
        <f>OF!C49</f>
        <v>Upland Edge Index</v>
      </c>
      <c r="C9" s="1102"/>
      <c r="D9" s="414"/>
      <c r="E9" s="321"/>
      <c r="F9" s="321"/>
      <c r="G9" s="330" t="str">
        <f>IF((WetPerim2Area=""),"",WetPerim2Area)</f>
        <v/>
      </c>
      <c r="H9" s="331" t="s">
        <v>657</v>
      </c>
      <c r="I9" s="319" t="s">
        <v>1089</v>
      </c>
      <c r="J9" s="107"/>
      <c r="K9" s="107"/>
    </row>
    <row r="10" spans="1:11" s="1325" customFormat="1" ht="81" customHeight="1" thickBot="1" x14ac:dyDescent="0.25">
      <c r="A10" s="317" t="str">
        <f>OF!A50</f>
        <v>OF49</v>
      </c>
      <c r="B10" s="318" t="str">
        <f>OF!C50</f>
        <v>Wetland Vegetated Area (in hectares)</v>
      </c>
      <c r="C10" s="1102"/>
      <c r="D10" s="414"/>
      <c r="E10" s="321"/>
      <c r="F10" s="321"/>
      <c r="G10" s="330" t="str">
        <f>IF((WetVegArea=""),"",WetVegArea)</f>
        <v/>
      </c>
      <c r="H10" s="331" t="s">
        <v>656</v>
      </c>
      <c r="I10" s="319" t="s">
        <v>1341</v>
      </c>
      <c r="K10" s="753" t="s">
        <v>1837</v>
      </c>
    </row>
    <row r="11" spans="1:11" s="1325" customFormat="1" ht="84" customHeight="1" thickBot="1" x14ac:dyDescent="0.25">
      <c r="A11" s="317" t="str">
        <f>OF!A52</f>
        <v>OF51</v>
      </c>
      <c r="B11" s="318" t="str">
        <f>OF!C52</f>
        <v>Wind Energy - Summer</v>
      </c>
      <c r="C11" s="1102"/>
      <c r="D11" s="414"/>
      <c r="E11" s="321"/>
      <c r="F11" s="321"/>
      <c r="G11" s="330" t="str">
        <f>IF((WindSumm=""),"",WindSumm)</f>
        <v/>
      </c>
      <c r="H11" s="331" t="s">
        <v>666</v>
      </c>
      <c r="I11" s="319" t="s">
        <v>2427</v>
      </c>
    </row>
    <row r="12" spans="1:11" s="1" customFormat="1" ht="42" customHeight="1" thickBot="1" x14ac:dyDescent="0.25">
      <c r="A12" s="631" t="s">
        <v>78</v>
      </c>
      <c r="B12" s="1240" t="s">
        <v>709</v>
      </c>
      <c r="C12" s="632" t="s">
        <v>708</v>
      </c>
      <c r="D12" s="633" t="s">
        <v>33</v>
      </c>
      <c r="E12" s="1241" t="s">
        <v>1131</v>
      </c>
      <c r="F12" s="635" t="s">
        <v>1130</v>
      </c>
      <c r="G12" s="636" t="s">
        <v>710</v>
      </c>
      <c r="H12" s="1242" t="s">
        <v>2028</v>
      </c>
      <c r="I12" s="638" t="s">
        <v>917</v>
      </c>
      <c r="J12" s="44"/>
    </row>
    <row r="13" spans="1:11" s="1" customFormat="1" ht="22.5" customHeight="1" thickBot="1" x14ac:dyDescent="0.25">
      <c r="A13" s="1846" t="s">
        <v>1276</v>
      </c>
      <c r="B13" s="1850" t="s">
        <v>552</v>
      </c>
      <c r="C13" s="1289" t="str">
        <f>F!C5</f>
        <v>Follow the key below and mark the ONE row that best describes MOST of the AA:</v>
      </c>
      <c r="D13" s="1304"/>
      <c r="E13" s="460"/>
      <c r="F13" s="460"/>
      <c r="G13" s="1305">
        <f>MAX(F14:F19)/MAX(E14:E19)</f>
        <v>0</v>
      </c>
      <c r="H13" s="2001" t="s">
        <v>2252</v>
      </c>
      <c r="I13" s="1994" t="s">
        <v>1797</v>
      </c>
      <c r="J13" s="44"/>
    </row>
    <row r="14" spans="1:11" s="1" customFormat="1" ht="42" customHeight="1" x14ac:dyDescent="0.2">
      <c r="A14" s="1856"/>
      <c r="B14" s="1851"/>
      <c r="C14" s="1306" t="str">
        <f>F!C6</f>
        <v>A. Moss and/or lichen cover more than 25% of the ground. Substrate is mostly undecomposed peat. Choose between A1 and A2 and mark the choice with a 1 in their adjoining column. Otherwise go to B below.</v>
      </c>
      <c r="D14" s="460"/>
      <c r="E14" s="460"/>
      <c r="F14" s="460"/>
      <c r="G14" s="460"/>
      <c r="H14" s="2002"/>
      <c r="I14" s="1995"/>
      <c r="J14" s="44"/>
    </row>
    <row r="15" spans="1:11" s="1" customFormat="1" ht="86.25" customHeight="1" x14ac:dyDescent="0.2">
      <c r="A15" s="1856"/>
      <c r="B15" s="1851"/>
      <c r="C15" s="1307"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5" s="1080">
        <f>F!D7</f>
        <v>0</v>
      </c>
      <c r="E15" s="460">
        <v>1</v>
      </c>
      <c r="F15" s="460"/>
      <c r="G15" s="460"/>
      <c r="H15" s="2002"/>
      <c r="I15" s="1995"/>
      <c r="J15" s="44"/>
    </row>
    <row r="16" spans="1:11" s="1" customFormat="1" ht="63.75" x14ac:dyDescent="0.2">
      <c r="A16" s="1856"/>
      <c r="B16" s="1851"/>
      <c r="C16" s="1307"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6" s="1080">
        <f>F!D8</f>
        <v>0</v>
      </c>
      <c r="E16" s="460">
        <v>0</v>
      </c>
      <c r="F16" s="460"/>
      <c r="G16" s="460"/>
      <c r="H16" s="2002"/>
      <c r="I16" s="1995"/>
      <c r="J16" s="44"/>
    </row>
    <row r="17" spans="1:10" s="1" customFormat="1" ht="42" customHeight="1" x14ac:dyDescent="0.2">
      <c r="A17" s="1856"/>
      <c r="B17" s="1851"/>
      <c r="C17" s="1307" t="str">
        <f>F!C9</f>
        <v>B. Moss and/or lichen cover less than 25% of the ground. Soil is mineral or decomposed organic (muck). Choose between B1 and B2 and mark the choice with a 1 in their adjoining column:</v>
      </c>
      <c r="D17" s="460"/>
      <c r="E17" s="460"/>
      <c r="F17" s="460"/>
      <c r="G17" s="460"/>
      <c r="H17" s="2002"/>
      <c r="I17" s="1995"/>
      <c r="J17" s="44"/>
    </row>
    <row r="18" spans="1:10" s="1" customFormat="1" ht="42" customHeight="1" x14ac:dyDescent="0.2">
      <c r="A18" s="1856"/>
      <c r="B18" s="1851"/>
      <c r="C18" s="1307"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8" s="1080">
        <f>F!D10</f>
        <v>0</v>
      </c>
      <c r="E18" s="460">
        <v>2</v>
      </c>
      <c r="F18" s="460"/>
      <c r="G18" s="460"/>
      <c r="H18" s="2002"/>
      <c r="I18" s="1995"/>
      <c r="J18" s="44"/>
    </row>
    <row r="19" spans="1:10" s="1" customFormat="1" ht="78" customHeight="1" thickBot="1" x14ac:dyDescent="0.25">
      <c r="A19" s="1857"/>
      <c r="B19" s="1852"/>
      <c r="C19" s="1307"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9" s="1080">
        <f>F!D11</f>
        <v>0</v>
      </c>
      <c r="E19" s="460">
        <v>3</v>
      </c>
      <c r="F19" s="460"/>
      <c r="G19" s="460"/>
      <c r="H19" s="2003"/>
      <c r="I19" s="1996"/>
      <c r="J19" s="44"/>
    </row>
    <row r="20" spans="1:10" ht="44.25" customHeight="1" thickBot="1" x14ac:dyDescent="0.25">
      <c r="A20" s="1991" t="str">
        <f>F!A18</f>
        <v>F3</v>
      </c>
      <c r="B20" s="1911" t="str">
        <f>F!B18</f>
        <v>Woody Cover by Height</v>
      </c>
      <c r="C20" s="1380" t="str">
        <f>F!C18</f>
        <v>Following EACH row below, indicate with a number code the percentage of the of the living vegetation in the AA occupied by that feature (5 if &gt;75%,   4 if 50-75%,   3 if 25-50%,   2 if 5-25%,   1 if &lt;5%, 0 if none).  If the AA has no trees or shrubs, SKIP to F8.</v>
      </c>
      <c r="D20" s="1304"/>
      <c r="E20" s="460"/>
      <c r="F20" s="461"/>
      <c r="G20" s="1305">
        <f>IF((D21&gt;3),1, IF((D24&gt;3),1, IF((D22&gt;3),0.8, IF((D23&gt;3),0.6, IF((D25&gt;3),0.2,0)))))</f>
        <v>0</v>
      </c>
      <c r="H20" s="1989" t="s">
        <v>642</v>
      </c>
      <c r="I20" s="1987" t="s">
        <v>2282</v>
      </c>
    </row>
    <row r="21" spans="1:10" ht="15" customHeight="1" x14ac:dyDescent="0.2">
      <c r="A21" s="1991"/>
      <c r="B21" s="1911"/>
      <c r="C21" s="768" t="str">
        <f>F!C19</f>
        <v>coniferous trees (including tamarack) taller than 3 m.</v>
      </c>
      <c r="D21" s="737">
        <f>F!D19</f>
        <v>0</v>
      </c>
      <c r="E21" s="1296"/>
      <c r="F21" s="1562"/>
      <c r="G21" s="1563"/>
      <c r="H21" s="1989"/>
      <c r="I21" s="1987"/>
    </row>
    <row r="22" spans="1:10" ht="15" customHeight="1" x14ac:dyDescent="0.2">
      <c r="A22" s="1991"/>
      <c r="B22" s="1911"/>
      <c r="C22" s="813" t="str">
        <f>F!C20</f>
        <v>deciduous trees taller than 3 m.</v>
      </c>
      <c r="D22" s="737">
        <f>F!D20</f>
        <v>0</v>
      </c>
      <c r="E22" s="1296"/>
      <c r="F22" s="1562"/>
      <c r="G22" s="1563"/>
      <c r="H22" s="1989"/>
      <c r="I22" s="1987"/>
    </row>
    <row r="23" spans="1:10" ht="19.5" customHeight="1" x14ac:dyDescent="0.2">
      <c r="A23" s="1991"/>
      <c r="B23" s="1911"/>
      <c r="C23" s="813" t="str">
        <f>F!C21</f>
        <v>coniferous or ericaceous shrubs or trees 1-3 m tall not directly below the canopy of trees.</v>
      </c>
      <c r="D23" s="737">
        <f>F!D21</f>
        <v>0</v>
      </c>
      <c r="E23" s="1296"/>
      <c r="F23" s="1562"/>
      <c r="G23" s="1563"/>
      <c r="H23" s="1989"/>
      <c r="I23" s="1987"/>
    </row>
    <row r="24" spans="1:10" ht="29.45" customHeight="1" x14ac:dyDescent="0.2">
      <c r="A24" s="1991"/>
      <c r="B24" s="1911"/>
      <c r="C24" s="813" t="str">
        <f>F!C22</f>
        <v>deciduous shrubs or trees 1-3 m tall not directly below the canopy of trees &gt;3 m (e.g., deciduous saplings).</v>
      </c>
      <c r="D24" s="737">
        <f>F!D22</f>
        <v>0</v>
      </c>
      <c r="E24" s="1296"/>
      <c r="F24" s="1562"/>
      <c r="G24" s="1563"/>
      <c r="H24" s="1989"/>
      <c r="I24" s="1987"/>
    </row>
    <row r="25" spans="1:10" ht="25.5" x14ac:dyDescent="0.2">
      <c r="A25" s="1991"/>
      <c r="B25" s="1911"/>
      <c r="C25" s="813" t="str">
        <f>F!C23</f>
        <v>coniferous or ericaceous shrubs or trees &lt;1 m tall not directly below the canopy of taller vegetation.</v>
      </c>
      <c r="D25" s="737">
        <f>F!D23</f>
        <v>0</v>
      </c>
      <c r="E25" s="1564"/>
      <c r="F25" s="335"/>
      <c r="G25" s="1565"/>
      <c r="H25" s="1989"/>
      <c r="I25" s="1987"/>
    </row>
    <row r="26" spans="1:10" ht="15" customHeight="1" thickBot="1" x14ac:dyDescent="0.25">
      <c r="A26" s="1993"/>
      <c r="B26" s="1978"/>
      <c r="C26" s="340" t="str">
        <f>F!C24</f>
        <v>deciduous shrubs or trees &lt;1 m tall (e.g., deciduous seedlings).</v>
      </c>
      <c r="D26" s="81">
        <f>F!D24</f>
        <v>0</v>
      </c>
      <c r="E26" s="1300"/>
      <c r="F26" s="1301"/>
      <c r="G26" s="1566"/>
      <c r="H26" s="1990"/>
      <c r="I26" s="1988"/>
    </row>
    <row r="27" spans="1:10" ht="61.15" customHeight="1" thickBot="1" x14ac:dyDescent="0.25">
      <c r="A27" s="1991" t="str">
        <f>F!A69</f>
        <v>F12</v>
      </c>
      <c r="B27" s="1911" t="str">
        <f>F!B69</f>
        <v>Ground Irregularity</v>
      </c>
      <c r="C27" s="877"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27" s="736"/>
      <c r="E27" s="460"/>
      <c r="F27" s="1567"/>
      <c r="G27" s="1305">
        <f>MAX(F28:F30)/MAX(E28:E30)</f>
        <v>0</v>
      </c>
      <c r="H27" s="1989" t="s">
        <v>600</v>
      </c>
      <c r="I27" s="1986" t="s">
        <v>532</v>
      </c>
    </row>
    <row r="28" spans="1:10" ht="25.5" x14ac:dyDescent="0.2">
      <c r="A28" s="1991"/>
      <c r="B28" s="1911"/>
      <c r="C28" s="23" t="str">
        <f>F!C70</f>
        <v xml:space="preserve">Few or none (minimal microtopography; &lt;1% of the land has such features, or entire site is always water-covered). </v>
      </c>
      <c r="D28" s="91">
        <f>F!D70</f>
        <v>0</v>
      </c>
      <c r="E28" s="1568">
        <v>0</v>
      </c>
      <c r="F28" s="1569">
        <f>D28*E28</f>
        <v>0</v>
      </c>
      <c r="G28" s="1570"/>
      <c r="H28" s="1989"/>
      <c r="I28" s="1982"/>
    </row>
    <row r="29" spans="1:10" ht="15" customHeight="1" x14ac:dyDescent="0.2">
      <c r="A29" s="1991"/>
      <c r="B29" s="1911"/>
      <c r="C29" s="362" t="str">
        <f>F!C71</f>
        <v>Intermediate.</v>
      </c>
      <c r="D29" s="91">
        <f>F!D71</f>
        <v>0</v>
      </c>
      <c r="E29" s="1568">
        <v>1</v>
      </c>
      <c r="F29" s="1569">
        <f>D29*E29</f>
        <v>0</v>
      </c>
      <c r="G29" s="1571"/>
      <c r="H29" s="1989"/>
      <c r="I29" s="1982"/>
    </row>
    <row r="30" spans="1:10" ht="15" customHeight="1" thickBot="1" x14ac:dyDescent="0.25">
      <c r="A30" s="1991"/>
      <c r="B30" s="1911"/>
      <c r="C30" s="361" t="str">
        <f>F!C72</f>
        <v>Several (extensive micro-topography).</v>
      </c>
      <c r="D30" s="370">
        <f>F!D72</f>
        <v>0</v>
      </c>
      <c r="E30" s="1564">
        <v>2</v>
      </c>
      <c r="F30" s="335">
        <f>D30*E30</f>
        <v>0</v>
      </c>
      <c r="G30" s="1572"/>
      <c r="H30" s="1990"/>
      <c r="I30" s="1983"/>
    </row>
    <row r="31" spans="1:10" ht="42" customHeight="1" thickBot="1" x14ac:dyDescent="0.25">
      <c r="A31" s="1979" t="str">
        <f>F!A77</f>
        <v>F14</v>
      </c>
      <c r="B31" s="1984" t="str">
        <f>F!B77</f>
        <v>Soil Texture</v>
      </c>
      <c r="C31" s="471" t="str">
        <f>F!C77</f>
        <v>In parts of the AA that lack persistent water, the texture of soil in the uppermost layer is mostly:  [To determine this, use a trowel to check in at least 3 widely spaced locations, and use the soil texture key in Appendix A of the Manual].</v>
      </c>
      <c r="D31" s="1573"/>
      <c r="E31" s="1292"/>
      <c r="F31" s="1293"/>
      <c r="G31" s="1574">
        <f>MAX(F32:F36)/MAX(E32:E36)</f>
        <v>0</v>
      </c>
      <c r="H31" s="2000" t="s">
        <v>601</v>
      </c>
      <c r="I31" s="1981" t="s">
        <v>1953</v>
      </c>
    </row>
    <row r="32" spans="1:10" ht="15" customHeight="1" x14ac:dyDescent="0.2">
      <c r="A32" s="1980"/>
      <c r="B32" s="1985"/>
      <c r="C32" s="326" t="str">
        <f>F!C78</f>
        <v>Loamy: includes loam, sandy loam.</v>
      </c>
      <c r="D32" s="431">
        <f>F!D78</f>
        <v>0</v>
      </c>
      <c r="E32" s="1575">
        <v>1</v>
      </c>
      <c r="F32" s="1576">
        <f>D32*E32</f>
        <v>0</v>
      </c>
      <c r="G32" s="1570"/>
      <c r="H32" s="1989"/>
      <c r="I32" s="1982"/>
    </row>
    <row r="33" spans="1:9" ht="27" customHeight="1" x14ac:dyDescent="0.2">
      <c r="A33" s="1980"/>
      <c r="B33" s="1985"/>
      <c r="C33" s="326" t="str">
        <f>F!C79</f>
        <v>Fines: includes silt, glacial flour, clay, clay loam, silty clay, silty clay loam, sandy clay, sandy clay loam.</v>
      </c>
      <c r="D33" s="431">
        <f>F!D79</f>
        <v>0</v>
      </c>
      <c r="E33" s="1575">
        <v>0</v>
      </c>
      <c r="F33" s="1576">
        <f>D33*E33</f>
        <v>0</v>
      </c>
      <c r="G33" s="1571"/>
      <c r="H33" s="1989"/>
      <c r="I33" s="1982"/>
    </row>
    <row r="34" spans="1:9" ht="15" customHeight="1" x14ac:dyDescent="0.2">
      <c r="A34" s="1980"/>
      <c r="B34" s="1985"/>
      <c r="C34" s="326" t="str">
        <f>F!C80</f>
        <v>Peat, present to 40 cm depth or greater.</v>
      </c>
      <c r="D34" s="431">
        <f>F!D80</f>
        <v>0</v>
      </c>
      <c r="E34" s="1575">
        <v>4</v>
      </c>
      <c r="F34" s="1576">
        <f>D34*E34</f>
        <v>0</v>
      </c>
      <c r="G34" s="1571"/>
      <c r="H34" s="1989"/>
      <c r="I34" s="1982"/>
    </row>
    <row r="35" spans="1:9" ht="15" customHeight="1" x14ac:dyDescent="0.2">
      <c r="A35" s="1980"/>
      <c r="B35" s="1985"/>
      <c r="C35" s="326" t="str">
        <f>F!C81</f>
        <v>Peat, but becomes mineral before reaching 40 cm depth.</v>
      </c>
      <c r="D35" s="431">
        <f>F!D81</f>
        <v>0</v>
      </c>
      <c r="E35" s="1564">
        <v>3</v>
      </c>
      <c r="F35" s="335">
        <f>D35*E35</f>
        <v>0</v>
      </c>
      <c r="G35" s="1565"/>
      <c r="H35" s="1989"/>
      <c r="I35" s="1983"/>
    </row>
    <row r="36" spans="1:9" ht="27" customHeight="1" thickBot="1" x14ac:dyDescent="0.25">
      <c r="A36" s="1980"/>
      <c r="B36" s="1985"/>
      <c r="C36" s="326" t="str">
        <f>F!C83</f>
        <v>Coarse: includes sand, loamy sand, gravel, cobble, stones, boulders, fluvents, fluvaquents, riverwash.</v>
      </c>
      <c r="D36" s="431">
        <f>F!D83</f>
        <v>0</v>
      </c>
      <c r="E36" s="1564">
        <v>2</v>
      </c>
      <c r="F36" s="335">
        <f>D36*E36</f>
        <v>0</v>
      </c>
      <c r="G36" s="1565"/>
      <c r="H36" s="1989"/>
      <c r="I36" s="1983"/>
    </row>
    <row r="37" spans="1:9" ht="30" customHeight="1" thickBot="1" x14ac:dyDescent="0.25">
      <c r="A37" s="1992" t="str">
        <f>F!A142</f>
        <v>F27</v>
      </c>
      <c r="B37" s="1867" t="str">
        <f>F!B142</f>
        <v>% Flooded Only Seasonally</v>
      </c>
      <c r="C37" s="104" t="str">
        <f>F!C142</f>
        <v>The percentage of the AA that is covered by unfrozen surface water only during the wettest time of the year is:</v>
      </c>
      <c r="D37" s="1577"/>
      <c r="E37" s="1292"/>
      <c r="F37" s="1578"/>
      <c r="G37" s="1574">
        <f>IF((AllSat1&gt;0),"",MAX(F38:F42)/MAX(E38:E42))</f>
        <v>0</v>
      </c>
      <c r="H37" s="2000" t="s">
        <v>592</v>
      </c>
      <c r="I37" s="1981" t="s">
        <v>1037</v>
      </c>
    </row>
    <row r="38" spans="1:9" ht="15" customHeight="1" x14ac:dyDescent="0.2">
      <c r="A38" s="1991"/>
      <c r="B38" s="1911"/>
      <c r="C38" s="360" t="str">
        <f>F!C143</f>
        <v xml:space="preserve">None, or &lt;0.01 hectare and &lt;1% of the AA. </v>
      </c>
      <c r="D38" s="370">
        <f>F!D143</f>
        <v>0</v>
      </c>
      <c r="E38" s="1575">
        <v>0</v>
      </c>
      <c r="F38" s="335">
        <f>D38*E38</f>
        <v>0</v>
      </c>
      <c r="G38" s="1579"/>
      <c r="H38" s="1989"/>
      <c r="I38" s="1982"/>
    </row>
    <row r="39" spans="1:9" ht="15" customHeight="1" x14ac:dyDescent="0.2">
      <c r="A39" s="1991"/>
      <c r="B39" s="1911"/>
      <c r="C39" s="361" t="str">
        <f>F!C144</f>
        <v xml:space="preserve">1-25% </v>
      </c>
      <c r="D39" s="370">
        <f>F!D144</f>
        <v>0</v>
      </c>
      <c r="E39" s="1575">
        <v>1</v>
      </c>
      <c r="F39" s="335">
        <f>D39*E39</f>
        <v>0</v>
      </c>
      <c r="G39" s="1572"/>
      <c r="H39" s="1989"/>
      <c r="I39" s="1982"/>
    </row>
    <row r="40" spans="1:9" ht="15" customHeight="1" x14ac:dyDescent="0.2">
      <c r="A40" s="1991"/>
      <c r="B40" s="1911"/>
      <c r="C40" s="361" t="str">
        <f>F!C145</f>
        <v xml:space="preserve">25-50% </v>
      </c>
      <c r="D40" s="370">
        <f>F!D145</f>
        <v>0</v>
      </c>
      <c r="E40" s="1575">
        <v>2</v>
      </c>
      <c r="F40" s="335">
        <f>D40*E40</f>
        <v>0</v>
      </c>
      <c r="G40" s="1572"/>
      <c r="H40" s="1989"/>
      <c r="I40" s="1982"/>
    </row>
    <row r="41" spans="1:9" ht="15" customHeight="1" x14ac:dyDescent="0.2">
      <c r="A41" s="1991"/>
      <c r="B41" s="1911"/>
      <c r="C41" s="361" t="str">
        <f>F!C146</f>
        <v xml:space="preserve">50-95% </v>
      </c>
      <c r="D41" s="370">
        <f>F!D146</f>
        <v>0</v>
      </c>
      <c r="E41" s="1575">
        <v>3</v>
      </c>
      <c r="F41" s="335">
        <f>D41*E41</f>
        <v>0</v>
      </c>
      <c r="G41" s="1572"/>
      <c r="H41" s="1989"/>
      <c r="I41" s="1982"/>
    </row>
    <row r="42" spans="1:9" ht="15" customHeight="1" thickBot="1" x14ac:dyDescent="0.25">
      <c r="A42" s="1993"/>
      <c r="B42" s="1978"/>
      <c r="C42" s="82" t="str">
        <f>F!C147</f>
        <v xml:space="preserve">&gt;95% </v>
      </c>
      <c r="D42" s="94">
        <f>F!D147</f>
        <v>0</v>
      </c>
      <c r="E42" s="1300">
        <v>4</v>
      </c>
      <c r="F42" s="1301">
        <f>D42*E42</f>
        <v>0</v>
      </c>
      <c r="G42" s="1566"/>
      <c r="H42" s="1990"/>
      <c r="I42" s="1997"/>
    </row>
    <row r="43" spans="1:9" ht="30" customHeight="1" thickBot="1" x14ac:dyDescent="0.25">
      <c r="A43" s="1992" t="str">
        <f>F!A148</f>
        <v>F28</v>
      </c>
      <c r="B43" s="1867" t="str">
        <f>F!B148</f>
        <v>Annual Water Fluctuation Range</v>
      </c>
      <c r="C43" s="90" t="str">
        <f>F!C148</f>
        <v>The annual fluctuation in surface water level within most of the parts of the AA that contain surface water is:</v>
      </c>
      <c r="D43" s="1577"/>
      <c r="E43" s="1292"/>
      <c r="F43" s="1578"/>
      <c r="G43" s="1574">
        <f>IF((AllSat1&gt;0=1),"",MAX(F44:F48)/MAX(E44:E48))</f>
        <v>0</v>
      </c>
      <c r="H43" s="2000" t="s">
        <v>593</v>
      </c>
      <c r="I43" s="1981" t="s">
        <v>1132</v>
      </c>
    </row>
    <row r="44" spans="1:9" ht="15" customHeight="1" x14ac:dyDescent="0.2">
      <c r="A44" s="1991"/>
      <c r="B44" s="1911"/>
      <c r="C44" s="23" t="str">
        <f>F!C149</f>
        <v xml:space="preserve">&lt;10 cm change (stable or nearly so) </v>
      </c>
      <c r="D44" s="354">
        <f>F!D149</f>
        <v>0</v>
      </c>
      <c r="E44" s="1575">
        <v>1</v>
      </c>
      <c r="F44" s="335">
        <f>D44*E44</f>
        <v>0</v>
      </c>
      <c r="G44" s="1579"/>
      <c r="H44" s="1989"/>
      <c r="I44" s="1982"/>
    </row>
    <row r="45" spans="1:9" ht="15" customHeight="1" x14ac:dyDescent="0.2">
      <c r="A45" s="1991"/>
      <c r="B45" s="1911"/>
      <c r="C45" s="362" t="str">
        <f>F!C150</f>
        <v>10 cm - 50 cm change</v>
      </c>
      <c r="D45" s="354">
        <f>F!D150</f>
        <v>0</v>
      </c>
      <c r="E45" s="1575">
        <v>2</v>
      </c>
      <c r="F45" s="335">
        <f>D45*E45</f>
        <v>0</v>
      </c>
      <c r="G45" s="1572"/>
      <c r="H45" s="1989"/>
      <c r="I45" s="1982"/>
    </row>
    <row r="46" spans="1:9" ht="15" customHeight="1" x14ac:dyDescent="0.2">
      <c r="A46" s="1991"/>
      <c r="B46" s="1911"/>
      <c r="C46" s="362" t="str">
        <f>F!C151</f>
        <v>0.5 - 1 m change</v>
      </c>
      <c r="D46" s="354">
        <f>F!D151</f>
        <v>0</v>
      </c>
      <c r="E46" s="1296">
        <v>3</v>
      </c>
      <c r="F46" s="335">
        <f>D46*E46</f>
        <v>0</v>
      </c>
      <c r="G46" s="1565"/>
      <c r="H46" s="1989"/>
      <c r="I46" s="1982"/>
    </row>
    <row r="47" spans="1:9" ht="15" customHeight="1" x14ac:dyDescent="0.2">
      <c r="A47" s="1991"/>
      <c r="B47" s="1911"/>
      <c r="C47" s="362" t="str">
        <f>F!C152</f>
        <v>1-2 m change</v>
      </c>
      <c r="D47" s="354">
        <f>F!D152</f>
        <v>0</v>
      </c>
      <c r="E47" s="1575">
        <v>4</v>
      </c>
      <c r="F47" s="335">
        <f>D47*E47</f>
        <v>0</v>
      </c>
      <c r="G47" s="1572"/>
      <c r="H47" s="1989"/>
      <c r="I47" s="1982"/>
    </row>
    <row r="48" spans="1:9" ht="15" customHeight="1" thickBot="1" x14ac:dyDescent="0.25">
      <c r="A48" s="1993"/>
      <c r="B48" s="1978"/>
      <c r="C48" s="82" t="str">
        <f>F!C153</f>
        <v>&gt;2 m change</v>
      </c>
      <c r="D48" s="94">
        <f>F!D153</f>
        <v>0</v>
      </c>
      <c r="E48" s="1300">
        <v>5</v>
      </c>
      <c r="F48" s="1301">
        <f>D48*E48</f>
        <v>0</v>
      </c>
      <c r="G48" s="1566"/>
      <c r="H48" s="1990"/>
      <c r="I48" s="1997"/>
    </row>
    <row r="49" spans="1:9" ht="45" customHeight="1" thickBot="1" x14ac:dyDescent="0.25">
      <c r="A49" s="1984" t="str">
        <f>F!A165</f>
        <v>F31</v>
      </c>
      <c r="B49" s="1867" t="str">
        <f>F!B165</f>
        <v xml:space="preserve">% of Water Ponded vs. Flowing </v>
      </c>
      <c r="C49" s="90" t="str">
        <f>F!C165</f>
        <v>The percentage of the AA's surface water that is ponded (stagnant, or flows so slowly that fine sediment is not held in suspension) during most of the time it is present during the growing season, and which is either open or shaded by emergent vegetation, is:</v>
      </c>
      <c r="D49" s="372"/>
      <c r="E49" s="1292"/>
      <c r="F49" s="1580"/>
      <c r="G49" s="1574">
        <f>IF((AllSat1&gt;0=1),"",IF((SmallAA=1),"",MAX(F50:F55)/MAX(E50:E55)))</f>
        <v>0</v>
      </c>
      <c r="H49" s="2000" t="s">
        <v>594</v>
      </c>
      <c r="I49" s="1981" t="s">
        <v>1038</v>
      </c>
    </row>
    <row r="50" spans="1:9" ht="27" customHeight="1" x14ac:dyDescent="0.2">
      <c r="A50" s="1911"/>
      <c r="B50" s="1911"/>
      <c r="C50" s="23" t="str">
        <f>F!C166</f>
        <v>None, or &lt;0.01 hectare and &lt;1% of the AA. Nearly all water is flowing.  Enter "1" and SKIP to F43 (pH measurement).</v>
      </c>
      <c r="D50" s="354">
        <f>F!D166</f>
        <v>0</v>
      </c>
      <c r="E50" s="1575">
        <v>0</v>
      </c>
      <c r="F50" s="335">
        <f t="shared" ref="F50:F62" si="0">D50*E50</f>
        <v>0</v>
      </c>
      <c r="G50" s="1572"/>
      <c r="H50" s="1989"/>
      <c r="I50" s="1982"/>
    </row>
    <row r="51" spans="1:9" ht="15" customHeight="1" x14ac:dyDescent="0.2">
      <c r="A51" s="1911"/>
      <c r="B51" s="1911"/>
      <c r="C51" s="362" t="str">
        <f>F!C167</f>
        <v>1-5% of the water.  The rest is flowing.</v>
      </c>
      <c r="D51" s="354">
        <f>F!D167</f>
        <v>0</v>
      </c>
      <c r="E51" s="1575">
        <v>2</v>
      </c>
      <c r="F51" s="335">
        <f t="shared" si="0"/>
        <v>0</v>
      </c>
      <c r="G51" s="1572"/>
      <c r="H51" s="1989"/>
      <c r="I51" s="1982"/>
    </row>
    <row r="52" spans="1:9" ht="15" customHeight="1" x14ac:dyDescent="0.2">
      <c r="A52" s="1911"/>
      <c r="B52" s="1911"/>
      <c r="C52" s="362" t="str">
        <f>F!C168</f>
        <v>5-30% of the water.</v>
      </c>
      <c r="D52" s="354">
        <f>F!D168</f>
        <v>0</v>
      </c>
      <c r="E52" s="1575">
        <v>1</v>
      </c>
      <c r="F52" s="335">
        <f t="shared" si="0"/>
        <v>0</v>
      </c>
      <c r="G52" s="1572"/>
      <c r="H52" s="1989"/>
      <c r="I52" s="1982"/>
    </row>
    <row r="53" spans="1:9" ht="15" customHeight="1" x14ac:dyDescent="0.2">
      <c r="A53" s="1911"/>
      <c r="B53" s="1911"/>
      <c r="C53" s="362" t="str">
        <f>F!C169</f>
        <v>30-70% of the water.</v>
      </c>
      <c r="D53" s="354">
        <f>F!D169</f>
        <v>0</v>
      </c>
      <c r="E53" s="1575">
        <v>3</v>
      </c>
      <c r="F53" s="335">
        <f t="shared" si="0"/>
        <v>0</v>
      </c>
      <c r="G53" s="1572"/>
      <c r="H53" s="1989"/>
      <c r="I53" s="1982"/>
    </row>
    <row r="54" spans="1:9" ht="15" customHeight="1" x14ac:dyDescent="0.2">
      <c r="A54" s="1911"/>
      <c r="B54" s="1911"/>
      <c r="C54" s="362" t="str">
        <f>F!C170</f>
        <v>70-99% of the water.</v>
      </c>
      <c r="D54" s="354">
        <f>F!D170</f>
        <v>0</v>
      </c>
      <c r="E54" s="1575">
        <v>4</v>
      </c>
      <c r="F54" s="335">
        <f t="shared" si="0"/>
        <v>0</v>
      </c>
      <c r="G54" s="1572"/>
      <c r="H54" s="1989"/>
      <c r="I54" s="1982"/>
    </row>
    <row r="55" spans="1:9" ht="15" customHeight="1" thickBot="1" x14ac:dyDescent="0.25">
      <c r="A55" s="1911"/>
      <c r="B55" s="1911"/>
      <c r="C55" s="362" t="str">
        <f>F!C171</f>
        <v>&gt;99% of the water.  Little or no visibly flowing water within the AA.</v>
      </c>
      <c r="D55" s="354">
        <f>F!D171</f>
        <v>0</v>
      </c>
      <c r="E55" s="1575">
        <v>5</v>
      </c>
      <c r="F55" s="335">
        <f t="shared" si="0"/>
        <v>0</v>
      </c>
      <c r="G55" s="1572"/>
      <c r="H55" s="1989"/>
      <c r="I55" s="1982"/>
    </row>
    <row r="56" spans="1:9" ht="39" thickBot="1" x14ac:dyDescent="0.25">
      <c r="A56" s="1992" t="str">
        <f>F!A173</f>
        <v>F33</v>
      </c>
      <c r="B56" s="1867" t="str">
        <f>F!B173</f>
        <v xml:space="preserve">% of Ponded Water That Is Open </v>
      </c>
      <c r="C56" s="43" t="str">
        <f>F!C173</f>
        <v>In ducks-eye aerial view, the percentage of the ponded water that is open (lacking emergent vegetation during most of the growing season, and unhidden by a forest or shrub canopy) is:</v>
      </c>
      <c r="D56" s="1573"/>
      <c r="E56" s="1292"/>
      <c r="F56" s="1581"/>
      <c r="G56" s="1574">
        <f>IF((AllSat1&gt;0=1),"",IF((SmallAA=1),"",MAX(F57:F62)/MAX(E57:E62)))</f>
        <v>0</v>
      </c>
      <c r="H56" s="2000" t="s">
        <v>641</v>
      </c>
      <c r="I56" s="2013" t="s">
        <v>1342</v>
      </c>
    </row>
    <row r="57" spans="1:9" ht="27" customHeight="1" x14ac:dyDescent="0.2">
      <c r="A57" s="1991"/>
      <c r="B57" s="1911"/>
      <c r="C57" s="552" t="str">
        <f>F!C174</f>
        <v>None, or &lt;1% of the AA and largest pool occupies &lt;0.01 hectares.  Enter "1" and SKIP to F41 (Floating Algae &amp; Duckweed).</v>
      </c>
      <c r="D57" s="354">
        <f>F!D174</f>
        <v>0</v>
      </c>
      <c r="E57" s="1575">
        <v>0</v>
      </c>
      <c r="F57" s="1576">
        <f t="shared" si="0"/>
        <v>0</v>
      </c>
      <c r="G57" s="1571"/>
      <c r="H57" s="1989"/>
      <c r="I57" s="2014"/>
    </row>
    <row r="58" spans="1:9" ht="15" customHeight="1" x14ac:dyDescent="0.2">
      <c r="A58" s="1991"/>
      <c r="B58" s="1911"/>
      <c r="C58" s="576" t="str">
        <f>F!C175</f>
        <v>1-5% of the ponded water.  Enter "1" and SKIP to F41.</v>
      </c>
      <c r="D58" s="354">
        <f>F!D175</f>
        <v>0</v>
      </c>
      <c r="E58" s="1575">
        <v>1</v>
      </c>
      <c r="F58" s="1576">
        <f t="shared" si="0"/>
        <v>0</v>
      </c>
      <c r="G58" s="1571"/>
      <c r="H58" s="1989"/>
      <c r="I58" s="2014"/>
    </row>
    <row r="59" spans="1:9" ht="15" customHeight="1" x14ac:dyDescent="0.2">
      <c r="A59" s="1991"/>
      <c r="B59" s="1911"/>
      <c r="C59" s="576" t="str">
        <f>F!C176</f>
        <v>5-30% of the ponded water.</v>
      </c>
      <c r="D59" s="354">
        <f>F!D176</f>
        <v>0</v>
      </c>
      <c r="E59" s="1575">
        <v>2</v>
      </c>
      <c r="F59" s="1576">
        <f t="shared" si="0"/>
        <v>0</v>
      </c>
      <c r="G59" s="1571"/>
      <c r="H59" s="1989"/>
      <c r="I59" s="2014"/>
    </row>
    <row r="60" spans="1:9" ht="15" customHeight="1" x14ac:dyDescent="0.2">
      <c r="A60" s="1991"/>
      <c r="B60" s="1911"/>
      <c r="C60" s="576" t="str">
        <f>F!C177</f>
        <v>30-70% of the ponded water.</v>
      </c>
      <c r="D60" s="354">
        <f>F!D177</f>
        <v>0</v>
      </c>
      <c r="E60" s="1575">
        <v>3</v>
      </c>
      <c r="F60" s="1576">
        <f t="shared" si="0"/>
        <v>0</v>
      </c>
      <c r="G60" s="1571"/>
      <c r="H60" s="1989"/>
      <c r="I60" s="2014"/>
    </row>
    <row r="61" spans="1:9" ht="15" customHeight="1" x14ac:dyDescent="0.2">
      <c r="A61" s="1991"/>
      <c r="B61" s="1911"/>
      <c r="C61" s="576" t="str">
        <f>F!C178</f>
        <v>70-99% of the ponded water.</v>
      </c>
      <c r="D61" s="354">
        <f>F!D178</f>
        <v>0</v>
      </c>
      <c r="E61" s="1575">
        <v>4</v>
      </c>
      <c r="F61" s="1576">
        <f t="shared" si="0"/>
        <v>0</v>
      </c>
      <c r="G61" s="1571"/>
      <c r="H61" s="1989"/>
      <c r="I61" s="2014"/>
    </row>
    <row r="62" spans="1:9" ht="15" customHeight="1" thickBot="1" x14ac:dyDescent="0.25">
      <c r="A62" s="1993"/>
      <c r="B62" s="1978"/>
      <c r="C62" s="445" t="str">
        <f>F!C179</f>
        <v xml:space="preserve">100% of the ponded water. </v>
      </c>
      <c r="D62" s="94">
        <f>F!D179</f>
        <v>0</v>
      </c>
      <c r="E62" s="1300">
        <v>5</v>
      </c>
      <c r="F62" s="1301">
        <f t="shared" si="0"/>
        <v>0</v>
      </c>
      <c r="G62" s="1566"/>
      <c r="H62" s="1990"/>
      <c r="I62" s="2015"/>
    </row>
    <row r="63" spans="1:9" ht="39" thickBot="1" x14ac:dyDescent="0.25">
      <c r="A63" s="1992" t="str">
        <f>F!A180</f>
        <v>F34</v>
      </c>
      <c r="B63" s="1867" t="str">
        <f>F!B180</f>
        <v>Predominant Width of Vegetated Zone within Wetland</v>
      </c>
      <c r="C63" s="77" t="str">
        <f>F!C180</f>
        <v>At the time during the growing season when the AA's water level is lowest, the average width of vegetated area in the AA that separates adjoining uplands from open water within the AA is:</v>
      </c>
      <c r="D63" s="1342"/>
      <c r="E63" s="1582"/>
      <c r="F63" s="1580"/>
      <c r="G63" s="1574">
        <f>IF((AllSat1&gt;0=1),"",IF((SmallAA=1),"",MAX(F64:F69)/MAX(E64:E69)))</f>
        <v>0</v>
      </c>
      <c r="H63" s="2000" t="s">
        <v>831</v>
      </c>
      <c r="I63" s="2013" t="s">
        <v>1083</v>
      </c>
    </row>
    <row r="64" spans="1:9" ht="15" customHeight="1" x14ac:dyDescent="0.2">
      <c r="A64" s="1991"/>
      <c r="B64" s="1911"/>
      <c r="C64" s="327" t="str">
        <f>F!C181</f>
        <v>&lt;1 m</v>
      </c>
      <c r="D64" s="359">
        <f>F!D181</f>
        <v>0</v>
      </c>
      <c r="E64" s="1575">
        <v>0</v>
      </c>
      <c r="F64" s="335">
        <f t="shared" ref="F64:F69" si="1">D64*E64</f>
        <v>0</v>
      </c>
      <c r="G64" s="1571"/>
      <c r="H64" s="1989"/>
      <c r="I64" s="2014"/>
    </row>
    <row r="65" spans="1:9" ht="15" customHeight="1" x14ac:dyDescent="0.2">
      <c r="A65" s="1991"/>
      <c r="B65" s="1911"/>
      <c r="C65" s="342" t="str">
        <f>F!C182</f>
        <v>1 - 9 m</v>
      </c>
      <c r="D65" s="359">
        <f>F!D182</f>
        <v>0</v>
      </c>
      <c r="E65" s="1575">
        <v>1</v>
      </c>
      <c r="F65" s="335">
        <f t="shared" si="1"/>
        <v>0</v>
      </c>
      <c r="G65" s="1571"/>
      <c r="H65" s="1989"/>
      <c r="I65" s="2014"/>
    </row>
    <row r="66" spans="1:9" ht="15" customHeight="1" x14ac:dyDescent="0.2">
      <c r="A66" s="1991"/>
      <c r="B66" s="1911"/>
      <c r="C66" s="342" t="str">
        <f>F!C183</f>
        <v>10 - 29 m</v>
      </c>
      <c r="D66" s="359">
        <f>F!D183</f>
        <v>0</v>
      </c>
      <c r="E66" s="1575">
        <v>2</v>
      </c>
      <c r="F66" s="335">
        <f t="shared" si="1"/>
        <v>0</v>
      </c>
      <c r="G66" s="1571"/>
      <c r="H66" s="1989"/>
      <c r="I66" s="2014"/>
    </row>
    <row r="67" spans="1:9" ht="15" customHeight="1" x14ac:dyDescent="0.2">
      <c r="A67" s="1991"/>
      <c r="B67" s="1911"/>
      <c r="C67" s="342" t="str">
        <f>F!C184</f>
        <v>30 - 49 m</v>
      </c>
      <c r="D67" s="359">
        <f>F!D184</f>
        <v>0</v>
      </c>
      <c r="E67" s="1575">
        <v>3</v>
      </c>
      <c r="F67" s="335">
        <f t="shared" si="1"/>
        <v>0</v>
      </c>
      <c r="G67" s="1571"/>
      <c r="H67" s="1989"/>
      <c r="I67" s="2014"/>
    </row>
    <row r="68" spans="1:9" ht="15" customHeight="1" x14ac:dyDescent="0.2">
      <c r="A68" s="1991"/>
      <c r="B68" s="1911"/>
      <c r="C68" s="342" t="str">
        <f>F!C185</f>
        <v>50 - 100 m</v>
      </c>
      <c r="D68" s="359">
        <f>F!D185</f>
        <v>0</v>
      </c>
      <c r="E68" s="1575">
        <v>4</v>
      </c>
      <c r="F68" s="335">
        <f t="shared" si="1"/>
        <v>0</v>
      </c>
      <c r="G68" s="1571"/>
      <c r="H68" s="1989"/>
      <c r="I68" s="2014"/>
    </row>
    <row r="69" spans="1:9" ht="15" customHeight="1" thickBot="1" x14ac:dyDescent="0.25">
      <c r="A69" s="1993"/>
      <c r="B69" s="1978"/>
      <c r="C69" s="340" t="str">
        <f>F!C186</f>
        <v>&gt; 100 m</v>
      </c>
      <c r="D69" s="81">
        <f>F!D186</f>
        <v>0</v>
      </c>
      <c r="E69" s="1300">
        <v>5</v>
      </c>
      <c r="F69" s="1301">
        <f t="shared" si="1"/>
        <v>0</v>
      </c>
      <c r="G69" s="1566"/>
      <c r="H69" s="1990"/>
      <c r="I69" s="2015"/>
    </row>
    <row r="70" spans="1:9" ht="29.25" customHeight="1" thickBot="1" x14ac:dyDescent="0.25">
      <c r="A70" s="1992" t="str">
        <f>F!A227</f>
        <v>F47</v>
      </c>
      <c r="B70" s="1867" t="str">
        <f>F!B227</f>
        <v>Through Flow Pattern</v>
      </c>
      <c r="C70" s="1583" t="str">
        <f>F!C227</f>
        <v>During its travel through the AA at the time of peak annual flow, water arriving in channels: [select only the ONE encountered by most of the incoming water].</v>
      </c>
      <c r="D70" s="1577"/>
      <c r="E70" s="1292"/>
      <c r="F70" s="1293"/>
      <c r="G70" s="1574" t="str">
        <f>IF((AllSat1&gt;0),"", IF((Inflows=0),"",MAX(F71:F75)/MAX(E71:E75)))</f>
        <v/>
      </c>
      <c r="H70" s="2000" t="s">
        <v>595</v>
      </c>
      <c r="I70" s="1981" t="s">
        <v>1039</v>
      </c>
    </row>
    <row r="71" spans="1:9" ht="42" customHeight="1" x14ac:dyDescent="0.2">
      <c r="A71" s="1991"/>
      <c r="B71" s="1911"/>
      <c r="C71" s="341" t="str">
        <f>F!C228</f>
        <v>Does not bump into plant stems as it travels through the AA.  Nearly all the water continues to travel in unvegetated (often incised) channels that have minimal contact with wetland vegetation, or through a zone of open water such as an instream pond or lake.</v>
      </c>
      <c r="D71" s="468">
        <f>F!D228</f>
        <v>0</v>
      </c>
      <c r="E71" s="1575">
        <v>0</v>
      </c>
      <c r="F71" s="1576">
        <f>D71*E71</f>
        <v>0</v>
      </c>
      <c r="G71" s="1570"/>
      <c r="H71" s="1989"/>
      <c r="I71" s="1982"/>
    </row>
    <row r="72" spans="1:9" ht="19.5" customHeight="1" x14ac:dyDescent="0.2">
      <c r="A72" s="1991"/>
      <c r="B72" s="1911"/>
      <c r="C72" s="328" t="str">
        <f>F!C229</f>
        <v>bumps into herbaceous vegetation but mostly remains in fairly straight channels.</v>
      </c>
      <c r="D72" s="468">
        <f>F!D229</f>
        <v>0</v>
      </c>
      <c r="E72" s="1575">
        <v>3</v>
      </c>
      <c r="F72" s="1576">
        <f>D72*E72</f>
        <v>0</v>
      </c>
      <c r="G72" s="1571"/>
      <c r="H72" s="1989"/>
      <c r="I72" s="1982"/>
    </row>
    <row r="73" spans="1:9" ht="27" customHeight="1" x14ac:dyDescent="0.2">
      <c r="A73" s="1991"/>
      <c r="B73" s="1911"/>
      <c r="C73" s="328" t="str">
        <f>F!C230</f>
        <v>bumps into herbaceous vegetation and mostly spreads throughout, or is in widely  meandering, multi-branched, or braided channels.</v>
      </c>
      <c r="D73" s="468">
        <f>F!D230</f>
        <v>0</v>
      </c>
      <c r="E73" s="1575">
        <v>4</v>
      </c>
      <c r="F73" s="1576">
        <f>D73*E73</f>
        <v>0</v>
      </c>
      <c r="G73" s="1571"/>
      <c r="H73" s="1989"/>
      <c r="I73" s="1982"/>
    </row>
    <row r="74" spans="1:9" ht="15" customHeight="1" x14ac:dyDescent="0.2">
      <c r="A74" s="1991"/>
      <c r="B74" s="1911"/>
      <c r="C74" s="328" t="str">
        <f>F!C231</f>
        <v>bumps into tree trunks and/or shrub stems but mostly remains in fairly straight channels.</v>
      </c>
      <c r="D74" s="468">
        <f>F!D231</f>
        <v>0</v>
      </c>
      <c r="E74" s="1575">
        <v>6</v>
      </c>
      <c r="F74" s="1576">
        <f>D74*E74</f>
        <v>0</v>
      </c>
      <c r="G74" s="1571"/>
      <c r="H74" s="1989"/>
      <c r="I74" s="1982"/>
    </row>
    <row r="75" spans="1:9" ht="27" customHeight="1" thickBot="1" x14ac:dyDescent="0.25">
      <c r="A75" s="1993"/>
      <c r="B75" s="1978"/>
      <c r="C75" s="1027" t="str">
        <f>F!C232</f>
        <v>bumps into tree trunks and/or shrub stems and follows a fairly indirect path from entrance to exit (meandering, multi-branched, or braided).</v>
      </c>
      <c r="D75" s="81">
        <f>F!D232</f>
        <v>0</v>
      </c>
      <c r="E75" s="1300">
        <v>8</v>
      </c>
      <c r="F75" s="1301">
        <f>D75*E75</f>
        <v>0</v>
      </c>
      <c r="G75" s="1566"/>
      <c r="H75" s="1990"/>
      <c r="I75" s="1997"/>
    </row>
    <row r="76" spans="1:9" ht="77.25" thickBot="1" x14ac:dyDescent="0.25">
      <c r="A76" s="1992" t="str">
        <f>F!A233</f>
        <v>F48</v>
      </c>
      <c r="B76" s="1867" t="str">
        <f>F!B233</f>
        <v>Channel Connection &amp; Outflow Duration</v>
      </c>
      <c r="C76" s="104"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76" s="1577"/>
      <c r="E76" s="1292"/>
      <c r="F76" s="1578"/>
      <c r="G76" s="1574">
        <f>IF((AllSat1&gt;0),"", MAX(F77:F81)/MAX(E77:E81))</f>
        <v>0</v>
      </c>
      <c r="H76" s="2000" t="s">
        <v>596</v>
      </c>
      <c r="I76" s="1981" t="s">
        <v>1040</v>
      </c>
    </row>
    <row r="77" spans="1:9" ht="15" customHeight="1" x14ac:dyDescent="0.2">
      <c r="A77" s="1991"/>
      <c r="B77" s="1911"/>
      <c r="C77" s="341" t="str">
        <f>F!C234</f>
        <v>persistent (&gt;9 months/year, including times when frozen).</v>
      </c>
      <c r="D77" s="359">
        <f>F!D234</f>
        <v>0</v>
      </c>
      <c r="E77" s="1575">
        <v>1</v>
      </c>
      <c r="F77" s="335">
        <f>D77*E77</f>
        <v>0</v>
      </c>
      <c r="G77" s="1579"/>
      <c r="H77" s="1989"/>
      <c r="I77" s="1982"/>
    </row>
    <row r="78" spans="1:9" ht="25.5" x14ac:dyDescent="0.2">
      <c r="A78" s="1991"/>
      <c r="B78" s="1911"/>
      <c r="C78" s="328" t="str">
        <f>F!C235</f>
        <v>seasonal (14 days to 9 months/year, not necessarily consecutive, including times when frozen).</v>
      </c>
      <c r="D78" s="359">
        <f>F!D235</f>
        <v>0</v>
      </c>
      <c r="E78" s="1575">
        <v>2</v>
      </c>
      <c r="F78" s="335">
        <f>D78*E78</f>
        <v>0</v>
      </c>
      <c r="G78" s="1572"/>
      <c r="H78" s="1989"/>
      <c r="I78" s="1982"/>
    </row>
    <row r="79" spans="1:9" ht="15.75" customHeight="1" x14ac:dyDescent="0.2">
      <c r="A79" s="1991"/>
      <c r="B79" s="1911"/>
      <c r="C79" s="328" t="str">
        <f>F!C236</f>
        <v>temporary (&lt;14 days, not necessarily consecutive, but must be unfrozen).</v>
      </c>
      <c r="D79" s="356">
        <f>F!D236</f>
        <v>0</v>
      </c>
      <c r="E79" s="1575">
        <v>3</v>
      </c>
      <c r="F79" s="335">
        <f>D79*E79</f>
        <v>0</v>
      </c>
      <c r="G79" s="1572"/>
      <c r="H79" s="2016"/>
      <c r="I79" s="1982"/>
    </row>
    <row r="80" spans="1:9" ht="38.25" x14ac:dyDescent="0.2">
      <c r="A80" s="1991"/>
      <c r="B80" s="1911"/>
      <c r="C80" s="1584" t="str">
        <f>F!C237</f>
        <v xml:space="preserve">none -- but maps show a stream or other water body that is downslope from the AA and within a distance that is less than the AA's length.  If so, mark "1" here and SKIP TO F50 (Groundwater). </v>
      </c>
      <c r="D80" s="356">
        <f>F!D237</f>
        <v>0</v>
      </c>
      <c r="E80" s="1585">
        <v>9</v>
      </c>
      <c r="F80" s="335">
        <f>D80*E80</f>
        <v>0</v>
      </c>
      <c r="G80" s="1572"/>
      <c r="H80" s="1439" t="s">
        <v>789</v>
      </c>
      <c r="I80" s="1982"/>
    </row>
    <row r="81" spans="1:9" ht="42" customHeight="1" thickBot="1" x14ac:dyDescent="0.25">
      <c r="A81" s="1993"/>
      <c r="B81" s="1978"/>
      <c r="C81" s="1586" t="str">
        <f>F!C238</f>
        <v xml:space="preserve">no surface water flows out of the wetland except possibly during extreme events (&lt;once per 10 years). Or, water flows only into a wetland, ditch, or lake that lacks an outlet.  If so, mark "1" here and SKIP TO F50 (Groundwater). </v>
      </c>
      <c r="D81" s="1481">
        <f>F!D238</f>
        <v>0</v>
      </c>
      <c r="E81" s="1300">
        <v>10</v>
      </c>
      <c r="F81" s="1301">
        <f>D81*E81</f>
        <v>0</v>
      </c>
      <c r="G81" s="1566"/>
      <c r="H81" s="572" t="s">
        <v>788</v>
      </c>
      <c r="I81" s="1997"/>
    </row>
    <row r="82" spans="1:9" ht="30" customHeight="1" thickBot="1" x14ac:dyDescent="0.25">
      <c r="A82" s="1992" t="str">
        <f>F!A239</f>
        <v>F49</v>
      </c>
      <c r="B82" s="1867" t="str">
        <f>F!B239</f>
        <v>Outflow Confinement</v>
      </c>
      <c r="C82" s="104" t="str">
        <f>F!C239</f>
        <v>During major runoff events, in the places where surface water exits the AA or connected waters nearby, it:</v>
      </c>
      <c r="D82" s="1577"/>
      <c r="E82" s="1292"/>
      <c r="F82" s="1293"/>
      <c r="G82" s="1574">
        <f>IF((OutNone + OutNone1&gt;0),"",MAX(F83:F85)/MAX(E83:E85))</f>
        <v>0</v>
      </c>
      <c r="H82" s="2000" t="s">
        <v>597</v>
      </c>
      <c r="I82" s="1981" t="s">
        <v>1134</v>
      </c>
    </row>
    <row r="83" spans="1:9" ht="42" customHeight="1" x14ac:dyDescent="0.2">
      <c r="A83" s="1991"/>
      <c r="B83" s="1911"/>
      <c r="C83" s="1392" t="str">
        <f>F!C240</f>
        <v>mostly passes through a pipe, culvert, narrowly breached dike, berm, beaver dam, or other partial obstruction (other than natural topography) that does not appear to drain the wetland artificially during most of the growing season.</v>
      </c>
      <c r="D83" s="442">
        <f>F!D240</f>
        <v>0</v>
      </c>
      <c r="E83" s="1575">
        <v>2</v>
      </c>
      <c r="F83" s="1576">
        <f>D83*E83</f>
        <v>0</v>
      </c>
      <c r="G83" s="1570"/>
      <c r="H83" s="1989"/>
      <c r="I83" s="1982"/>
    </row>
    <row r="84" spans="1:9" ht="27" customHeight="1" x14ac:dyDescent="0.2">
      <c r="A84" s="1991"/>
      <c r="B84" s="1911"/>
      <c r="C84" s="366" t="str">
        <f>F!C241</f>
        <v>leaves through natural exits (channels or diffuse outflow), not mainly through artificial or temporary features.</v>
      </c>
      <c r="D84" s="356">
        <f>F!D241</f>
        <v>0</v>
      </c>
      <c r="E84" s="1575">
        <v>1</v>
      </c>
      <c r="F84" s="1576">
        <f>D84*E84</f>
        <v>0</v>
      </c>
      <c r="G84" s="1579"/>
      <c r="H84" s="1989"/>
      <c r="I84" s="1982"/>
    </row>
    <row r="85" spans="1:9" ht="39" thickBot="1" x14ac:dyDescent="0.25">
      <c r="A85" s="1993"/>
      <c r="B85" s="1978"/>
      <c r="C85" s="329" t="str">
        <f>F!C242</f>
        <v>is exported more quickly than usual due to ditches or pipes within the AA (or connected to its outlet or within 10 m of the AA's edge) which drain the wetland artificially, or water is pumped out of the AA.</v>
      </c>
      <c r="D85" s="81">
        <f>F!D242</f>
        <v>0</v>
      </c>
      <c r="E85" s="1300">
        <v>0</v>
      </c>
      <c r="F85" s="1301">
        <f>D85*E85</f>
        <v>0</v>
      </c>
      <c r="G85" s="1566"/>
      <c r="H85" s="1990"/>
      <c r="I85" s="1997"/>
    </row>
    <row r="86" spans="1:9" ht="21" customHeight="1" thickBot="1" x14ac:dyDescent="0.25">
      <c r="A86" s="1979" t="str">
        <f>F!A243</f>
        <v>F50</v>
      </c>
      <c r="B86" s="1984" t="str">
        <f>F!B243</f>
        <v>Groundwater: Strength of Evidence</v>
      </c>
      <c r="C86" s="471" t="str">
        <f>F!C243</f>
        <v xml:space="preserve">Select first applicable choice. </v>
      </c>
      <c r="D86" s="1573"/>
      <c r="E86" s="1292"/>
      <c r="F86" s="1580"/>
      <c r="G86" s="1574">
        <f>IF((D89=1),"",MAX(F87:F89)/MAX(E87:E89))</f>
        <v>0</v>
      </c>
      <c r="H86" s="2000" t="s">
        <v>598</v>
      </c>
      <c r="I86" s="2018" t="s">
        <v>1138</v>
      </c>
    </row>
    <row r="87" spans="1:9" ht="57" customHeight="1" x14ac:dyDescent="0.2">
      <c r="A87" s="1980"/>
      <c r="B87" s="1985"/>
      <c r="C87" s="326"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87" s="431">
        <f>F!D244</f>
        <v>0</v>
      </c>
      <c r="E87" s="1575">
        <v>0</v>
      </c>
      <c r="F87" s="1576">
        <f>D87*E87</f>
        <v>0</v>
      </c>
      <c r="G87" s="1570"/>
      <c r="H87" s="1989"/>
      <c r="I87" s="2019"/>
    </row>
    <row r="88" spans="1:9" ht="84.6" customHeight="1" x14ac:dyDescent="0.2">
      <c r="A88" s="1980"/>
      <c r="B88" s="1985"/>
      <c r="C88" s="314"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88" s="431">
        <f>F!D245</f>
        <v>0</v>
      </c>
      <c r="E88" s="1575">
        <v>1</v>
      </c>
      <c r="F88" s="1576">
        <f>D88*E88</f>
        <v>0</v>
      </c>
      <c r="G88" s="1571"/>
      <c r="H88" s="1989"/>
      <c r="I88" s="2019"/>
    </row>
    <row r="89" spans="1:9" ht="27" customHeight="1" thickBot="1" x14ac:dyDescent="0.25">
      <c r="A89" s="2021"/>
      <c r="B89" s="2005"/>
      <c r="C89" s="315" t="str">
        <f>F!C246</f>
        <v>Neither of above is true, although some groundwater may discharge to or flow through the AA.  Or groundwater influx is unknown.</v>
      </c>
      <c r="D89" s="102">
        <f>F!D246</f>
        <v>0</v>
      </c>
      <c r="E89" s="1300">
        <v>2</v>
      </c>
      <c r="F89" s="1301">
        <f>D89*E89</f>
        <v>0</v>
      </c>
      <c r="G89" s="1566"/>
      <c r="H89" s="1990"/>
      <c r="I89" s="2020"/>
    </row>
    <row r="90" spans="1:9" ht="21" customHeight="1" thickBot="1" x14ac:dyDescent="0.25">
      <c r="A90" s="1992" t="str">
        <f>F!A247</f>
        <v>F51</v>
      </c>
      <c r="B90" s="1867" t="str">
        <f>F!B247</f>
        <v>Internal Gradient</v>
      </c>
      <c r="C90" s="104" t="str">
        <f>F!C247</f>
        <v>The gradient along most of the flow path within the AA is:</v>
      </c>
      <c r="D90" s="1577"/>
      <c r="E90" s="1292"/>
      <c r="F90" s="1293"/>
      <c r="G90" s="1574">
        <f>MAX(F91:F94)/MAX(E91:E94)</f>
        <v>0</v>
      </c>
      <c r="H90" s="2000" t="s">
        <v>599</v>
      </c>
      <c r="I90" s="1981" t="s">
        <v>20</v>
      </c>
    </row>
    <row r="91" spans="1:9" ht="27" customHeight="1" x14ac:dyDescent="0.2">
      <c r="A91" s="1991"/>
      <c r="B91" s="1911"/>
      <c r="C91" s="341" t="str">
        <f>F!C248</f>
        <v>&lt;2%, or, no slope is ever apparent (i.e., flat). Or, the wetland is in a depression or pond with no inlet and no outlet.</v>
      </c>
      <c r="D91" s="443">
        <f>F!D248</f>
        <v>0</v>
      </c>
      <c r="E91" s="1575">
        <v>4</v>
      </c>
      <c r="F91" s="1576">
        <f>D91*E91</f>
        <v>0</v>
      </c>
      <c r="G91" s="1570"/>
      <c r="H91" s="1989"/>
      <c r="I91" s="1982"/>
    </row>
    <row r="92" spans="1:9" ht="15" customHeight="1" x14ac:dyDescent="0.2">
      <c r="A92" s="1991"/>
      <c r="B92" s="1911"/>
      <c r="C92" s="328" t="str">
        <f>F!C249</f>
        <v>2-5%</v>
      </c>
      <c r="D92" s="359">
        <f>F!D249</f>
        <v>0</v>
      </c>
      <c r="E92" s="1575">
        <v>3</v>
      </c>
      <c r="F92" s="1576">
        <f>D92*E92</f>
        <v>0</v>
      </c>
      <c r="G92" s="1571"/>
      <c r="H92" s="1989"/>
      <c r="I92" s="1982"/>
    </row>
    <row r="93" spans="1:9" ht="15" customHeight="1" x14ac:dyDescent="0.2">
      <c r="A93" s="1991"/>
      <c r="B93" s="1911"/>
      <c r="C93" s="328" t="str">
        <f>F!C250</f>
        <v>6-10%</v>
      </c>
      <c r="D93" s="359">
        <f>F!D250</f>
        <v>0</v>
      </c>
      <c r="E93" s="1575">
        <v>2</v>
      </c>
      <c r="F93" s="1576">
        <f>D93*E93</f>
        <v>0</v>
      </c>
      <c r="G93" s="1571"/>
      <c r="H93" s="1989"/>
      <c r="I93" s="1982"/>
    </row>
    <row r="94" spans="1:9" ht="15" customHeight="1" thickBot="1" x14ac:dyDescent="0.25">
      <c r="A94" s="1993"/>
      <c r="B94" s="1978"/>
      <c r="C94" s="329" t="str">
        <f>F!C251</f>
        <v>&gt;10%</v>
      </c>
      <c r="D94" s="81">
        <f>F!D251</f>
        <v>0</v>
      </c>
      <c r="E94" s="1300">
        <v>0</v>
      </c>
      <c r="F94" s="1301">
        <f>D94*E94</f>
        <v>0</v>
      </c>
      <c r="G94" s="1566"/>
      <c r="H94" s="1990"/>
      <c r="I94" s="2017"/>
    </row>
    <row r="95" spans="1:9" ht="14.45" customHeight="1" thickBot="1" x14ac:dyDescent="0.25">
      <c r="A95" s="1979" t="str">
        <f>F!A269</f>
        <v>F56</v>
      </c>
      <c r="B95" s="1984" t="str">
        <f>F!B269</f>
        <v>Burn History</v>
      </c>
      <c r="C95" s="452" t="str">
        <f>F!C269</f>
        <v>More than 1% of the AA's previously vegetated area:</v>
      </c>
      <c r="D95" s="1587"/>
      <c r="E95" s="1292"/>
      <c r="F95" s="1581"/>
      <c r="G95" s="1574" t="str">
        <f>IF((D99=1),"", IF((peat1+peat2&gt;0),MAX(F96:F99)/MAX(E96:E99),""))</f>
        <v/>
      </c>
      <c r="H95" s="2006" t="s">
        <v>1718</v>
      </c>
      <c r="I95" s="2008" t="s">
        <v>1952</v>
      </c>
    </row>
    <row r="96" spans="1:9" x14ac:dyDescent="0.2">
      <c r="A96" s="1980"/>
      <c r="B96" s="1985"/>
      <c r="C96" s="924" t="str">
        <f>F!C270</f>
        <v>burned within past 5 years.</v>
      </c>
      <c r="D96" s="763">
        <f>F!D270</f>
        <v>0</v>
      </c>
      <c r="E96" s="1296">
        <v>0</v>
      </c>
      <c r="F96" s="335">
        <f>D96*E96</f>
        <v>0</v>
      </c>
      <c r="G96" s="1298"/>
      <c r="H96" s="2007"/>
      <c r="I96" s="2009"/>
    </row>
    <row r="97" spans="1:9" x14ac:dyDescent="0.2">
      <c r="A97" s="1980"/>
      <c r="B97" s="1985"/>
      <c r="C97" s="925" t="str">
        <f>F!C271</f>
        <v>burned 6-10 years ago.</v>
      </c>
      <c r="D97" s="763">
        <f>F!D271</f>
        <v>0</v>
      </c>
      <c r="E97" s="1296">
        <v>1</v>
      </c>
      <c r="F97" s="335">
        <f>D97*E97</f>
        <v>0</v>
      </c>
      <c r="G97" s="1298"/>
      <c r="H97" s="2007"/>
      <c r="I97" s="2009"/>
    </row>
    <row r="98" spans="1:9" x14ac:dyDescent="0.2">
      <c r="A98" s="1980"/>
      <c r="B98" s="1985"/>
      <c r="C98" s="925" t="str">
        <f>F!C272</f>
        <v>burned 11-30 years ago.</v>
      </c>
      <c r="D98" s="763">
        <f>F!D272</f>
        <v>0</v>
      </c>
      <c r="E98" s="1296">
        <v>2</v>
      </c>
      <c r="F98" s="335">
        <f>D98*E98</f>
        <v>0</v>
      </c>
      <c r="G98" s="1298"/>
      <c r="H98" s="2007"/>
      <c r="I98" s="2009"/>
    </row>
    <row r="99" spans="1:9" ht="13.5" thickBot="1" x14ac:dyDescent="0.25">
      <c r="A99" s="1980"/>
      <c r="B99" s="1985"/>
      <c r="C99" s="1243" t="str">
        <f>F!C273</f>
        <v>burned &gt;30 years ago, or no evidence of a burn and no data.</v>
      </c>
      <c r="D99" s="383">
        <f>F!D273</f>
        <v>0</v>
      </c>
      <c r="E99" s="1564">
        <v>4</v>
      </c>
      <c r="F99" s="335">
        <f>D99*E99</f>
        <v>0</v>
      </c>
      <c r="G99" s="1588"/>
      <c r="H99" s="2007"/>
      <c r="I99" s="2009"/>
    </row>
    <row r="100" spans="1:9" ht="81.75" customHeight="1" thickBot="1" x14ac:dyDescent="0.25">
      <c r="A100" s="1369" t="str">
        <f>F!A331</f>
        <v>F69</v>
      </c>
      <c r="B100" s="1984" t="str">
        <f>F!B331</f>
        <v>Wetland as a % of Its Contributing Area (Catchment)</v>
      </c>
      <c r="C100" s="1291" t="str">
        <f>F!C331</f>
        <v>Estimate the approximate boundaries of the wetland's catchment (CA) from a topographic map.Then adjust those boundaries if necessary based on your field observations of the surrounding terrain, and/or by using procedures described in the ABWRET Manual.  Divide the area of the wetland (not just the AA) by the approximate area of its catchment , excluding the area of the wetland itself.  When doing the calculation, if ponded water adjoins the wetland, include that in the wetland's area.  The result is:</v>
      </c>
      <c r="D100" s="1292"/>
      <c r="E100" s="1292"/>
      <c r="F100" s="1293"/>
      <c r="G100" s="1294">
        <f>MAX(F101:F104)/MAX(E101:E104)</f>
        <v>0</v>
      </c>
      <c r="H100" s="2011" t="s">
        <v>2253</v>
      </c>
      <c r="I100" s="2008" t="s">
        <v>2289</v>
      </c>
    </row>
    <row r="101" spans="1:9" ht="33.75" customHeight="1" x14ac:dyDescent="0.2">
      <c r="A101" s="1370"/>
      <c r="B101" s="1985"/>
      <c r="C101" s="1295" t="str">
        <f>F!C332</f>
        <v>&lt;1%, or catchment size unknown due to stormwater pipes that collect water from an indeterminate area.</v>
      </c>
      <c r="D101" s="763">
        <f>F!D332</f>
        <v>0</v>
      </c>
      <c r="E101" s="1296">
        <v>1</v>
      </c>
      <c r="F101" s="335">
        <f t="shared" ref="F101:F104" si="2">D101*E101</f>
        <v>0</v>
      </c>
      <c r="G101" s="1297"/>
      <c r="H101" s="2007"/>
      <c r="I101" s="2009"/>
    </row>
    <row r="102" spans="1:9" x14ac:dyDescent="0.2">
      <c r="A102" s="1370"/>
      <c r="B102" s="1985"/>
      <c r="C102" s="1295" t="str">
        <f>F!C333</f>
        <v>1-10%</v>
      </c>
      <c r="D102" s="763">
        <f>F!D333</f>
        <v>0</v>
      </c>
      <c r="E102" s="1296">
        <v>2</v>
      </c>
      <c r="F102" s="335">
        <f t="shared" si="2"/>
        <v>0</v>
      </c>
      <c r="G102" s="1298"/>
      <c r="H102" s="2007"/>
      <c r="I102" s="2009"/>
    </row>
    <row r="103" spans="1:9" x14ac:dyDescent="0.2">
      <c r="A103" s="1370"/>
      <c r="B103" s="1985"/>
      <c r="C103" s="1295" t="str">
        <f>F!C334</f>
        <v>10-100%</v>
      </c>
      <c r="D103" s="763">
        <f>F!D334</f>
        <v>0</v>
      </c>
      <c r="E103" s="1296">
        <v>3</v>
      </c>
      <c r="F103" s="335">
        <f t="shared" si="2"/>
        <v>0</v>
      </c>
      <c r="G103" s="1298"/>
      <c r="H103" s="2007"/>
      <c r="I103" s="2009"/>
    </row>
    <row r="104" spans="1:9" ht="26.25" thickBot="1" x14ac:dyDescent="0.25">
      <c r="A104" s="1420"/>
      <c r="B104" s="2005"/>
      <c r="C104" s="1299" t="str">
        <f>F!C335</f>
        <v xml:space="preserve">&gt;100% (wetland is larger than its catchment (e.g., wetland is isolated by dikes with no input channels, is fed entirely by groundwater, or is a raised bog). </v>
      </c>
      <c r="D104" s="191">
        <f>F!D335</f>
        <v>0</v>
      </c>
      <c r="E104" s="1300">
        <v>4</v>
      </c>
      <c r="F104" s="1301">
        <f t="shared" si="2"/>
        <v>0</v>
      </c>
      <c r="G104" s="1302"/>
      <c r="H104" s="2012"/>
      <c r="I104" s="2010"/>
    </row>
    <row r="105" spans="1:9" ht="21" customHeight="1" x14ac:dyDescent="0.2">
      <c r="A105" s="10"/>
      <c r="B105" s="940"/>
      <c r="C105" s="940"/>
      <c r="D105" s="940"/>
      <c r="E105" s="940"/>
      <c r="F105" s="940"/>
      <c r="G105" s="940"/>
      <c r="H105" s="110" t="s">
        <v>406</v>
      </c>
      <c r="I105" s="110"/>
    </row>
    <row r="106" spans="1:9" ht="21" customHeight="1" thickBot="1" x14ac:dyDescent="0.25">
      <c r="A106" s="10"/>
      <c r="B106" s="940"/>
      <c r="C106" s="1027"/>
      <c r="D106" s="1589"/>
      <c r="E106" s="1589"/>
      <c r="F106" s="1589"/>
      <c r="G106" s="1589"/>
      <c r="H106" s="6"/>
      <c r="I106" s="6"/>
    </row>
    <row r="107" spans="1:9" ht="21" customHeight="1" thickBot="1" x14ac:dyDescent="0.25">
      <c r="A107" s="10"/>
      <c r="B107" s="940"/>
      <c r="C107" s="389" t="s">
        <v>711</v>
      </c>
      <c r="D107" s="618"/>
      <c r="E107" s="618"/>
      <c r="F107" s="618"/>
      <c r="G107" s="618"/>
      <c r="H107" s="6"/>
      <c r="I107" s="6"/>
    </row>
    <row r="108" spans="1:9" ht="20.25" customHeight="1" thickBot="1" x14ac:dyDescent="0.25">
      <c r="A108" s="10"/>
      <c r="B108" s="940"/>
      <c r="C108" s="83" t="s">
        <v>2380</v>
      </c>
      <c r="D108" s="507"/>
      <c r="E108" s="507"/>
      <c r="F108" s="507"/>
      <c r="G108" s="285">
        <f>AVERAGE(WetArea,AVERAGE(WetPctCA1, ElevPctileHUC8),Fluctua1, SeasPct1)</f>
        <v>0</v>
      </c>
      <c r="H108" s="6"/>
      <c r="I108" s="6"/>
    </row>
    <row r="109" spans="1:9" ht="21" customHeight="1" thickBot="1" x14ac:dyDescent="0.25">
      <c r="A109" s="10"/>
      <c r="B109" s="940"/>
      <c r="C109" s="827"/>
      <c r="D109" s="827"/>
      <c r="E109" s="827"/>
      <c r="F109" s="827"/>
      <c r="G109" s="827"/>
      <c r="H109" s="6"/>
      <c r="I109" s="6"/>
    </row>
    <row r="110" spans="1:9" ht="21" customHeight="1" thickBot="1" x14ac:dyDescent="0.25">
      <c r="A110" s="10"/>
      <c r="B110" s="940"/>
      <c r="C110" s="388" t="s">
        <v>712</v>
      </c>
      <c r="D110" s="1027"/>
      <c r="E110" s="1027"/>
      <c r="F110" s="1027"/>
      <c r="G110" s="1027"/>
      <c r="H110" s="6"/>
      <c r="I110" s="6"/>
    </row>
    <row r="111" spans="1:9" ht="21" customHeight="1" thickBot="1" x14ac:dyDescent="0.25">
      <c r="A111" s="10"/>
      <c r="B111" s="940"/>
      <c r="C111" s="1023" t="s">
        <v>1119</v>
      </c>
      <c r="D111" s="1590"/>
      <c r="E111" s="293"/>
      <c r="F111" s="293"/>
      <c r="G111" s="285">
        <f>AVERAGE(ThruFlo1, Gradient1, Girreg1, Constric1, IsoDry1, Vwidth1)</f>
        <v>0</v>
      </c>
      <c r="H111" s="6"/>
      <c r="I111" s="6"/>
    </row>
    <row r="112" spans="1:9" ht="21" customHeight="1" thickBot="1" x14ac:dyDescent="0.25">
      <c r="A112" s="10"/>
      <c r="B112" s="940"/>
      <c r="C112" s="1589"/>
      <c r="D112" s="1589"/>
      <c r="E112" s="1589"/>
      <c r="F112" s="1589"/>
      <c r="G112" s="1589"/>
      <c r="H112" s="1589"/>
      <c r="I112" s="6"/>
    </row>
    <row r="113" spans="1:9" ht="21" customHeight="1" thickBot="1" x14ac:dyDescent="0.25">
      <c r="A113" s="10"/>
      <c r="B113" s="940"/>
      <c r="C113" s="389" t="s">
        <v>2170</v>
      </c>
      <c r="D113" s="1027"/>
      <c r="E113" s="1027"/>
      <c r="F113" s="1027"/>
      <c r="G113" s="1027"/>
      <c r="H113" s="1589"/>
      <c r="I113" s="6"/>
    </row>
    <row r="114" spans="1:9" ht="39" thickBot="1" x14ac:dyDescent="0.25">
      <c r="A114" s="10"/>
      <c r="B114" s="940"/>
      <c r="C114" s="1303" t="s">
        <v>2381</v>
      </c>
      <c r="D114" s="1590"/>
      <c r="E114" s="293"/>
      <c r="F114" s="293"/>
      <c r="G114" s="285">
        <f>(AVERAGE(1-GWDspring, Type1, Groundw1) + AVERAGE(1-Sub0Days, SoilTex1) + AVERAGE(1-PPET, WindSumm, WetPerim2Area, OpenPct1) + AVERAGE(WetVegArea, Burn1,AllWoody1)) / 4</f>
        <v>0.33333333333333331</v>
      </c>
      <c r="H114" s="1589"/>
      <c r="I114" s="6"/>
    </row>
    <row r="115" spans="1:9" ht="21" customHeight="1" thickBot="1" x14ac:dyDescent="0.25">
      <c r="A115" s="10"/>
      <c r="B115" s="940"/>
      <c r="C115" s="1589"/>
      <c r="D115" s="1589"/>
      <c r="E115" s="1589"/>
      <c r="F115" s="1589"/>
      <c r="G115" s="1589"/>
      <c r="H115" s="1589"/>
      <c r="I115" s="6"/>
    </row>
    <row r="116" spans="1:9" ht="21" customHeight="1" thickBot="1" x14ac:dyDescent="0.25">
      <c r="A116" s="10"/>
      <c r="B116" s="940"/>
      <c r="C116" s="386" t="s">
        <v>846</v>
      </c>
      <c r="D116" s="940"/>
      <c r="E116" s="940"/>
      <c r="F116" s="940"/>
      <c r="G116" s="940"/>
      <c r="H116" s="6"/>
      <c r="I116" s="6"/>
    </row>
    <row r="117" spans="1:9" ht="21" customHeight="1" thickBot="1" x14ac:dyDescent="0.25">
      <c r="A117" s="10"/>
      <c r="B117" s="940"/>
      <c r="C117" s="387" t="s">
        <v>504</v>
      </c>
      <c r="D117" s="1027"/>
      <c r="E117" s="1027"/>
      <c r="F117" s="1027"/>
      <c r="G117" s="1027"/>
      <c r="H117" s="6"/>
      <c r="I117" s="6"/>
    </row>
    <row r="118" spans="1:9" ht="21" customHeight="1" thickBot="1" x14ac:dyDescent="0.25">
      <c r="A118" s="10"/>
      <c r="B118" s="940"/>
      <c r="C118" s="83" t="s">
        <v>2426</v>
      </c>
      <c r="D118" s="507"/>
      <c r="E118" s="507"/>
      <c r="F118" s="507"/>
      <c r="G118" s="297">
        <f>10*((2*AVERAGE(OutDura1,STORE1a) + AVERAGE(INFILT1a, RESIST1a))/3)</f>
        <v>0.55555555555555558</v>
      </c>
      <c r="H118" s="6"/>
      <c r="I118" s="6"/>
    </row>
    <row r="119" spans="1:9" ht="21" customHeight="1" thickBot="1" x14ac:dyDescent="0.25">
      <c r="A119" s="10"/>
      <c r="B119" s="940"/>
      <c r="C119" s="1975"/>
      <c r="D119" s="1975"/>
      <c r="E119" s="1975"/>
      <c r="F119" s="1975"/>
      <c r="G119" s="1975"/>
      <c r="H119" s="6"/>
      <c r="I119" s="6"/>
    </row>
    <row r="120" spans="1:9" ht="21" customHeight="1" thickBot="1" x14ac:dyDescent="0.25">
      <c r="A120" s="10"/>
      <c r="B120" s="583"/>
      <c r="C120" s="1591"/>
      <c r="D120" s="583"/>
      <c r="E120" s="940"/>
      <c r="F120" s="940"/>
      <c r="G120" s="940"/>
      <c r="H120" s="940"/>
      <c r="I120" s="814" t="s">
        <v>293</v>
      </c>
    </row>
    <row r="121" spans="1:9" ht="52.5" customHeight="1" x14ac:dyDescent="0.2">
      <c r="A121" s="10"/>
      <c r="B121" s="583"/>
      <c r="C121" s="1591"/>
      <c r="D121" s="583"/>
      <c r="E121" s="940"/>
      <c r="F121" s="940"/>
      <c r="G121" s="940"/>
      <c r="H121" s="940"/>
      <c r="I121" s="816" t="s">
        <v>2286</v>
      </c>
    </row>
    <row r="122" spans="1:9" s="123" customFormat="1" ht="42" customHeight="1" x14ac:dyDescent="0.2">
      <c r="A122" s="10"/>
      <c r="B122" s="1466"/>
      <c r="C122" s="1467"/>
      <c r="D122" s="1468"/>
      <c r="E122" s="940"/>
      <c r="F122" s="940"/>
      <c r="G122" s="940"/>
      <c r="H122" s="940"/>
      <c r="I122" s="816" t="s">
        <v>1136</v>
      </c>
    </row>
    <row r="123" spans="1:9" s="123" customFormat="1" ht="42" customHeight="1" x14ac:dyDescent="0.2">
      <c r="A123" s="10"/>
      <c r="B123" s="1466"/>
      <c r="C123" s="1467"/>
      <c r="D123" s="1468"/>
      <c r="E123" s="940"/>
      <c r="F123" s="940"/>
      <c r="G123" s="940"/>
      <c r="H123" s="940"/>
      <c r="I123" s="816" t="s">
        <v>1787</v>
      </c>
    </row>
    <row r="124" spans="1:9" s="123" customFormat="1" ht="61.15" customHeight="1" x14ac:dyDescent="0.2">
      <c r="A124" s="10"/>
      <c r="B124" s="1466"/>
      <c r="C124" s="1467"/>
      <c r="D124" s="1468"/>
      <c r="E124" s="940"/>
      <c r="F124" s="940"/>
      <c r="G124" s="940"/>
      <c r="H124" s="940"/>
      <c r="I124" s="816" t="s">
        <v>2287</v>
      </c>
    </row>
    <row r="125" spans="1:9" s="123" customFormat="1" ht="52.5" customHeight="1" x14ac:dyDescent="0.2">
      <c r="A125" s="10"/>
      <c r="B125" s="1467"/>
      <c r="C125" s="1467"/>
      <c r="D125" s="1468"/>
      <c r="E125" s="940"/>
      <c r="F125" s="940"/>
      <c r="G125" s="940"/>
      <c r="H125" s="940"/>
      <c r="I125" s="816" t="s">
        <v>295</v>
      </c>
    </row>
    <row r="126" spans="1:9" s="123" customFormat="1" ht="33" customHeight="1" x14ac:dyDescent="0.2">
      <c r="A126" s="10"/>
      <c r="B126" s="1467"/>
      <c r="C126" s="1467"/>
      <c r="D126" s="1468"/>
      <c r="E126" s="940"/>
      <c r="F126" s="940"/>
      <c r="G126" s="940"/>
      <c r="H126" s="940"/>
      <c r="I126" s="816" t="s">
        <v>2288</v>
      </c>
    </row>
    <row r="127" spans="1:9" s="123" customFormat="1" ht="51" x14ac:dyDescent="0.2">
      <c r="A127" s="10"/>
      <c r="B127" s="1467"/>
      <c r="C127" s="1467"/>
      <c r="D127" s="1468"/>
      <c r="E127" s="940"/>
      <c r="F127" s="940"/>
      <c r="G127" s="940"/>
      <c r="H127" s="940"/>
      <c r="I127" s="817" t="s">
        <v>1788</v>
      </c>
    </row>
    <row r="128" spans="1:9" s="123" customFormat="1" ht="42" customHeight="1" x14ac:dyDescent="0.2">
      <c r="A128" s="10"/>
      <c r="B128" s="1467"/>
      <c r="C128" s="1467"/>
      <c r="D128" s="1468"/>
      <c r="E128" s="940"/>
      <c r="F128" s="940"/>
      <c r="G128" s="940"/>
      <c r="H128" s="940"/>
      <c r="I128" s="817" t="s">
        <v>1789</v>
      </c>
    </row>
    <row r="129" spans="1:9" s="123" customFormat="1" ht="29.25" customHeight="1" x14ac:dyDescent="0.2">
      <c r="A129" s="10"/>
      <c r="B129" s="1467"/>
      <c r="C129" s="1467"/>
      <c r="D129" s="1468"/>
      <c r="E129" s="940"/>
      <c r="F129" s="940"/>
      <c r="G129" s="940"/>
      <c r="H129" s="940"/>
      <c r="I129" s="816" t="s">
        <v>1137</v>
      </c>
    </row>
    <row r="130" spans="1:9" s="123" customFormat="1" ht="27" customHeight="1" x14ac:dyDescent="0.2">
      <c r="A130" s="10"/>
      <c r="B130" s="1467"/>
      <c r="C130" s="1467"/>
      <c r="D130" s="1468"/>
      <c r="E130" s="940"/>
      <c r="F130" s="940"/>
      <c r="G130" s="940"/>
      <c r="H130" s="940"/>
      <c r="I130" s="816" t="s">
        <v>1790</v>
      </c>
    </row>
    <row r="131" spans="1:9" s="123" customFormat="1" ht="27" customHeight="1" x14ac:dyDescent="0.2">
      <c r="A131" s="10"/>
      <c r="B131" s="1467"/>
      <c r="C131" s="1467"/>
      <c r="D131" s="1468"/>
      <c r="E131" s="940"/>
      <c r="F131" s="940"/>
      <c r="G131" s="940"/>
      <c r="H131" s="940"/>
      <c r="I131" s="816" t="s">
        <v>1135</v>
      </c>
    </row>
    <row r="132" spans="1:9" s="123" customFormat="1" ht="42" customHeight="1" x14ac:dyDescent="0.2">
      <c r="A132" s="10"/>
      <c r="B132" s="1466">
        <v>3</v>
      </c>
      <c r="C132" s="1467"/>
      <c r="D132" s="1468"/>
      <c r="E132" s="940"/>
      <c r="F132" s="940"/>
      <c r="G132" s="940"/>
      <c r="H132" s="940"/>
      <c r="I132" s="816" t="s">
        <v>1791</v>
      </c>
    </row>
    <row r="133" spans="1:9" s="123" customFormat="1" ht="27" customHeight="1" x14ac:dyDescent="0.2">
      <c r="A133" s="10"/>
      <c r="B133" s="2004"/>
      <c r="C133" s="583"/>
      <c r="D133" s="1592"/>
      <c r="E133" s="940"/>
      <c r="F133" s="940"/>
      <c r="G133" s="940"/>
      <c r="H133" s="940"/>
      <c r="I133" s="818" t="s">
        <v>1088</v>
      </c>
    </row>
    <row r="134" spans="1:9" s="123" customFormat="1" ht="31.5" customHeight="1" x14ac:dyDescent="0.2">
      <c r="A134" s="10"/>
      <c r="B134" s="2004"/>
      <c r="C134" s="1464"/>
      <c r="D134" s="1469"/>
      <c r="E134" s="940"/>
      <c r="F134" s="940"/>
      <c r="G134" s="940"/>
      <c r="H134" s="940"/>
      <c r="I134" s="818" t="s">
        <v>1133</v>
      </c>
    </row>
    <row r="135" spans="1:9" s="123" customFormat="1" ht="27" customHeight="1" x14ac:dyDescent="0.2">
      <c r="A135" s="10"/>
      <c r="B135" s="1466">
        <v>1</v>
      </c>
      <c r="C135" s="1467"/>
      <c r="D135" s="1468"/>
      <c r="E135" s="940"/>
      <c r="F135" s="940"/>
      <c r="G135" s="940"/>
      <c r="H135" s="940"/>
      <c r="I135" s="816" t="s">
        <v>296</v>
      </c>
    </row>
    <row r="136" spans="1:9" s="123" customFormat="1" ht="38.25" x14ac:dyDescent="0.2">
      <c r="A136" s="10"/>
      <c r="B136" s="1466"/>
      <c r="C136" s="1467"/>
      <c r="D136" s="1468"/>
      <c r="E136" s="940"/>
      <c r="F136" s="940"/>
      <c r="G136" s="940"/>
      <c r="H136" s="940"/>
      <c r="I136" s="816" t="s">
        <v>1796</v>
      </c>
    </row>
    <row r="137" spans="1:9" s="123" customFormat="1" ht="42" customHeight="1" x14ac:dyDescent="0.2">
      <c r="A137" s="10"/>
      <c r="B137" s="1466">
        <v>2</v>
      </c>
      <c r="C137" s="1467"/>
      <c r="D137" s="1468"/>
      <c r="E137" s="940"/>
      <c r="F137" s="940"/>
      <c r="G137" s="940"/>
      <c r="H137" s="940"/>
      <c r="I137" s="816" t="s">
        <v>1792</v>
      </c>
    </row>
    <row r="138" spans="1:9" ht="27" customHeight="1" x14ac:dyDescent="0.2">
      <c r="A138" s="10"/>
      <c r="B138" s="1467"/>
      <c r="C138" s="1593"/>
      <c r="D138" s="1468"/>
      <c r="E138" s="940"/>
      <c r="F138" s="940"/>
      <c r="G138" s="940"/>
      <c r="H138" s="940"/>
      <c r="I138" s="816" t="s">
        <v>297</v>
      </c>
    </row>
    <row r="139" spans="1:9" ht="57" customHeight="1" x14ac:dyDescent="0.2">
      <c r="A139" s="10"/>
      <c r="B139" s="1467"/>
      <c r="C139" s="1593"/>
      <c r="D139" s="1468"/>
      <c r="E139" s="940"/>
      <c r="F139" s="940"/>
      <c r="G139" s="940"/>
      <c r="H139" s="940"/>
      <c r="I139" s="817" t="s">
        <v>1793</v>
      </c>
    </row>
    <row r="140" spans="1:9" ht="42" customHeight="1" x14ac:dyDescent="0.2">
      <c r="A140" s="10"/>
      <c r="B140" s="1467"/>
      <c r="C140" s="1593"/>
      <c r="D140" s="1468"/>
      <c r="E140" s="940"/>
      <c r="F140" s="940"/>
      <c r="G140" s="940"/>
      <c r="H140" s="940"/>
      <c r="I140" s="816" t="s">
        <v>1794</v>
      </c>
    </row>
    <row r="141" spans="1:9" ht="29.25" customHeight="1" x14ac:dyDescent="0.2">
      <c r="A141" s="10"/>
      <c r="B141" s="1467"/>
      <c r="C141" s="1593"/>
      <c r="D141" s="1468"/>
      <c r="E141" s="940"/>
      <c r="F141" s="940"/>
      <c r="G141" s="940"/>
      <c r="H141" s="940"/>
      <c r="I141" s="816" t="s">
        <v>298</v>
      </c>
    </row>
    <row r="142" spans="1:9" ht="51" x14ac:dyDescent="0.2">
      <c r="A142" s="10"/>
      <c r="B142" s="1467"/>
      <c r="C142" s="1593"/>
      <c r="D142" s="1468"/>
      <c r="E142" s="940"/>
      <c r="F142" s="940"/>
      <c r="G142" s="940"/>
      <c r="H142" s="940"/>
      <c r="I142" s="817" t="s">
        <v>1795</v>
      </c>
    </row>
    <row r="143" spans="1:9" ht="39" thickBot="1" x14ac:dyDescent="0.25">
      <c r="A143" s="10"/>
      <c r="B143" s="1467"/>
      <c r="C143" s="1593"/>
      <c r="D143" s="1468"/>
      <c r="E143" s="940"/>
      <c r="F143" s="940"/>
      <c r="G143" s="940"/>
      <c r="H143" s="940"/>
      <c r="I143" s="1395" t="s">
        <v>1798</v>
      </c>
    </row>
    <row r="144" spans="1:9" ht="27" customHeight="1" x14ac:dyDescent="0.2">
      <c r="A144" s="10"/>
      <c r="B144" s="1466">
        <v>3</v>
      </c>
      <c r="C144" s="1593"/>
      <c r="D144" s="1468"/>
      <c r="E144" s="940"/>
      <c r="F144" s="940"/>
      <c r="G144" s="940"/>
      <c r="H144" s="940"/>
    </row>
    <row r="145" spans="1:8" ht="27" customHeight="1" x14ac:dyDescent="0.2">
      <c r="A145" s="10"/>
    </row>
    <row r="146" spans="1:8" ht="27" customHeight="1" x14ac:dyDescent="0.2">
      <c r="A146" s="10"/>
    </row>
    <row r="147" spans="1:8" ht="27" customHeight="1" x14ac:dyDescent="0.2">
      <c r="B147" s="136"/>
    </row>
    <row r="148" spans="1:8" ht="27" customHeight="1" x14ac:dyDescent="0.2">
      <c r="B148" s="136"/>
    </row>
    <row r="149" spans="1:8" x14ac:dyDescent="0.2">
      <c r="B149" s="136"/>
    </row>
    <row r="150" spans="1:8" x14ac:dyDescent="0.2">
      <c r="B150" s="136"/>
    </row>
    <row r="151" spans="1:8" ht="21" customHeight="1" x14ac:dyDescent="0.2">
      <c r="A151" s="488"/>
      <c r="B151" s="136"/>
      <c r="E151" s="1497"/>
      <c r="H151" s="25"/>
    </row>
    <row r="152" spans="1:8" ht="43.9" customHeight="1" x14ac:dyDescent="0.2">
      <c r="A152" s="488"/>
      <c r="B152" s="136"/>
      <c r="E152" s="1497"/>
      <c r="H152" s="25"/>
    </row>
    <row r="153" spans="1:8" ht="54" customHeight="1" x14ac:dyDescent="0.2">
      <c r="A153" s="488"/>
      <c r="B153" s="136"/>
      <c r="E153" s="1497"/>
      <c r="H153" s="25"/>
    </row>
    <row r="154" spans="1:8" ht="63" customHeight="1" x14ac:dyDescent="0.2">
      <c r="A154" s="488"/>
      <c r="B154" s="136"/>
      <c r="E154" s="1497"/>
      <c r="H154" s="25"/>
    </row>
    <row r="155" spans="1:8" ht="54" customHeight="1" x14ac:dyDescent="0.2">
      <c r="A155" s="488"/>
      <c r="B155" s="136"/>
      <c r="E155" s="1497"/>
      <c r="H155" s="25"/>
    </row>
    <row r="156" spans="1:8" ht="45" customHeight="1" x14ac:dyDescent="0.2">
      <c r="A156" s="488"/>
      <c r="B156" s="136"/>
      <c r="E156" s="1497"/>
      <c r="H156" s="25"/>
    </row>
    <row r="157" spans="1:8" ht="45" customHeight="1" x14ac:dyDescent="0.2">
      <c r="A157" s="488"/>
      <c r="B157" s="136"/>
      <c r="E157" s="1497"/>
      <c r="H157" s="136"/>
    </row>
    <row r="158" spans="1:8" ht="54.75" customHeight="1" x14ac:dyDescent="0.2">
      <c r="A158" s="488"/>
      <c r="B158" s="136"/>
      <c r="E158" s="1497"/>
      <c r="H158" s="136"/>
    </row>
    <row r="159" spans="1:8" ht="30" customHeight="1" x14ac:dyDescent="0.2">
      <c r="A159" s="488"/>
      <c r="B159" s="136"/>
      <c r="E159" s="1497"/>
      <c r="H159" s="136"/>
    </row>
    <row r="160" spans="1:8" ht="30.6" customHeight="1" x14ac:dyDescent="0.2">
      <c r="A160" s="488"/>
      <c r="B160" s="136"/>
      <c r="C160" s="940"/>
      <c r="E160" s="1497"/>
      <c r="H160" s="136"/>
    </row>
    <row r="161" spans="1:8" ht="30.6" customHeight="1" x14ac:dyDescent="0.2">
      <c r="A161" s="488"/>
      <c r="B161" s="136"/>
      <c r="E161" s="1497"/>
      <c r="H161" s="136"/>
    </row>
    <row r="162" spans="1:8" ht="30.6" customHeight="1" x14ac:dyDescent="0.2">
      <c r="A162" s="488"/>
      <c r="B162" s="136"/>
      <c r="C162" s="940"/>
      <c r="E162" s="1497"/>
      <c r="H162" s="25"/>
    </row>
    <row r="163" spans="1:8" ht="33.6" customHeight="1" x14ac:dyDescent="0.2">
      <c r="A163" s="488"/>
      <c r="B163" s="136"/>
      <c r="C163" s="940"/>
      <c r="E163" s="1497"/>
      <c r="H163" s="25"/>
    </row>
    <row r="164" spans="1:8" x14ac:dyDescent="0.2">
      <c r="A164" s="488"/>
      <c r="B164" s="136"/>
      <c r="C164" s="940"/>
      <c r="E164" s="1497"/>
    </row>
    <row r="165" spans="1:8" x14ac:dyDescent="0.2">
      <c r="A165" s="488"/>
      <c r="B165" s="136"/>
      <c r="C165" s="940"/>
      <c r="E165" s="1497"/>
    </row>
    <row r="166" spans="1:8" x14ac:dyDescent="0.2">
      <c r="A166" s="488"/>
      <c r="B166" s="136"/>
      <c r="C166" s="940"/>
      <c r="E166" s="1497"/>
    </row>
    <row r="167" spans="1:8" x14ac:dyDescent="0.2">
      <c r="A167" s="488"/>
      <c r="B167" s="136"/>
      <c r="C167" s="940"/>
      <c r="E167" s="1497"/>
    </row>
    <row r="168" spans="1:8" x14ac:dyDescent="0.2">
      <c r="A168" s="488"/>
      <c r="B168" s="136"/>
      <c r="C168" s="940"/>
      <c r="E168" s="1497"/>
    </row>
    <row r="169" spans="1:8" x14ac:dyDescent="0.2">
      <c r="A169" s="488"/>
      <c r="B169" s="136"/>
      <c r="C169" s="940"/>
      <c r="E169" s="1497"/>
    </row>
    <row r="170" spans="1:8" x14ac:dyDescent="0.2">
      <c r="A170" s="488"/>
      <c r="B170" s="136"/>
      <c r="C170" s="940"/>
      <c r="E170" s="1497"/>
    </row>
    <row r="171" spans="1:8" x14ac:dyDescent="0.2">
      <c r="A171" s="488"/>
      <c r="B171" s="136"/>
      <c r="C171" s="940"/>
      <c r="E171" s="1497"/>
    </row>
    <row r="172" spans="1:8" x14ac:dyDescent="0.2">
      <c r="A172" s="488"/>
      <c r="B172" s="136"/>
      <c r="C172" s="940"/>
      <c r="E172" s="1497"/>
    </row>
    <row r="173" spans="1:8" x14ac:dyDescent="0.2">
      <c r="A173" s="488"/>
      <c r="B173" s="136"/>
      <c r="C173" s="940"/>
      <c r="E173" s="1497"/>
    </row>
    <row r="174" spans="1:8" x14ac:dyDescent="0.2">
      <c r="A174" s="488"/>
      <c r="B174" s="136"/>
      <c r="C174" s="940"/>
      <c r="E174" s="1497"/>
    </row>
    <row r="175" spans="1:8" x14ac:dyDescent="0.2">
      <c r="A175" s="488"/>
      <c r="B175" s="136"/>
      <c r="C175" s="940"/>
      <c r="E175" s="1497"/>
    </row>
    <row r="176" spans="1:8" x14ac:dyDescent="0.2">
      <c r="A176" s="488"/>
      <c r="B176" s="136"/>
      <c r="C176" s="940"/>
      <c r="E176" s="1497"/>
    </row>
    <row r="177" spans="1:5" x14ac:dyDescent="0.2">
      <c r="A177" s="488"/>
      <c r="B177" s="136"/>
      <c r="C177" s="940"/>
      <c r="E177" s="1497"/>
    </row>
    <row r="178" spans="1:5" x14ac:dyDescent="0.2">
      <c r="A178" s="488"/>
      <c r="B178" s="136"/>
      <c r="C178" s="940"/>
      <c r="E178" s="1497"/>
    </row>
    <row r="179" spans="1:5" x14ac:dyDescent="0.2">
      <c r="A179" s="488"/>
      <c r="B179" s="136"/>
      <c r="C179" s="940"/>
      <c r="E179" s="1497"/>
    </row>
    <row r="180" spans="1:5" x14ac:dyDescent="0.2">
      <c r="A180" s="488"/>
      <c r="B180" s="136"/>
      <c r="C180" s="940"/>
      <c r="E180" s="1497"/>
    </row>
    <row r="181" spans="1:5" x14ac:dyDescent="0.2">
      <c r="A181" s="488"/>
      <c r="B181" s="136"/>
      <c r="C181" s="940"/>
      <c r="E181" s="1497"/>
    </row>
    <row r="182" spans="1:5" x14ac:dyDescent="0.2">
      <c r="A182" s="488"/>
      <c r="B182" s="136"/>
      <c r="C182" s="940"/>
      <c r="E182" s="1497"/>
    </row>
    <row r="183" spans="1:5" x14ac:dyDescent="0.2">
      <c r="A183" s="488"/>
      <c r="B183" s="136"/>
      <c r="C183" s="940"/>
      <c r="E183" s="1497"/>
    </row>
    <row r="184" spans="1:5" x14ac:dyDescent="0.2">
      <c r="A184" s="488"/>
      <c r="B184" s="136"/>
      <c r="C184" s="940"/>
      <c r="E184" s="1497"/>
    </row>
    <row r="185" spans="1:5" x14ac:dyDescent="0.2">
      <c r="A185" s="488"/>
      <c r="B185" s="136"/>
      <c r="C185" s="940"/>
      <c r="E185" s="1497"/>
    </row>
    <row r="186" spans="1:5" x14ac:dyDescent="0.2">
      <c r="A186" s="488"/>
      <c r="B186" s="136"/>
      <c r="C186" s="940"/>
      <c r="E186" s="1497"/>
    </row>
    <row r="187" spans="1:5" x14ac:dyDescent="0.2">
      <c r="A187" s="488"/>
      <c r="B187" s="136"/>
      <c r="C187" s="940"/>
      <c r="E187" s="1497"/>
    </row>
    <row r="188" spans="1:5" x14ac:dyDescent="0.2">
      <c r="A188" s="488"/>
      <c r="B188" s="136"/>
      <c r="C188" s="940"/>
      <c r="E188" s="1497"/>
    </row>
    <row r="189" spans="1:5" x14ac:dyDescent="0.2">
      <c r="A189" s="488"/>
      <c r="B189" s="136"/>
      <c r="C189" s="940"/>
      <c r="E189" s="1497"/>
    </row>
    <row r="190" spans="1:5" x14ac:dyDescent="0.2">
      <c r="A190" s="488"/>
      <c r="B190" s="136"/>
      <c r="C190" s="940"/>
      <c r="E190" s="1497"/>
    </row>
    <row r="191" spans="1:5" x14ac:dyDescent="0.2">
      <c r="A191" s="488"/>
      <c r="B191" s="136"/>
      <c r="C191" s="940"/>
      <c r="E191" s="1497"/>
    </row>
    <row r="192" spans="1:5" x14ac:dyDescent="0.2">
      <c r="A192" s="488"/>
      <c r="B192" s="136"/>
      <c r="C192" s="940"/>
      <c r="E192" s="1497"/>
    </row>
    <row r="193" spans="1:5" x14ac:dyDescent="0.2">
      <c r="A193" s="488"/>
      <c r="B193" s="136"/>
      <c r="C193" s="940"/>
      <c r="E193" s="1497"/>
    </row>
    <row r="194" spans="1:5" x14ac:dyDescent="0.2">
      <c r="A194" s="488"/>
      <c r="B194" s="136"/>
      <c r="C194" s="940"/>
      <c r="E194" s="1497"/>
    </row>
    <row r="195" spans="1:5" x14ac:dyDescent="0.2">
      <c r="A195" s="488"/>
      <c r="B195" s="136"/>
      <c r="C195" s="940"/>
      <c r="E195" s="1497"/>
    </row>
    <row r="196" spans="1:5" x14ac:dyDescent="0.2">
      <c r="A196" s="488"/>
      <c r="B196" s="136"/>
      <c r="C196" s="940"/>
      <c r="E196" s="1497"/>
    </row>
    <row r="197" spans="1:5" x14ac:dyDescent="0.2">
      <c r="A197" s="488"/>
      <c r="B197" s="136"/>
      <c r="C197" s="940"/>
      <c r="E197" s="1497"/>
    </row>
    <row r="198" spans="1:5" x14ac:dyDescent="0.2">
      <c r="A198" s="488"/>
      <c r="B198" s="136"/>
      <c r="C198" s="940"/>
      <c r="E198" s="1497"/>
    </row>
    <row r="199" spans="1:5" x14ac:dyDescent="0.2">
      <c r="A199" s="488"/>
      <c r="B199" s="136"/>
      <c r="C199" s="940"/>
      <c r="E199" s="1497"/>
    </row>
    <row r="200" spans="1:5" x14ac:dyDescent="0.2">
      <c r="A200" s="488"/>
      <c r="B200" s="136"/>
      <c r="C200" s="940"/>
      <c r="E200" s="1497"/>
    </row>
    <row r="201" spans="1:5" x14ac:dyDescent="0.2">
      <c r="A201" s="488"/>
      <c r="B201" s="136"/>
      <c r="C201" s="940"/>
      <c r="E201" s="1497"/>
    </row>
    <row r="202" spans="1:5" x14ac:dyDescent="0.2">
      <c r="A202" s="488"/>
      <c r="B202" s="136"/>
      <c r="C202" s="940"/>
      <c r="E202" s="1497"/>
    </row>
    <row r="203" spans="1:5" x14ac:dyDescent="0.2">
      <c r="A203" s="488"/>
      <c r="B203" s="136"/>
      <c r="C203" s="940"/>
      <c r="E203" s="1497"/>
    </row>
    <row r="204" spans="1:5" x14ac:dyDescent="0.2">
      <c r="A204" s="488"/>
      <c r="B204" s="136"/>
      <c r="C204" s="940"/>
      <c r="E204" s="1497"/>
    </row>
    <row r="205" spans="1:5" x14ac:dyDescent="0.2">
      <c r="A205" s="488"/>
      <c r="B205" s="136"/>
      <c r="C205" s="940"/>
      <c r="E205" s="1497"/>
    </row>
    <row r="206" spans="1:5" x14ac:dyDescent="0.2">
      <c r="A206" s="488"/>
      <c r="B206" s="136"/>
      <c r="C206" s="940"/>
      <c r="E206" s="1497"/>
    </row>
    <row r="207" spans="1:5" x14ac:dyDescent="0.2">
      <c r="A207" s="488"/>
      <c r="B207" s="136"/>
      <c r="C207" s="940"/>
      <c r="E207" s="1497"/>
    </row>
    <row r="208" spans="1:5" x14ac:dyDescent="0.2">
      <c r="A208" s="488"/>
      <c r="B208" s="136"/>
      <c r="C208" s="940"/>
      <c r="E208" s="1497"/>
    </row>
    <row r="209" spans="1:5" x14ac:dyDescent="0.2">
      <c r="A209" s="488"/>
      <c r="B209" s="136"/>
      <c r="C209" s="940"/>
      <c r="E209" s="1497"/>
    </row>
    <row r="210" spans="1:5" x14ac:dyDescent="0.2">
      <c r="A210" s="488"/>
      <c r="B210" s="136"/>
      <c r="C210" s="940"/>
      <c r="E210" s="1497"/>
    </row>
    <row r="211" spans="1:5" x14ac:dyDescent="0.2">
      <c r="A211" s="488"/>
      <c r="B211" s="136"/>
      <c r="C211" s="940"/>
      <c r="E211" s="1497"/>
    </row>
    <row r="212" spans="1:5" x14ac:dyDescent="0.2">
      <c r="A212" s="488"/>
      <c r="B212" s="136"/>
      <c r="C212" s="940"/>
      <c r="E212" s="1497"/>
    </row>
    <row r="213" spans="1:5" x14ac:dyDescent="0.2">
      <c r="A213" s="488"/>
      <c r="B213" s="136"/>
      <c r="C213" s="940"/>
      <c r="E213" s="1497"/>
    </row>
    <row r="214" spans="1:5" x14ac:dyDescent="0.2">
      <c r="A214" s="488"/>
      <c r="B214" s="136"/>
      <c r="C214" s="940"/>
      <c r="E214" s="1497"/>
    </row>
    <row r="215" spans="1:5" x14ac:dyDescent="0.2">
      <c r="A215" s="488"/>
      <c r="B215" s="136"/>
      <c r="C215" s="940"/>
      <c r="E215" s="1497"/>
    </row>
    <row r="216" spans="1:5" x14ac:dyDescent="0.2">
      <c r="A216" s="488"/>
      <c r="B216" s="136"/>
      <c r="C216" s="940"/>
      <c r="E216" s="1497"/>
    </row>
    <row r="217" spans="1:5" x14ac:dyDescent="0.2">
      <c r="A217" s="488"/>
      <c r="B217" s="136"/>
      <c r="C217" s="940"/>
      <c r="E217" s="1497"/>
    </row>
    <row r="218" spans="1:5" x14ac:dyDescent="0.2">
      <c r="A218" s="488"/>
      <c r="B218" s="136"/>
      <c r="C218" s="940"/>
      <c r="E218" s="1497"/>
    </row>
    <row r="219" spans="1:5" x14ac:dyDescent="0.2">
      <c r="A219" s="488"/>
      <c r="B219" s="136"/>
      <c r="C219" s="940"/>
      <c r="E219" s="1497"/>
    </row>
    <row r="220" spans="1:5" x14ac:dyDescent="0.2">
      <c r="A220" s="488"/>
      <c r="B220" s="136"/>
      <c r="C220" s="940"/>
      <c r="E220" s="1497"/>
    </row>
    <row r="221" spans="1:5" x14ac:dyDescent="0.2">
      <c r="A221" s="488"/>
      <c r="B221" s="136"/>
      <c r="C221" s="940"/>
      <c r="E221" s="1497"/>
    </row>
    <row r="222" spans="1:5" x14ac:dyDescent="0.2">
      <c r="A222" s="488"/>
      <c r="B222" s="136"/>
      <c r="C222" s="940"/>
      <c r="E222" s="1497"/>
    </row>
    <row r="223" spans="1:5" x14ac:dyDescent="0.2">
      <c r="A223" s="488"/>
      <c r="B223" s="136"/>
      <c r="C223" s="940"/>
      <c r="E223" s="1497"/>
    </row>
    <row r="224" spans="1:5" x14ac:dyDescent="0.2">
      <c r="A224" s="488"/>
      <c r="B224" s="136"/>
      <c r="C224" s="940"/>
      <c r="E224" s="1497"/>
    </row>
    <row r="225" spans="1:5" x14ac:dyDescent="0.2">
      <c r="A225" s="488"/>
      <c r="B225" s="136"/>
      <c r="C225" s="940"/>
      <c r="E225" s="1497"/>
    </row>
    <row r="226" spans="1:5" x14ac:dyDescent="0.2">
      <c r="A226" s="488"/>
      <c r="B226" s="136"/>
      <c r="C226" s="940"/>
      <c r="E226" s="1497"/>
    </row>
    <row r="227" spans="1:5" x14ac:dyDescent="0.2">
      <c r="A227" s="488"/>
      <c r="B227" s="136"/>
      <c r="C227" s="940"/>
      <c r="E227" s="1497"/>
    </row>
    <row r="228" spans="1:5" x14ac:dyDescent="0.2">
      <c r="A228" s="488"/>
      <c r="B228" s="136"/>
      <c r="C228" s="940"/>
      <c r="E228" s="1497"/>
    </row>
    <row r="229" spans="1:5" x14ac:dyDescent="0.2">
      <c r="A229" s="488"/>
      <c r="B229" s="136"/>
      <c r="C229" s="940"/>
      <c r="E229" s="1497"/>
    </row>
    <row r="230" spans="1:5" x14ac:dyDescent="0.2">
      <c r="A230" s="488"/>
      <c r="B230" s="136"/>
      <c r="C230" s="940"/>
      <c r="E230" s="1497"/>
    </row>
    <row r="231" spans="1:5" x14ac:dyDescent="0.2">
      <c r="A231" s="488"/>
      <c r="B231" s="136"/>
      <c r="C231" s="940"/>
      <c r="E231" s="1497"/>
    </row>
    <row r="232" spans="1:5" x14ac:dyDescent="0.2">
      <c r="A232" s="488"/>
      <c r="B232" s="136"/>
      <c r="C232" s="940"/>
      <c r="E232" s="1497"/>
    </row>
    <row r="233" spans="1:5" x14ac:dyDescent="0.2">
      <c r="A233" s="488"/>
      <c r="B233" s="136"/>
      <c r="C233" s="940"/>
      <c r="E233" s="1497"/>
    </row>
    <row r="234" spans="1:5" x14ac:dyDescent="0.2">
      <c r="A234" s="488"/>
      <c r="B234" s="136"/>
      <c r="C234" s="940"/>
      <c r="E234" s="1497"/>
    </row>
    <row r="235" spans="1:5" x14ac:dyDescent="0.2">
      <c r="A235" s="488"/>
      <c r="B235" s="136"/>
      <c r="C235" s="940"/>
      <c r="E235" s="1497"/>
    </row>
    <row r="236" spans="1:5" x14ac:dyDescent="0.2">
      <c r="A236" s="488"/>
      <c r="E236" s="1497"/>
    </row>
    <row r="237" spans="1:5" x14ac:dyDescent="0.2">
      <c r="A237" s="488"/>
      <c r="E237" s="1497"/>
    </row>
    <row r="238" spans="1:5" x14ac:dyDescent="0.2">
      <c r="A238" s="488"/>
      <c r="E238" s="1497"/>
    </row>
    <row r="239" spans="1:5" x14ac:dyDescent="0.2">
      <c r="A239" s="488"/>
      <c r="E239" s="1497"/>
    </row>
    <row r="240" spans="1:5" x14ac:dyDescent="0.2">
      <c r="A240" s="488"/>
    </row>
  </sheetData>
  <sheetProtection password="C4B9" sheet="1" objects="1" scenarios="1"/>
  <sortState ref="A3:L17">
    <sortCondition ref="H3:H17"/>
  </sortState>
  <customSheetViews>
    <customSheetView guid="{B8E02330-2419-4DE6-AD01-7ACC7A5D18DD}" scale="75" topLeftCell="A108">
      <selection activeCell="F120" sqref="F120"/>
      <pageMargins left="0.75" right="0.75" top="1" bottom="1" header="0.5" footer="0.5"/>
      <pageSetup orientation="portrait" horizontalDpi="4294967294" verticalDpi="300" r:id="rId1"/>
      <headerFooter alignWithMargins="0"/>
    </customSheetView>
  </customSheetViews>
  <mergeCells count="67">
    <mergeCell ref="A95:A99"/>
    <mergeCell ref="I70:I75"/>
    <mergeCell ref="I76:I81"/>
    <mergeCell ref="I90:I94"/>
    <mergeCell ref="I86:I89"/>
    <mergeCell ref="A82:A85"/>
    <mergeCell ref="A90:A94"/>
    <mergeCell ref="A86:A89"/>
    <mergeCell ref="B100:B104"/>
    <mergeCell ref="I100:I104"/>
    <mergeCell ref="H100:H104"/>
    <mergeCell ref="I49:I55"/>
    <mergeCell ref="I63:I69"/>
    <mergeCell ref="I56:I62"/>
    <mergeCell ref="I95:I99"/>
    <mergeCell ref="B82:B85"/>
    <mergeCell ref="B76:B81"/>
    <mergeCell ref="I82:I85"/>
    <mergeCell ref="H76:H79"/>
    <mergeCell ref="B70:B75"/>
    <mergeCell ref="B133:B134"/>
    <mergeCell ref="B27:B30"/>
    <mergeCell ref="H31:H36"/>
    <mergeCell ref="B86:B89"/>
    <mergeCell ref="H86:H89"/>
    <mergeCell ref="H90:H94"/>
    <mergeCell ref="H27:H30"/>
    <mergeCell ref="H95:H99"/>
    <mergeCell ref="H37:H42"/>
    <mergeCell ref="H43:H48"/>
    <mergeCell ref="H63:H69"/>
    <mergeCell ref="H49:H55"/>
    <mergeCell ref="H56:H62"/>
    <mergeCell ref="B95:B99"/>
    <mergeCell ref="B90:B94"/>
    <mergeCell ref="H82:H85"/>
    <mergeCell ref="I43:I48"/>
    <mergeCell ref="A56:A62"/>
    <mergeCell ref="B56:B62"/>
    <mergeCell ref="A70:A75"/>
    <mergeCell ref="A63:A69"/>
    <mergeCell ref="B63:B69"/>
    <mergeCell ref="E1:H1"/>
    <mergeCell ref="A76:A81"/>
    <mergeCell ref="A49:A55"/>
    <mergeCell ref="B49:B55"/>
    <mergeCell ref="B13:B19"/>
    <mergeCell ref="A13:A19"/>
    <mergeCell ref="H70:H75"/>
    <mergeCell ref="B37:B42"/>
    <mergeCell ref="H13:H19"/>
    <mergeCell ref="C119:G119"/>
    <mergeCell ref="A1:B1"/>
    <mergeCell ref="B43:B48"/>
    <mergeCell ref="A31:A36"/>
    <mergeCell ref="I31:I36"/>
    <mergeCell ref="B31:B36"/>
    <mergeCell ref="I27:I30"/>
    <mergeCell ref="I20:I26"/>
    <mergeCell ref="H20:H26"/>
    <mergeCell ref="B20:B26"/>
    <mergeCell ref="A27:A30"/>
    <mergeCell ref="A37:A42"/>
    <mergeCell ref="A43:A48"/>
    <mergeCell ref="I13:I19"/>
    <mergeCell ref="I37:I42"/>
    <mergeCell ref="A20:A26"/>
  </mergeCells>
  <phoneticPr fontId="12" type="noConversion"/>
  <conditionalFormatting sqref="B7:B10">
    <cfRule type="cellIs" dxfId="12" priority="16" stopIfTrue="1" operator="equal">
      <formula>1</formula>
    </cfRule>
  </conditionalFormatting>
  <pageMargins left="0.75" right="0.75" top="1" bottom="1" header="0.5" footer="0.5"/>
  <pageSetup orientation="portrait" horizontalDpi="4294967294"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100"/>
  <sheetViews>
    <sheetView zoomScaleNormal="100" workbookViewId="0">
      <selection activeCell="D14" sqref="D14"/>
    </sheetView>
  </sheetViews>
  <sheetFormatPr defaultColWidth="9.33203125" defaultRowHeight="16.5" x14ac:dyDescent="0.2"/>
  <cols>
    <col min="1" max="1" width="5.83203125" style="25" customWidth="1"/>
    <col min="2" max="2" width="18.83203125" style="25" customWidth="1"/>
    <col min="3" max="3" width="69.83203125" style="5" customWidth="1"/>
    <col min="4" max="4" width="6.83203125" style="574" customWidth="1"/>
    <col min="5" max="5" width="7.83203125" style="574" customWidth="1"/>
    <col min="6" max="6" width="9.33203125" style="574" customWidth="1"/>
    <col min="7" max="7" width="10.83203125" style="179" customWidth="1"/>
    <col min="8" max="8" width="14.6640625" style="574" customWidth="1"/>
    <col min="9" max="9" width="67.83203125" style="5" customWidth="1"/>
    <col min="10" max="10" width="66" style="71" customWidth="1"/>
    <col min="11" max="12" width="9.33203125" style="5"/>
    <col min="13" max="13" width="64.83203125" style="5" customWidth="1"/>
    <col min="14" max="16384" width="9.33203125" style="5"/>
  </cols>
  <sheetData>
    <row r="1" spans="1:48" ht="66" customHeight="1" thickBot="1" x14ac:dyDescent="0.25">
      <c r="A1" s="2033" t="s">
        <v>1751</v>
      </c>
      <c r="B1" s="2034"/>
      <c r="C1" s="60" t="s">
        <v>520</v>
      </c>
      <c r="D1" s="73" t="s">
        <v>521</v>
      </c>
      <c r="E1" s="2030"/>
      <c r="F1" s="2031"/>
      <c r="G1" s="2031"/>
      <c r="H1" s="2032"/>
      <c r="I1" s="1393" t="s">
        <v>880</v>
      </c>
    </row>
    <row r="2" spans="1:48" s="334" customFormat="1" ht="47.25" customHeight="1" thickBot="1" x14ac:dyDescent="0.25">
      <c r="A2" s="1008" t="s">
        <v>78</v>
      </c>
      <c r="B2" s="1009" t="s">
        <v>701</v>
      </c>
      <c r="C2" s="1010" t="s">
        <v>866</v>
      </c>
      <c r="D2" s="1008"/>
      <c r="E2" s="1011"/>
      <c r="F2" s="1012"/>
      <c r="G2" s="1013" t="s">
        <v>710</v>
      </c>
      <c r="H2" s="1009" t="s">
        <v>2029</v>
      </c>
      <c r="I2" s="1009" t="s">
        <v>255</v>
      </c>
    </row>
    <row r="3" spans="1:48" s="1325" customFormat="1" ht="57" customHeight="1" thickBot="1" x14ac:dyDescent="0.25">
      <c r="A3" s="317" t="str">
        <f>OF!A10</f>
        <v>OF9</v>
      </c>
      <c r="B3" s="318" t="str">
        <f>OF!C10</f>
        <v xml:space="preserve">Elevation Percentile Within HUC8 </v>
      </c>
      <c r="C3" s="336"/>
      <c r="D3" s="320"/>
      <c r="E3" s="321"/>
      <c r="F3" s="321"/>
      <c r="G3" s="343" t="str">
        <f>IF((ElevPctileHUC8=""),"",ElevPctileHUC8)</f>
        <v/>
      </c>
      <c r="H3" s="331" t="s">
        <v>670</v>
      </c>
      <c r="I3" s="348" t="s">
        <v>1343</v>
      </c>
      <c r="K3" s="1596"/>
    </row>
    <row r="4" spans="1:48" s="1325" customFormat="1" ht="30" customHeight="1" thickBot="1" x14ac:dyDescent="0.25">
      <c r="A4" s="317" t="str">
        <f>OF!A17</f>
        <v>OF16</v>
      </c>
      <c r="B4" s="1308" t="str">
        <f>OF!C17</f>
        <v>Groundwater Discharge Area or Spring</v>
      </c>
      <c r="C4" s="336"/>
      <c r="D4" s="1259"/>
      <c r="E4" s="1260"/>
      <c r="F4" s="1260"/>
      <c r="G4" s="809" t="str">
        <f>IF((GWDspring=""),"",GWDspring)</f>
        <v/>
      </c>
      <c r="H4" s="1309" t="s">
        <v>668</v>
      </c>
      <c r="I4" s="348" t="s">
        <v>2382</v>
      </c>
    </row>
    <row r="5" spans="1:48" s="1325" customFormat="1" ht="30" customHeight="1" thickBot="1" x14ac:dyDescent="0.25">
      <c r="A5" s="322" t="str">
        <f>OF!A28</f>
        <v>OF27</v>
      </c>
      <c r="B5" s="323" t="str">
        <f>OF!C28</f>
        <v>Climate Moisture Surplus (P-PET)</v>
      </c>
      <c r="C5" s="337"/>
      <c r="D5" s="324"/>
      <c r="E5" s="325"/>
      <c r="F5" s="325"/>
      <c r="G5" s="345" t="str">
        <f>IF((PPET=""),"",PPET)</f>
        <v/>
      </c>
      <c r="H5" s="351" t="s">
        <v>664</v>
      </c>
      <c r="I5" s="349" t="s">
        <v>1032</v>
      </c>
      <c r="J5" s="71"/>
      <c r="K5" s="1596"/>
      <c r="L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48" s="1325" customFormat="1" ht="30" customHeight="1" thickBot="1" x14ac:dyDescent="0.25">
      <c r="A6" s="317" t="str">
        <f>OF!A34</f>
        <v>OF33</v>
      </c>
      <c r="B6" s="318" t="str">
        <f>OF!C34</f>
        <v>Riparian or Floodway Location</v>
      </c>
      <c r="C6" s="336"/>
      <c r="D6" s="320"/>
      <c r="E6" s="321"/>
      <c r="F6" s="321"/>
      <c r="G6" s="330" t="str">
        <f>IF((RipFloodpl=""),"",RipFloodpl)</f>
        <v/>
      </c>
      <c r="H6" s="331" t="s">
        <v>697</v>
      </c>
      <c r="I6" s="348" t="s">
        <v>1033</v>
      </c>
      <c r="K6" s="1596"/>
    </row>
    <row r="7" spans="1:48" s="1325" customFormat="1" ht="30" customHeight="1" thickBot="1" x14ac:dyDescent="0.25">
      <c r="A7" s="317" t="str">
        <f>OF!A37</f>
        <v>OF36</v>
      </c>
      <c r="B7" s="318" t="str">
        <f>OF!C37</f>
        <v>Subzero Days</v>
      </c>
      <c r="C7" s="336"/>
      <c r="D7" s="320"/>
      <c r="E7" s="321"/>
      <c r="F7" s="321"/>
      <c r="G7" s="343" t="str">
        <f>IF((Sub0Days=""),"",Sub0Days)</f>
        <v/>
      </c>
      <c r="H7" s="331" t="s">
        <v>689</v>
      </c>
      <c r="I7" s="348" t="s">
        <v>1034</v>
      </c>
      <c r="K7" s="1596"/>
    </row>
    <row r="8" spans="1:48" s="1325" customFormat="1" ht="51.75" thickBot="1" x14ac:dyDescent="0.25">
      <c r="A8" s="317" t="str">
        <f>OF!A48</f>
        <v>OF47</v>
      </c>
      <c r="B8" s="318" t="str">
        <f>OF!C48</f>
        <v>Wetland as a % of Its HUC8</v>
      </c>
      <c r="C8" s="336"/>
      <c r="D8" s="320"/>
      <c r="E8" s="321"/>
      <c r="F8" s="321"/>
      <c r="G8" s="343" t="str">
        <f>IF((WetPctHUC8=""),"",WetPctHUC8)</f>
        <v/>
      </c>
      <c r="H8" s="331" t="s">
        <v>792</v>
      </c>
      <c r="I8" s="348" t="s">
        <v>1344</v>
      </c>
      <c r="K8" s="1596"/>
    </row>
    <row r="9" spans="1:48" ht="32.25" customHeight="1" thickBot="1" x14ac:dyDescent="0.25">
      <c r="A9" s="322" t="str">
        <f>OF!A49</f>
        <v>OF48</v>
      </c>
      <c r="B9" s="323" t="str">
        <f>OF!C49</f>
        <v>Upland Edge Index</v>
      </c>
      <c r="C9" s="337"/>
      <c r="D9" s="324"/>
      <c r="E9" s="325"/>
      <c r="F9" s="325"/>
      <c r="G9" s="346" t="str">
        <f>IF((WetPerim2Area=""),"",1-WetPerim2Area)</f>
        <v/>
      </c>
      <c r="H9" s="351" t="s">
        <v>657</v>
      </c>
      <c r="I9" s="349" t="s">
        <v>1091</v>
      </c>
      <c r="J9" s="1325"/>
      <c r="K9" s="1596"/>
      <c r="L9" s="1325"/>
      <c r="N9" s="1325"/>
      <c r="O9" s="1325"/>
      <c r="P9" s="1325"/>
      <c r="Q9" s="1325"/>
      <c r="R9" s="1325"/>
      <c r="S9" s="1325"/>
      <c r="T9" s="1325"/>
      <c r="U9" s="1325"/>
      <c r="V9" s="1325"/>
      <c r="W9" s="1325"/>
      <c r="X9" s="1325"/>
      <c r="Y9" s="1325"/>
      <c r="Z9" s="1325"/>
      <c r="AA9" s="1325"/>
      <c r="AB9" s="1325"/>
      <c r="AC9" s="1325"/>
      <c r="AD9" s="1325"/>
      <c r="AE9" s="1325"/>
      <c r="AF9" s="1325"/>
      <c r="AG9" s="1325"/>
      <c r="AH9" s="1325"/>
      <c r="AI9" s="1325"/>
      <c r="AJ9" s="1325"/>
      <c r="AK9" s="1325"/>
      <c r="AL9" s="1325"/>
      <c r="AM9" s="1325"/>
      <c r="AN9" s="1325"/>
      <c r="AO9" s="1325"/>
      <c r="AP9" s="1325"/>
      <c r="AQ9" s="1325"/>
      <c r="AR9" s="1325"/>
      <c r="AS9" s="1325"/>
      <c r="AT9" s="1325"/>
      <c r="AU9" s="1325"/>
      <c r="AV9" s="1325"/>
    </row>
    <row r="10" spans="1:48" s="1325" customFormat="1" ht="26.25" thickBot="1" x14ac:dyDescent="0.25">
      <c r="A10" s="317" t="str">
        <f>OF!A50</f>
        <v>OF49</v>
      </c>
      <c r="B10" s="318" t="str">
        <f>OF!C50</f>
        <v>Wetland Vegetated Area (in hectares)</v>
      </c>
      <c r="C10" s="336"/>
      <c r="D10" s="320"/>
      <c r="E10" s="321"/>
      <c r="F10" s="321"/>
      <c r="G10" s="343" t="str">
        <f>IF((WetVegArea=""),"",1-WetVegArea)</f>
        <v/>
      </c>
      <c r="H10" s="331" t="s">
        <v>656</v>
      </c>
      <c r="I10" s="348" t="s">
        <v>1035</v>
      </c>
      <c r="J10" s="71"/>
      <c r="K10" s="1596"/>
    </row>
    <row r="11" spans="1:48" s="1325" customFormat="1" ht="39" thickBot="1" x14ac:dyDescent="0.25">
      <c r="A11" s="317" t="str">
        <f>OF!A52</f>
        <v>OF51</v>
      </c>
      <c r="B11" s="318" t="str">
        <f>OF!C52</f>
        <v>Wind Energy - Summer</v>
      </c>
      <c r="C11" s="336"/>
      <c r="D11" s="320"/>
      <c r="E11" s="321"/>
      <c r="F11" s="321"/>
      <c r="G11" s="343" t="str">
        <f>IF((WindSumm=""),"",1-WindSumm)</f>
        <v/>
      </c>
      <c r="H11" s="331" t="s">
        <v>666</v>
      </c>
      <c r="I11" s="348" t="s">
        <v>1036</v>
      </c>
      <c r="K11" s="1596"/>
    </row>
    <row r="12" spans="1:48" s="1" customFormat="1" ht="36" customHeight="1" thickBot="1" x14ac:dyDescent="0.25">
      <c r="A12" s="757" t="s">
        <v>78</v>
      </c>
      <c r="B12" s="739" t="s">
        <v>709</v>
      </c>
      <c r="C12" s="731" t="s">
        <v>708</v>
      </c>
      <c r="D12" s="740" t="s">
        <v>33</v>
      </c>
      <c r="E12" s="741" t="s">
        <v>1131</v>
      </c>
      <c r="F12" s="742" t="s">
        <v>1130</v>
      </c>
      <c r="G12" s="743" t="s">
        <v>710</v>
      </c>
      <c r="H12" s="750" t="s">
        <v>2028</v>
      </c>
      <c r="I12" s="638" t="s">
        <v>917</v>
      </c>
      <c r="J12" s="44"/>
    </row>
    <row r="13" spans="1:48" s="6" customFormat="1" ht="21" customHeight="1" thickBot="1" x14ac:dyDescent="0.25">
      <c r="A13" s="1992" t="str">
        <f>F!A5</f>
        <v>F1</v>
      </c>
      <c r="B13" s="1867" t="str">
        <f>F!B5</f>
        <v>Wetland Type - Predominant</v>
      </c>
      <c r="C13" s="352" t="str">
        <f>F!C5</f>
        <v>Follow the key below and mark the ONE row that best describes MOST of the AA:</v>
      </c>
      <c r="D13" s="756"/>
      <c r="E13" s="353"/>
      <c r="F13" s="224"/>
      <c r="G13" s="225">
        <f>MAX(F14:F19)/MAX(E14:E19)</f>
        <v>0</v>
      </c>
      <c r="H13" s="1867" t="s">
        <v>234</v>
      </c>
      <c r="I13" s="2022" t="s">
        <v>1345</v>
      </c>
      <c r="J13" s="76"/>
    </row>
    <row r="14" spans="1:48" s="6" customFormat="1" ht="41.25" customHeight="1" x14ac:dyDescent="0.2">
      <c r="A14" s="1991"/>
      <c r="B14" s="1911"/>
      <c r="C14" s="934" t="str">
        <f>F!C6</f>
        <v>A. Moss and/or lichen cover more than 25% of the ground. Substrate is mostly undecomposed peat. Choose between A1 and A2 and mark the choice with a 1 in their adjoining column. Otherwise go to B below.</v>
      </c>
      <c r="D14" s="754"/>
      <c r="E14" s="754"/>
      <c r="F14" s="755"/>
      <c r="G14" s="222"/>
      <c r="H14" s="1911"/>
      <c r="I14" s="2023"/>
      <c r="J14" s="76"/>
    </row>
    <row r="15" spans="1:48" s="6" customFormat="1" ht="89.25" x14ac:dyDescent="0.2">
      <c r="A15" s="1991"/>
      <c r="B15" s="1911"/>
      <c r="C15" s="935"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5" s="733">
        <f>F!D7</f>
        <v>0</v>
      </c>
      <c r="E15" s="754">
        <v>2</v>
      </c>
      <c r="F15" s="755">
        <f t="shared" ref="F15:F19" si="0">D15*E15</f>
        <v>0</v>
      </c>
      <c r="G15" s="222"/>
      <c r="H15" s="1911"/>
      <c r="I15" s="2023"/>
      <c r="J15" s="76"/>
    </row>
    <row r="16" spans="1:48" s="6" customFormat="1" ht="63.75" x14ac:dyDescent="0.2">
      <c r="A16" s="1991"/>
      <c r="B16" s="1911"/>
      <c r="C16" s="935"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6" s="733">
        <f>F!D8</f>
        <v>0</v>
      </c>
      <c r="E16" s="754">
        <v>3</v>
      </c>
      <c r="F16" s="755">
        <f t="shared" si="0"/>
        <v>0</v>
      </c>
      <c r="G16" s="222"/>
      <c r="H16" s="1911"/>
      <c r="I16" s="2023"/>
      <c r="J16" s="76"/>
    </row>
    <row r="17" spans="1:10" s="6" customFormat="1" ht="38.25" x14ac:dyDescent="0.2">
      <c r="A17" s="1991"/>
      <c r="B17" s="1911"/>
      <c r="C17" s="935" t="str">
        <f>F!C9</f>
        <v>B. Moss and/or lichen cover less than 25% of the ground. Soil is mineral or decomposed organic (muck). Choose between B1 and B2 and mark the choice with a 1 in their adjoining column:</v>
      </c>
      <c r="D17" s="754"/>
      <c r="E17" s="754"/>
      <c r="F17" s="755"/>
      <c r="G17" s="222"/>
      <c r="H17" s="1911"/>
      <c r="I17" s="2023"/>
      <c r="J17" s="76"/>
    </row>
    <row r="18" spans="1:10" s="6" customFormat="1" ht="51" x14ac:dyDescent="0.2">
      <c r="A18" s="1991"/>
      <c r="B18" s="1911"/>
      <c r="C18" s="935"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8" s="733">
        <f>F!D10</f>
        <v>0</v>
      </c>
      <c r="E18" s="754">
        <v>1</v>
      </c>
      <c r="F18" s="755">
        <f t="shared" si="0"/>
        <v>0</v>
      </c>
      <c r="G18" s="222"/>
      <c r="H18" s="1911"/>
      <c r="I18" s="2023"/>
      <c r="J18" s="76"/>
    </row>
    <row r="19" spans="1:10" s="6" customFormat="1" ht="77.25" thickBot="1" x14ac:dyDescent="0.25">
      <c r="A19" s="1991"/>
      <c r="B19" s="1911"/>
      <c r="C19" s="935"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9" s="733">
        <f>F!D11</f>
        <v>0</v>
      </c>
      <c r="E19" s="754">
        <v>0</v>
      </c>
      <c r="F19" s="755">
        <f t="shared" si="0"/>
        <v>0</v>
      </c>
      <c r="G19" s="222"/>
      <c r="H19" s="1911"/>
      <c r="I19" s="2023"/>
      <c r="J19" s="76"/>
    </row>
    <row r="20" spans="1:10" ht="41.25" customHeight="1" thickBot="1" x14ac:dyDescent="0.25">
      <c r="A20" s="2000" t="str">
        <f>F!A77</f>
        <v>F14</v>
      </c>
      <c r="B20" s="2000" t="str">
        <f>F!B77</f>
        <v>Soil Texture</v>
      </c>
      <c r="C20" s="421" t="str">
        <f>F!C77</f>
        <v>In parts of the AA that lack persistent water, the texture of soil in the uppermost layer is mostly:  [To determine this, use a trowel to check in at least 3 widely spaced locations, and use the soil texture key in Appendix A of the Manual].</v>
      </c>
      <c r="D20" s="756"/>
      <c r="E20" s="353"/>
      <c r="F20" s="224"/>
      <c r="G20" s="358">
        <f>MAX(F21:F26)/MAX(E21:E26)</f>
        <v>0</v>
      </c>
      <c r="H20" s="2000" t="s">
        <v>189</v>
      </c>
      <c r="I20" s="2027" t="s">
        <v>2462</v>
      </c>
    </row>
    <row r="21" spans="1:10" ht="15" customHeight="1" x14ac:dyDescent="0.2">
      <c r="A21" s="1989"/>
      <c r="B21" s="1989"/>
      <c r="C21" s="768" t="str">
        <f>F!C78</f>
        <v>Loamy: includes loam, sandy loam.</v>
      </c>
      <c r="D21" s="737">
        <f>F!D78</f>
        <v>0</v>
      </c>
      <c r="E21" s="755">
        <v>1</v>
      </c>
      <c r="F21" s="755">
        <f t="shared" ref="F21:F26" si="1">D21*E21</f>
        <v>0</v>
      </c>
      <c r="G21" s="222"/>
      <c r="H21" s="1989"/>
      <c r="I21" s="2028"/>
    </row>
    <row r="22" spans="1:10" ht="27" customHeight="1" x14ac:dyDescent="0.2">
      <c r="A22" s="1989"/>
      <c r="B22" s="1989"/>
      <c r="C22" s="813" t="str">
        <f>F!C79</f>
        <v>Fines: includes silt, glacial flour, clay, clay loam, silty clay, silty clay loam, sandy clay, sandy clay loam.</v>
      </c>
      <c r="D22" s="737">
        <f>F!D79</f>
        <v>0</v>
      </c>
      <c r="E22" s="755">
        <v>0</v>
      </c>
      <c r="F22" s="755">
        <f t="shared" si="1"/>
        <v>0</v>
      </c>
      <c r="G22" s="759"/>
      <c r="H22" s="1989"/>
      <c r="I22" s="2028"/>
    </row>
    <row r="23" spans="1:10" ht="15" customHeight="1" x14ac:dyDescent="0.2">
      <c r="A23" s="1989"/>
      <c r="B23" s="1989"/>
      <c r="C23" s="813" t="str">
        <f>F!C80</f>
        <v>Peat, present to 40 cm depth or greater.</v>
      </c>
      <c r="D23" s="737">
        <f>F!D80</f>
        <v>0</v>
      </c>
      <c r="E23" s="755">
        <v>4</v>
      </c>
      <c r="F23" s="755">
        <f t="shared" si="1"/>
        <v>0</v>
      </c>
      <c r="G23" s="759"/>
      <c r="H23" s="1989"/>
      <c r="I23" s="2028"/>
    </row>
    <row r="24" spans="1:10" ht="15" customHeight="1" x14ac:dyDescent="0.2">
      <c r="A24" s="1989"/>
      <c r="B24" s="1989"/>
      <c r="C24" s="813" t="str">
        <f>F!C81</f>
        <v>Peat, but becomes mineral before reaching 40 cm depth.</v>
      </c>
      <c r="D24" s="737">
        <f>F!D81</f>
        <v>0</v>
      </c>
      <c r="E24" s="357">
        <v>3</v>
      </c>
      <c r="F24" s="357">
        <f t="shared" si="1"/>
        <v>0</v>
      </c>
      <c r="G24" s="729"/>
      <c r="H24" s="1989"/>
      <c r="I24" s="2028"/>
    </row>
    <row r="25" spans="1:10" ht="15" customHeight="1" x14ac:dyDescent="0.2">
      <c r="A25" s="1989"/>
      <c r="B25" s="1989"/>
      <c r="C25" s="813" t="str">
        <f>F!C82</f>
        <v>Organic or organic muck, but becomes mineral before reaching 40 cm depth.</v>
      </c>
      <c r="D25" s="737">
        <f>F!D82</f>
        <v>0</v>
      </c>
      <c r="E25" s="357">
        <v>2</v>
      </c>
      <c r="F25" s="357">
        <f t="shared" si="1"/>
        <v>0</v>
      </c>
      <c r="G25" s="729"/>
      <c r="H25" s="1989"/>
      <c r="I25" s="2028"/>
    </row>
    <row r="26" spans="1:10" ht="27" customHeight="1" thickBot="1" x14ac:dyDescent="0.25">
      <c r="A26" s="1990"/>
      <c r="B26" s="1990"/>
      <c r="C26" s="340" t="str">
        <f>F!C83</f>
        <v>Coarse: includes sand, loamy sand, gravel, cobble, stones, boulders, fluvents, fluvaquents, riverwash.</v>
      </c>
      <c r="D26" s="81">
        <f>F!D83</f>
        <v>0</v>
      </c>
      <c r="E26" s="227">
        <v>1</v>
      </c>
      <c r="F26" s="227">
        <f t="shared" si="1"/>
        <v>0</v>
      </c>
      <c r="G26" s="228"/>
      <c r="H26" s="1990"/>
      <c r="I26" s="2029"/>
    </row>
    <row r="27" spans="1:10" ht="51.75" thickBot="1" x14ac:dyDescent="0.25">
      <c r="A27" s="2035" t="str">
        <f>F!A155</f>
        <v>F29</v>
      </c>
      <c r="B27" s="1989" t="str">
        <f>F!B155</f>
        <v>Predominant Depth Class</v>
      </c>
      <c r="C27" s="1399"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27" s="758"/>
      <c r="E27" s="758"/>
      <c r="F27" s="218"/>
      <c r="G27" s="219">
        <f>IF((AllSat1&gt;0),"", IF((SmallAA=1),"", MAX(F28:F32)/MAX(E28:E32)))</f>
        <v>0</v>
      </c>
      <c r="H27" s="1989" t="s">
        <v>188</v>
      </c>
      <c r="I27" s="2026" t="s">
        <v>1338</v>
      </c>
    </row>
    <row r="28" spans="1:10" ht="15" customHeight="1" x14ac:dyDescent="0.2">
      <c r="A28" s="2035"/>
      <c r="B28" s="1989"/>
      <c r="C28" s="406" t="str">
        <f>F!C156</f>
        <v>&lt;10 cm deep (but &gt;0).</v>
      </c>
      <c r="D28" s="22">
        <f>F!D156</f>
        <v>0</v>
      </c>
      <c r="E28" s="220">
        <v>0</v>
      </c>
      <c r="F28" s="221">
        <f>D28*E28</f>
        <v>0</v>
      </c>
      <c r="G28" s="222"/>
      <c r="H28" s="1989"/>
      <c r="I28" s="2026"/>
    </row>
    <row r="29" spans="1:10" ht="15" customHeight="1" x14ac:dyDescent="0.2">
      <c r="A29" s="2035"/>
      <c r="B29" s="1989"/>
      <c r="C29" s="854" t="str">
        <f>F!C157</f>
        <v>10 - 50 cm deep.</v>
      </c>
      <c r="D29" s="22">
        <f>F!D157</f>
        <v>0</v>
      </c>
      <c r="E29" s="220">
        <v>1</v>
      </c>
      <c r="F29" s="221">
        <f>D29*E29</f>
        <v>0</v>
      </c>
      <c r="G29" s="223"/>
      <c r="H29" s="1989"/>
      <c r="I29" s="2026"/>
    </row>
    <row r="30" spans="1:10" ht="15" customHeight="1" x14ac:dyDescent="0.2">
      <c r="A30" s="2035"/>
      <c r="B30" s="1989"/>
      <c r="C30" s="854" t="str">
        <f>F!C158</f>
        <v>0.5 - 1 m deep.</v>
      </c>
      <c r="D30" s="22">
        <f>F!D158</f>
        <v>0</v>
      </c>
      <c r="E30" s="220">
        <v>2</v>
      </c>
      <c r="F30" s="221">
        <f>D30*E30</f>
        <v>0</v>
      </c>
      <c r="G30" s="223"/>
      <c r="H30" s="1989"/>
      <c r="I30" s="2026"/>
    </row>
    <row r="31" spans="1:10" ht="15" customHeight="1" x14ac:dyDescent="0.2">
      <c r="A31" s="2035"/>
      <c r="B31" s="1989"/>
      <c r="C31" s="854" t="str">
        <f>F!C159</f>
        <v>1 - 2 m deep.</v>
      </c>
      <c r="D31" s="22">
        <f>F!D159</f>
        <v>0</v>
      </c>
      <c r="E31" s="220">
        <v>3</v>
      </c>
      <c r="F31" s="221">
        <f>D31*E31</f>
        <v>0</v>
      </c>
      <c r="G31" s="223"/>
      <c r="H31" s="1989"/>
      <c r="I31" s="2026"/>
    </row>
    <row r="32" spans="1:10" ht="15" customHeight="1" thickBot="1" x14ac:dyDescent="0.25">
      <c r="A32" s="2035"/>
      <c r="B32" s="1989"/>
      <c r="C32" s="854" t="str">
        <f>F!C160</f>
        <v>&gt;2 m deep.  True for many fringe wetlands.</v>
      </c>
      <c r="D32" s="356">
        <f>F!D160</f>
        <v>0</v>
      </c>
      <c r="E32" s="1284">
        <v>4</v>
      </c>
      <c r="F32" s="357">
        <f>D32*E32</f>
        <v>0</v>
      </c>
      <c r="G32" s="729"/>
      <c r="H32" s="1989"/>
      <c r="I32" s="2026"/>
    </row>
    <row r="33" spans="1:10" ht="39" thickBot="1" x14ac:dyDescent="0.25">
      <c r="A33" s="2036" t="str">
        <f>F!A173</f>
        <v>F33</v>
      </c>
      <c r="B33" s="2000" t="str">
        <f>F!B173</f>
        <v xml:space="preserve">% of Ponded Water That Is Open </v>
      </c>
      <c r="C33" s="1235" t="str">
        <f>F!C173</f>
        <v>In ducks-eye aerial view, the percentage of the ponded water that is open (lacking emergent vegetation during most of the growing season, and unhidden by a forest or shrub canopy) is:</v>
      </c>
      <c r="D33" s="353"/>
      <c r="E33" s="353"/>
      <c r="F33" s="353"/>
      <c r="G33" s="225">
        <f>IF((AllSat1&gt;0),"", IF((SmallAA=1),"", MAX(F34:F39)/MAX(E34:E39)))</f>
        <v>0</v>
      </c>
      <c r="H33" s="2000" t="s">
        <v>2379</v>
      </c>
      <c r="I33" s="2000" t="s">
        <v>1031</v>
      </c>
    </row>
    <row r="34" spans="1:10" ht="30" customHeight="1" x14ac:dyDescent="0.2">
      <c r="A34" s="2035"/>
      <c r="B34" s="1989"/>
      <c r="C34" s="768" t="str">
        <f>F!C174</f>
        <v>None, or &lt;1% of the AA and largest pool occupies &lt;0.01 hectares.  Enter "1" and SKIP to F41 (Floating Algae &amp; Duckweed).</v>
      </c>
      <c r="D34" s="1597">
        <f>F!D174</f>
        <v>0</v>
      </c>
      <c r="E34" s="755">
        <v>5</v>
      </c>
      <c r="F34" s="755">
        <f t="shared" ref="F34:F39" si="2">D34*E34</f>
        <v>0</v>
      </c>
      <c r="G34" s="759"/>
      <c r="H34" s="1989"/>
      <c r="I34" s="1989"/>
    </row>
    <row r="35" spans="1:10" ht="15" customHeight="1" x14ac:dyDescent="0.2">
      <c r="A35" s="2035"/>
      <c r="B35" s="1989"/>
      <c r="C35" s="813" t="str">
        <f>F!C175</f>
        <v>1-5% of the ponded water.  Enter "1" and SKIP to F41.</v>
      </c>
      <c r="D35" s="1285">
        <f>F!D175</f>
        <v>0</v>
      </c>
      <c r="E35" s="755">
        <v>4</v>
      </c>
      <c r="F35" s="755">
        <f t="shared" si="2"/>
        <v>0</v>
      </c>
      <c r="G35" s="759"/>
      <c r="H35" s="1989"/>
      <c r="I35" s="1989"/>
    </row>
    <row r="36" spans="1:10" ht="15" customHeight="1" x14ac:dyDescent="0.2">
      <c r="A36" s="2035"/>
      <c r="B36" s="1989"/>
      <c r="C36" s="813" t="str">
        <f>F!C176</f>
        <v>5-30% of the ponded water.</v>
      </c>
      <c r="D36" s="1285">
        <f>F!D176</f>
        <v>0</v>
      </c>
      <c r="E36" s="755">
        <v>3</v>
      </c>
      <c r="F36" s="755">
        <f t="shared" si="2"/>
        <v>0</v>
      </c>
      <c r="G36" s="759"/>
      <c r="H36" s="1989"/>
      <c r="I36" s="1989"/>
    </row>
    <row r="37" spans="1:10" ht="15" customHeight="1" x14ac:dyDescent="0.2">
      <c r="A37" s="2035"/>
      <c r="B37" s="1989"/>
      <c r="C37" s="813" t="str">
        <f>F!C177</f>
        <v>30-70% of the ponded water.</v>
      </c>
      <c r="D37" s="1285">
        <f>F!D177</f>
        <v>0</v>
      </c>
      <c r="E37" s="755">
        <v>2</v>
      </c>
      <c r="F37" s="755">
        <f t="shared" si="2"/>
        <v>0</v>
      </c>
      <c r="G37" s="759"/>
      <c r="H37" s="1989"/>
      <c r="I37" s="1989"/>
    </row>
    <row r="38" spans="1:10" ht="15" customHeight="1" x14ac:dyDescent="0.2">
      <c r="A38" s="2035"/>
      <c r="B38" s="1989"/>
      <c r="C38" s="813" t="str">
        <f>F!C178</f>
        <v>70-99% of the ponded water.</v>
      </c>
      <c r="D38" s="1285">
        <f>F!D178</f>
        <v>0</v>
      </c>
      <c r="E38" s="755">
        <v>1</v>
      </c>
      <c r="F38" s="755">
        <f t="shared" si="2"/>
        <v>0</v>
      </c>
      <c r="G38" s="759"/>
      <c r="H38" s="1989"/>
      <c r="I38" s="1989"/>
    </row>
    <row r="39" spans="1:10" ht="15" customHeight="1" thickBot="1" x14ac:dyDescent="0.25">
      <c r="A39" s="2037"/>
      <c r="B39" s="1990"/>
      <c r="C39" s="340" t="str">
        <f>F!C179</f>
        <v xml:space="preserve">100% of the ponded water. </v>
      </c>
      <c r="D39" s="1286">
        <f>F!D179</f>
        <v>0</v>
      </c>
      <c r="E39" s="227">
        <v>0</v>
      </c>
      <c r="F39" s="227">
        <f t="shared" si="2"/>
        <v>0</v>
      </c>
      <c r="G39" s="228"/>
      <c r="H39" s="1990"/>
      <c r="I39" s="1990"/>
    </row>
    <row r="40" spans="1:10" ht="77.25" thickBot="1" x14ac:dyDescent="0.25">
      <c r="A40" s="2035" t="str">
        <f>F!A233</f>
        <v>F48</v>
      </c>
      <c r="B40" s="1989" t="str">
        <f>F!B233</f>
        <v>Channel Connection &amp; Outflow Duration</v>
      </c>
      <c r="C40" s="1391"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40" s="758"/>
      <c r="E40" s="758"/>
      <c r="F40" s="218"/>
      <c r="G40" s="229">
        <f>MAX(F41:F45)/MAX(E41:E45)</f>
        <v>0</v>
      </c>
      <c r="H40" s="1989" t="s">
        <v>191</v>
      </c>
      <c r="I40" s="2024" t="s">
        <v>860</v>
      </c>
      <c r="J40" s="76"/>
    </row>
    <row r="41" spans="1:10" ht="15" customHeight="1" x14ac:dyDescent="0.2">
      <c r="A41" s="2035"/>
      <c r="B41" s="1989"/>
      <c r="C41" s="995" t="str">
        <f>F!C234</f>
        <v>persistent (&gt;9 months/year, including times when frozen).</v>
      </c>
      <c r="D41" s="443">
        <f>F!D234</f>
        <v>0</v>
      </c>
      <c r="E41" s="355">
        <v>6</v>
      </c>
      <c r="F41" s="355">
        <f>D41*E41</f>
        <v>0</v>
      </c>
      <c r="G41" s="222"/>
      <c r="H41" s="1989"/>
      <c r="I41" s="2024"/>
    </row>
    <row r="42" spans="1:10" ht="27.75" customHeight="1" x14ac:dyDescent="0.2">
      <c r="A42" s="2035"/>
      <c r="B42" s="1989"/>
      <c r="C42" s="996" t="str">
        <f>F!C235</f>
        <v>seasonal (14 days to 9 months/year, not necessarily consecutive, including times when frozen).</v>
      </c>
      <c r="D42" s="359">
        <f>F!D235</f>
        <v>0</v>
      </c>
      <c r="E42" s="355">
        <v>3</v>
      </c>
      <c r="F42" s="355">
        <f>D42*E42</f>
        <v>0</v>
      </c>
      <c r="G42" s="223"/>
      <c r="H42" s="1989"/>
      <c r="I42" s="2024"/>
    </row>
    <row r="43" spans="1:10" ht="15" customHeight="1" x14ac:dyDescent="0.2">
      <c r="A43" s="2035"/>
      <c r="B43" s="1989"/>
      <c r="C43" s="996" t="str">
        <f>F!C236</f>
        <v>temporary (&lt;14 days, not necessarily consecutive, but must be unfrozen).</v>
      </c>
      <c r="D43" s="359">
        <f>F!D236</f>
        <v>0</v>
      </c>
      <c r="E43" s="355">
        <v>2</v>
      </c>
      <c r="F43" s="355">
        <f>D43*E43</f>
        <v>0</v>
      </c>
      <c r="G43" s="223"/>
      <c r="H43" s="1989"/>
      <c r="I43" s="2024"/>
    </row>
    <row r="44" spans="1:10" ht="39.75" customHeight="1" x14ac:dyDescent="0.2">
      <c r="A44" s="2035"/>
      <c r="B44" s="1989"/>
      <c r="C44" s="996" t="str">
        <f>F!C237</f>
        <v xml:space="preserve">none -- but maps show a stream or other water body that is downslope from the AA and within a distance that is less than the AA's length.  If so, mark "1" here and SKIP TO F50 (Groundwater). </v>
      </c>
      <c r="D44" s="359">
        <f>F!D237</f>
        <v>0</v>
      </c>
      <c r="E44" s="355">
        <v>1</v>
      </c>
      <c r="F44" s="355">
        <f>D44*E44</f>
        <v>0</v>
      </c>
      <c r="G44" s="347"/>
      <c r="H44" s="1989"/>
      <c r="I44" s="2024"/>
    </row>
    <row r="45" spans="1:10" ht="42" customHeight="1" thickBot="1" x14ac:dyDescent="0.25">
      <c r="A45" s="2037"/>
      <c r="B45" s="1990"/>
      <c r="C45" s="329" t="str">
        <f>F!C238</f>
        <v xml:space="preserve">no surface water flows out of the wetland except possibly during extreme events (&lt;once per 10 years). Or, water flows only into a wetland, ditch, or lake that lacks an outlet.  If so, mark "1" here and SKIP TO F50 (Groundwater). </v>
      </c>
      <c r="D45" s="81">
        <f>F!D238</f>
        <v>0</v>
      </c>
      <c r="E45" s="227">
        <v>0</v>
      </c>
      <c r="F45" s="227">
        <f>D45*E45</f>
        <v>0</v>
      </c>
      <c r="G45" s="228"/>
      <c r="H45" s="1990"/>
      <c r="I45" s="2025"/>
    </row>
    <row r="46" spans="1:10" ht="21" customHeight="1" thickBot="1" x14ac:dyDescent="0.25">
      <c r="A46" s="2038" t="str">
        <f>F!A243</f>
        <v>F50</v>
      </c>
      <c r="B46" s="1989" t="str">
        <f>F!B243</f>
        <v>Groundwater: Strength of Evidence</v>
      </c>
      <c r="C46" s="1399" t="str">
        <f>F!C243</f>
        <v xml:space="preserve">Select first applicable choice. </v>
      </c>
      <c r="D46" s="216"/>
      <c r="E46" s="217"/>
      <c r="F46" s="218"/>
      <c r="G46" s="229">
        <f>MAX(F47:F49)/MAX(E47:E49)</f>
        <v>0</v>
      </c>
      <c r="H46" s="2000" t="s">
        <v>190</v>
      </c>
      <c r="I46" s="2024" t="s">
        <v>265</v>
      </c>
    </row>
    <row r="47" spans="1:10" ht="54" customHeight="1" x14ac:dyDescent="0.2">
      <c r="A47" s="2038"/>
      <c r="B47" s="1989"/>
      <c r="C47" s="768"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47" s="443">
        <f>F!D244</f>
        <v>0</v>
      </c>
      <c r="E47" s="221">
        <v>3</v>
      </c>
      <c r="F47" s="221">
        <f>D47*E47</f>
        <v>0</v>
      </c>
      <c r="G47" s="222"/>
      <c r="H47" s="1989"/>
      <c r="I47" s="2024"/>
    </row>
    <row r="48" spans="1:10" ht="84" customHeight="1" x14ac:dyDescent="0.2">
      <c r="A48" s="2038"/>
      <c r="B48" s="1989"/>
      <c r="C48" s="813"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48" s="40">
        <f>F!D245</f>
        <v>0</v>
      </c>
      <c r="E48" s="221">
        <v>2</v>
      </c>
      <c r="F48" s="221">
        <f>D48*E48</f>
        <v>0</v>
      </c>
      <c r="G48" s="223"/>
      <c r="H48" s="1989"/>
      <c r="I48" s="2024"/>
    </row>
    <row r="49" spans="1:10" ht="27" customHeight="1" thickBot="1" x14ac:dyDescent="0.25">
      <c r="A49" s="2038"/>
      <c r="B49" s="1990"/>
      <c r="C49" s="854" t="str">
        <f>F!C246</f>
        <v>Neither of above is true, although some groundwater may discharge to or flow through the AA.  Or groundwater influx is unknown.</v>
      </c>
      <c r="D49" s="356">
        <f>F!D246</f>
        <v>0</v>
      </c>
      <c r="E49" s="357">
        <v>0</v>
      </c>
      <c r="F49" s="357">
        <f>D49*E49</f>
        <v>0</v>
      </c>
      <c r="G49" s="729"/>
      <c r="H49" s="1989"/>
      <c r="I49" s="2024"/>
    </row>
    <row r="50" spans="1:10" ht="21" customHeight="1" thickBot="1" x14ac:dyDescent="0.25">
      <c r="A50" s="1598"/>
      <c r="B50" s="827"/>
      <c r="C50" s="827"/>
      <c r="D50" s="827"/>
      <c r="E50" s="827"/>
      <c r="F50" s="827"/>
      <c r="G50" s="827"/>
      <c r="H50" s="827" t="s">
        <v>406</v>
      </c>
      <c r="I50" s="827"/>
      <c r="J50" s="5"/>
    </row>
    <row r="51" spans="1:10" ht="21" customHeight="1" thickBot="1" x14ac:dyDescent="0.25">
      <c r="A51" s="1246"/>
      <c r="B51" s="940"/>
      <c r="C51" s="642" t="s">
        <v>846</v>
      </c>
      <c r="D51" s="940"/>
      <c r="E51" s="940"/>
      <c r="F51" s="940"/>
      <c r="G51" s="940"/>
      <c r="H51" s="940"/>
      <c r="I51" s="940"/>
      <c r="J51" s="6"/>
    </row>
    <row r="52" spans="1:10" ht="21" customHeight="1" thickBot="1" x14ac:dyDescent="0.25">
      <c r="A52" s="1246"/>
      <c r="B52" s="940"/>
      <c r="C52" s="1244" t="s">
        <v>526</v>
      </c>
      <c r="D52" s="1027"/>
      <c r="E52" s="1027"/>
      <c r="F52" s="1027"/>
      <c r="G52" s="1027"/>
      <c r="H52" s="940"/>
      <c r="I52" s="940"/>
      <c r="J52" s="6"/>
    </row>
    <row r="53" spans="1:10" ht="57" customHeight="1" thickBot="1" x14ac:dyDescent="0.25">
      <c r="A53" s="1246"/>
      <c r="B53" s="1553"/>
      <c r="C53" s="1303" t="s">
        <v>2425</v>
      </c>
      <c r="D53" s="1590"/>
      <c r="E53" s="293"/>
      <c r="F53" s="293"/>
      <c r="G53" s="582" t="str">
        <f>IFERROR(IF((OutNone + OutNone1&gt;0),0,  10*(AVERAGE(GWDspring, Groundw2_, Wettype2, Soil2_) + AVERAGE(1-Sub0Days, PPET, 1-WindSumm, 1-WetPerim2Area, OpenPonded2a, 1-WetVegArea) + AVERAGE(WetPctHUC8, ElevPctileHUC8, RipFloodpl) + AVERAGE(Depth2_, OutDur2_)) / 4),"")</f>
        <v/>
      </c>
      <c r="H53" s="940"/>
      <c r="I53" s="940"/>
      <c r="J53" s="6"/>
    </row>
    <row r="54" spans="1:10" ht="27.75" customHeight="1" thickBot="1" x14ac:dyDescent="0.25">
      <c r="A54" s="1246"/>
      <c r="B54" s="1553"/>
      <c r="C54" s="1464"/>
      <c r="D54" s="1553"/>
      <c r="E54" s="5"/>
      <c r="F54" s="5"/>
      <c r="G54" s="5"/>
      <c r="H54" s="940"/>
      <c r="I54" s="940"/>
      <c r="J54" s="6"/>
    </row>
    <row r="55" spans="1:10" ht="21" customHeight="1" thickBot="1" x14ac:dyDescent="0.25">
      <c r="A55" s="1246"/>
      <c r="B55" s="1553"/>
      <c r="C55" s="1464"/>
      <c r="D55" s="1553"/>
      <c r="E55" s="5"/>
      <c r="F55" s="5"/>
      <c r="G55" s="5"/>
      <c r="H55" s="5"/>
      <c r="I55" s="819" t="s">
        <v>293</v>
      </c>
    </row>
    <row r="56" spans="1:10" ht="42" customHeight="1" x14ac:dyDescent="0.2">
      <c r="A56" s="1246"/>
      <c r="B56" s="1466"/>
      <c r="C56" s="1498"/>
      <c r="D56" s="1468"/>
      <c r="E56" s="5"/>
      <c r="F56" s="5"/>
      <c r="G56" s="5"/>
      <c r="H56" s="5"/>
      <c r="I56" s="820" t="s">
        <v>1799</v>
      </c>
    </row>
    <row r="57" spans="1:10" ht="42.75" customHeight="1" x14ac:dyDescent="0.2">
      <c r="A57" s="1246"/>
      <c r="B57" s="1466"/>
      <c r="C57" s="1498"/>
      <c r="D57" s="1468"/>
      <c r="E57" s="5"/>
      <c r="F57" s="5"/>
      <c r="G57" s="5"/>
      <c r="H57" s="5"/>
      <c r="I57" s="1379" t="s">
        <v>2383</v>
      </c>
    </row>
    <row r="58" spans="1:10" ht="29.25" customHeight="1" x14ac:dyDescent="0.2">
      <c r="A58" s="1246"/>
      <c r="B58" s="1552"/>
      <c r="C58" s="1498"/>
      <c r="D58" s="1468"/>
      <c r="E58" s="5"/>
      <c r="F58" s="5"/>
      <c r="G58" s="5"/>
      <c r="H58" s="5"/>
      <c r="I58" s="1379" t="s">
        <v>1800</v>
      </c>
    </row>
    <row r="59" spans="1:10" ht="51" x14ac:dyDescent="0.2">
      <c r="A59" s="1246"/>
      <c r="B59" s="1552"/>
      <c r="C59" s="1498"/>
      <c r="D59" s="1468"/>
      <c r="E59" s="5"/>
      <c r="F59" s="5"/>
      <c r="G59" s="5"/>
      <c r="H59" s="5"/>
      <c r="I59" s="821" t="s">
        <v>1801</v>
      </c>
    </row>
    <row r="60" spans="1:10" ht="27" customHeight="1" x14ac:dyDescent="0.2">
      <c r="A60" s="1246"/>
      <c r="B60" s="1552"/>
      <c r="C60" s="1498"/>
      <c r="D60" s="1468"/>
      <c r="E60" s="5"/>
      <c r="F60" s="5"/>
      <c r="G60" s="5"/>
      <c r="H60" s="5"/>
      <c r="I60" s="818" t="s">
        <v>1088</v>
      </c>
    </row>
    <row r="61" spans="1:10" ht="66" customHeight="1" x14ac:dyDescent="0.2">
      <c r="A61" s="1246"/>
      <c r="B61" s="1552"/>
      <c r="C61" s="1498"/>
      <c r="D61" s="1468"/>
      <c r="E61" s="5"/>
      <c r="F61" s="5"/>
      <c r="G61" s="5"/>
      <c r="H61" s="5"/>
      <c r="I61" s="818" t="s">
        <v>1325</v>
      </c>
    </row>
    <row r="62" spans="1:10" ht="57" customHeight="1" x14ac:dyDescent="0.2">
      <c r="A62" s="1246"/>
      <c r="B62" s="2004"/>
      <c r="C62" s="2004"/>
      <c r="D62" s="2004"/>
      <c r="E62" s="5"/>
      <c r="F62" s="5"/>
      <c r="G62" s="5"/>
      <c r="H62" s="5"/>
      <c r="I62" s="822" t="s">
        <v>1793</v>
      </c>
    </row>
    <row r="63" spans="1:10" ht="28.5" customHeight="1" x14ac:dyDescent="0.2">
      <c r="A63" s="1246"/>
      <c r="B63" s="1553"/>
      <c r="C63" s="1496"/>
      <c r="D63" s="1553"/>
      <c r="E63" s="5"/>
      <c r="F63" s="5"/>
      <c r="G63" s="5"/>
      <c r="H63" s="5"/>
      <c r="I63" s="823" t="s">
        <v>1802</v>
      </c>
    </row>
    <row r="64" spans="1:10" ht="42" customHeight="1" thickBot="1" x14ac:dyDescent="0.25">
      <c r="A64" s="1246"/>
      <c r="B64" s="1466"/>
      <c r="C64" s="1498"/>
      <c r="D64" s="1599"/>
      <c r="E64" s="5"/>
      <c r="F64" s="5"/>
      <c r="G64" s="5"/>
      <c r="H64" s="5"/>
      <c r="I64" s="571" t="s">
        <v>1803</v>
      </c>
    </row>
    <row r="65" spans="1:48" ht="30" customHeight="1" x14ac:dyDescent="0.2">
      <c r="A65" s="1246"/>
      <c r="B65" s="1466"/>
      <c r="C65" s="1498"/>
      <c r="D65" s="1468"/>
      <c r="E65" s="5"/>
      <c r="F65" s="5"/>
      <c r="G65" s="5"/>
      <c r="H65" s="5"/>
    </row>
    <row r="66" spans="1:48" ht="30" customHeight="1" x14ac:dyDescent="0.2">
      <c r="A66" s="1246"/>
      <c r="B66" s="1552"/>
      <c r="C66" s="1498"/>
      <c r="D66" s="1468"/>
      <c r="E66" s="5"/>
      <c r="F66" s="5"/>
      <c r="G66" s="5"/>
      <c r="H66" s="5"/>
    </row>
    <row r="67" spans="1:48" ht="30" customHeight="1" x14ac:dyDescent="0.2">
      <c r="A67" s="1246"/>
      <c r="B67" s="1552"/>
      <c r="C67" s="1498"/>
      <c r="D67" s="1468"/>
      <c r="E67" s="5"/>
      <c r="F67" s="5"/>
      <c r="G67" s="5"/>
      <c r="H67" s="5"/>
    </row>
    <row r="68" spans="1:48" ht="30" customHeight="1" x14ac:dyDescent="0.2">
      <c r="A68" s="1246"/>
      <c r="B68" s="1552"/>
      <c r="C68" s="1498"/>
      <c r="D68" s="1468"/>
      <c r="E68" s="5"/>
      <c r="F68" s="5"/>
      <c r="G68" s="5"/>
      <c r="H68" s="5"/>
    </row>
    <row r="69" spans="1:48" ht="30" customHeight="1" x14ac:dyDescent="0.2">
      <c r="A69" s="1246"/>
      <c r="B69" s="1552"/>
      <c r="C69" s="1498"/>
      <c r="D69" s="1468"/>
      <c r="E69" s="5"/>
      <c r="F69" s="5"/>
      <c r="G69" s="5"/>
      <c r="H69" s="5"/>
    </row>
    <row r="70" spans="1:48" s="214" customFormat="1" ht="21" customHeight="1" x14ac:dyDescent="0.2">
      <c r="A70" s="940"/>
      <c r="B70" s="940"/>
      <c r="C70" s="940"/>
      <c r="D70" s="940"/>
      <c r="E70" s="940"/>
      <c r="F70" s="940"/>
      <c r="G70" s="940"/>
      <c r="H70" s="940"/>
      <c r="I70" s="940"/>
      <c r="J70" s="79"/>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940"/>
      <c r="AJ70" s="940"/>
      <c r="AK70" s="940"/>
      <c r="AL70" s="940"/>
      <c r="AM70" s="940"/>
      <c r="AN70" s="940"/>
      <c r="AO70" s="940"/>
      <c r="AP70" s="940"/>
      <c r="AQ70" s="940"/>
      <c r="AR70" s="940"/>
      <c r="AS70" s="940"/>
      <c r="AT70" s="940"/>
      <c r="AU70" s="940"/>
      <c r="AV70" s="940"/>
    </row>
    <row r="71" spans="1:48" s="214" customFormat="1" ht="42" customHeight="1" x14ac:dyDescent="0.2">
      <c r="A71" s="940"/>
      <c r="B71" s="940"/>
      <c r="C71" s="940"/>
      <c r="D71" s="940"/>
      <c r="E71" s="940"/>
      <c r="F71" s="940"/>
      <c r="G71" s="940"/>
      <c r="H71" s="940"/>
      <c r="I71" s="940"/>
      <c r="J71" s="79"/>
      <c r="K71" s="940"/>
      <c r="L71" s="940"/>
      <c r="M71" s="940"/>
      <c r="N71" s="940"/>
      <c r="O71" s="940"/>
      <c r="P71" s="940"/>
      <c r="Q71" s="940"/>
      <c r="R71" s="940"/>
      <c r="S71" s="940"/>
      <c r="T71" s="940"/>
      <c r="U71" s="940"/>
      <c r="V71" s="940"/>
      <c r="W71" s="940"/>
      <c r="X71" s="940"/>
      <c r="Y71" s="940"/>
      <c r="Z71" s="940"/>
      <c r="AA71" s="940"/>
      <c r="AB71" s="940"/>
      <c r="AC71" s="940"/>
      <c r="AD71" s="940"/>
      <c r="AE71" s="940"/>
      <c r="AF71" s="940"/>
      <c r="AG71" s="940"/>
      <c r="AH71" s="940"/>
      <c r="AI71" s="940"/>
      <c r="AJ71" s="940"/>
      <c r="AK71" s="940"/>
      <c r="AL71" s="940"/>
      <c r="AM71" s="940"/>
      <c r="AN71" s="940"/>
      <c r="AO71" s="940"/>
      <c r="AP71" s="940"/>
      <c r="AQ71" s="940"/>
      <c r="AR71" s="940"/>
      <c r="AS71" s="940"/>
      <c r="AT71" s="940"/>
      <c r="AU71" s="940"/>
      <c r="AV71" s="940"/>
    </row>
    <row r="72" spans="1:48" s="214" customFormat="1" ht="27" customHeight="1" x14ac:dyDescent="0.2">
      <c r="A72" s="940"/>
      <c r="B72" s="940"/>
      <c r="C72" s="940"/>
      <c r="D72" s="940"/>
      <c r="E72" s="940"/>
      <c r="F72" s="940"/>
      <c r="G72" s="940"/>
      <c r="H72" s="940"/>
      <c r="I72" s="940"/>
      <c r="J72" s="79"/>
      <c r="K72" s="940"/>
      <c r="L72" s="940"/>
      <c r="M72" s="940"/>
      <c r="N72" s="940"/>
      <c r="O72" s="940"/>
      <c r="P72" s="940"/>
      <c r="Q72" s="940"/>
      <c r="R72" s="940"/>
      <c r="S72" s="940"/>
      <c r="T72" s="940"/>
      <c r="U72" s="940"/>
      <c r="V72" s="940"/>
      <c r="W72" s="940"/>
      <c r="X72" s="940"/>
      <c r="Y72" s="940"/>
      <c r="Z72" s="940"/>
      <c r="AA72" s="940"/>
      <c r="AB72" s="940"/>
      <c r="AC72" s="940"/>
      <c r="AD72" s="940"/>
      <c r="AE72" s="940"/>
      <c r="AF72" s="940"/>
      <c r="AG72" s="940"/>
      <c r="AH72" s="940"/>
      <c r="AI72" s="940"/>
      <c r="AJ72" s="940"/>
      <c r="AK72" s="940"/>
      <c r="AL72" s="940"/>
      <c r="AM72" s="940"/>
      <c r="AN72" s="940"/>
      <c r="AO72" s="940"/>
      <c r="AP72" s="940"/>
      <c r="AQ72" s="940"/>
      <c r="AR72" s="940"/>
      <c r="AS72" s="940"/>
      <c r="AT72" s="940"/>
      <c r="AU72" s="940"/>
      <c r="AV72" s="940"/>
    </row>
    <row r="73" spans="1:48" s="214" customFormat="1" ht="27.6" customHeight="1" x14ac:dyDescent="0.2">
      <c r="A73" s="940"/>
      <c r="B73" s="940"/>
      <c r="C73" s="940"/>
      <c r="D73" s="940"/>
      <c r="E73" s="940"/>
      <c r="F73" s="940"/>
      <c r="G73" s="940"/>
      <c r="H73" s="940"/>
      <c r="I73" s="940"/>
      <c r="J73" s="79"/>
      <c r="K73" s="940"/>
      <c r="L73" s="940"/>
      <c r="M73" s="940"/>
      <c r="N73" s="940"/>
      <c r="O73" s="940"/>
      <c r="P73" s="940"/>
      <c r="Q73" s="940"/>
      <c r="R73" s="940"/>
      <c r="S73" s="940"/>
      <c r="T73" s="940"/>
      <c r="U73" s="940"/>
      <c r="V73" s="940"/>
      <c r="W73" s="940"/>
      <c r="X73" s="940"/>
      <c r="Y73" s="940"/>
      <c r="Z73" s="940"/>
      <c r="AA73" s="940"/>
      <c r="AB73" s="940"/>
      <c r="AC73" s="940"/>
      <c r="AD73" s="940"/>
      <c r="AE73" s="940"/>
      <c r="AF73" s="940"/>
      <c r="AG73" s="940"/>
      <c r="AH73" s="940"/>
      <c r="AI73" s="940"/>
      <c r="AJ73" s="940"/>
      <c r="AK73" s="940"/>
      <c r="AL73" s="940"/>
      <c r="AM73" s="940"/>
      <c r="AN73" s="940"/>
      <c r="AO73" s="940"/>
      <c r="AP73" s="940"/>
      <c r="AQ73" s="940"/>
      <c r="AR73" s="940"/>
      <c r="AS73" s="940"/>
      <c r="AT73" s="940"/>
      <c r="AU73" s="940"/>
      <c r="AV73" s="940"/>
    </row>
    <row r="74" spans="1:48" s="214" customFormat="1" ht="27" customHeight="1" x14ac:dyDescent="0.2">
      <c r="A74" s="940"/>
      <c r="B74" s="940"/>
      <c r="C74" s="940"/>
      <c r="D74" s="940"/>
      <c r="E74" s="940"/>
      <c r="F74" s="940"/>
      <c r="G74" s="940"/>
      <c r="H74" s="940"/>
      <c r="I74" s="940"/>
      <c r="J74" s="79"/>
      <c r="K74" s="940"/>
      <c r="L74" s="940"/>
      <c r="M74" s="940"/>
      <c r="N74" s="940"/>
      <c r="O74" s="940"/>
      <c r="P74" s="940"/>
      <c r="Q74" s="940"/>
      <c r="R74" s="940"/>
      <c r="S74" s="940"/>
      <c r="T74" s="940"/>
      <c r="U74" s="940"/>
      <c r="V74" s="940"/>
      <c r="W74" s="940"/>
      <c r="X74" s="940"/>
      <c r="Y74" s="940"/>
      <c r="Z74" s="940"/>
      <c r="AA74" s="940"/>
      <c r="AB74" s="940"/>
      <c r="AC74" s="940"/>
      <c r="AD74" s="940"/>
      <c r="AE74" s="940"/>
      <c r="AF74" s="940"/>
      <c r="AG74" s="940"/>
      <c r="AH74" s="940"/>
      <c r="AI74" s="940"/>
      <c r="AJ74" s="940"/>
      <c r="AK74" s="940"/>
      <c r="AL74" s="940"/>
      <c r="AM74" s="940"/>
      <c r="AN74" s="940"/>
      <c r="AO74" s="940"/>
      <c r="AP74" s="940"/>
      <c r="AQ74" s="940"/>
      <c r="AR74" s="940"/>
      <c r="AS74" s="940"/>
      <c r="AT74" s="940"/>
      <c r="AU74" s="940"/>
      <c r="AV74" s="940"/>
    </row>
    <row r="75" spans="1:48" ht="21" customHeight="1" x14ac:dyDescent="0.2">
      <c r="A75" s="136"/>
      <c r="B75" s="136"/>
      <c r="D75" s="573"/>
      <c r="E75" s="573"/>
      <c r="F75" s="573"/>
      <c r="G75" s="230"/>
      <c r="H75" s="5"/>
      <c r="J75" s="5"/>
    </row>
    <row r="76" spans="1:48" ht="21" customHeight="1" x14ac:dyDescent="0.2">
      <c r="A76" s="136"/>
      <c r="B76" s="136"/>
      <c r="D76" s="573"/>
      <c r="E76" s="573"/>
      <c r="F76" s="573"/>
      <c r="G76" s="230"/>
      <c r="H76" s="5"/>
      <c r="J76" s="5"/>
    </row>
    <row r="77" spans="1:48" ht="21" customHeight="1" x14ac:dyDescent="0.2"/>
    <row r="78" spans="1:48" ht="21" customHeight="1" x14ac:dyDescent="0.2"/>
    <row r="79" spans="1:48" ht="21" customHeight="1" x14ac:dyDescent="0.2"/>
    <row r="80" spans="1:48" ht="21" customHeight="1" x14ac:dyDescent="0.2">
      <c r="C80" s="940"/>
    </row>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100" spans="7:7" x14ac:dyDescent="0.2">
      <c r="G100" s="179" t="s">
        <v>1117</v>
      </c>
    </row>
  </sheetData>
  <sheetProtection password="C4B9" sheet="1" objects="1" scenarios="1"/>
  <sortState ref="A3:AV16">
    <sortCondition ref="H3:H16"/>
  </sortState>
  <mergeCells count="27">
    <mergeCell ref="A33:A39"/>
    <mergeCell ref="H33:H39"/>
    <mergeCell ref="B62:D62"/>
    <mergeCell ref="B40:B45"/>
    <mergeCell ref="A46:A49"/>
    <mergeCell ref="A40:A45"/>
    <mergeCell ref="B46:B49"/>
    <mergeCell ref="E1:H1"/>
    <mergeCell ref="A1:B1"/>
    <mergeCell ref="A27:A32"/>
    <mergeCell ref="H27:H32"/>
    <mergeCell ref="H13:H19"/>
    <mergeCell ref="A13:A19"/>
    <mergeCell ref="A20:A26"/>
    <mergeCell ref="B13:B19"/>
    <mergeCell ref="I13:I19"/>
    <mergeCell ref="I40:I45"/>
    <mergeCell ref="I46:I49"/>
    <mergeCell ref="B27:B32"/>
    <mergeCell ref="I27:I32"/>
    <mergeCell ref="H20:H26"/>
    <mergeCell ref="H46:H49"/>
    <mergeCell ref="H40:H45"/>
    <mergeCell ref="I20:I26"/>
    <mergeCell ref="B20:B26"/>
    <mergeCell ref="B33:B39"/>
    <mergeCell ref="I33:I39"/>
  </mergeCells>
  <phoneticPr fontId="37" type="noConversion"/>
  <conditionalFormatting sqref="D48:D49 D53 D15:D16 D18:D22 D26:D32 D34:D46">
    <cfRule type="cellIs" dxfId="11" priority="1" operator="greaterThan">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90"/>
  <sheetViews>
    <sheetView zoomScaleNormal="100" workbookViewId="0">
      <selection activeCell="C11" sqref="C11"/>
    </sheetView>
  </sheetViews>
  <sheetFormatPr defaultColWidth="9.33203125" defaultRowHeight="16.5" x14ac:dyDescent="0.2"/>
  <cols>
    <col min="1" max="1" width="5.83203125" style="25" customWidth="1"/>
    <col min="2" max="2" width="18.83203125" style="19" customWidth="1"/>
    <col min="3" max="3" width="69.83203125" style="5" customWidth="1"/>
    <col min="4" max="6" width="6.83203125" style="249" customWidth="1"/>
    <col min="7" max="7" width="12.33203125" style="250" customWidth="1"/>
    <col min="8" max="8" width="16.1640625" style="137" customWidth="1"/>
    <col min="9" max="9" width="67.83203125" style="39" customWidth="1"/>
    <col min="10" max="10" width="9.33203125" style="143"/>
    <col min="11" max="11" width="50.5" style="11" customWidth="1"/>
    <col min="12" max="12" width="9.33203125" style="11"/>
    <col min="13" max="13" width="54.1640625" style="11" customWidth="1"/>
    <col min="14" max="16384" width="9.33203125" style="11"/>
  </cols>
  <sheetData>
    <row r="1" spans="1:11" ht="77.25" thickBot="1" x14ac:dyDescent="0.25">
      <c r="A1" s="1976" t="s">
        <v>1752</v>
      </c>
      <c r="B1" s="1977"/>
      <c r="C1" s="59" t="s">
        <v>707</v>
      </c>
      <c r="D1" s="73" t="s">
        <v>506</v>
      </c>
      <c r="E1" s="2043"/>
      <c r="F1" s="2044"/>
      <c r="G1" s="2044"/>
      <c r="H1" s="2045"/>
      <c r="I1" s="43" t="s">
        <v>881</v>
      </c>
    </row>
    <row r="2" spans="1:11" s="334" customFormat="1" ht="50.25" thickBot="1" x14ac:dyDescent="0.25">
      <c r="A2" s="1008" t="s">
        <v>78</v>
      </c>
      <c r="B2" s="1009" t="s">
        <v>701</v>
      </c>
      <c r="C2" s="1010" t="s">
        <v>866</v>
      </c>
      <c r="D2" s="1008"/>
      <c r="E2" s="1011"/>
      <c r="F2" s="1012"/>
      <c r="G2" s="1013" t="s">
        <v>710</v>
      </c>
      <c r="H2" s="1009" t="s">
        <v>2028</v>
      </c>
      <c r="I2" s="1009" t="s">
        <v>255</v>
      </c>
    </row>
    <row r="3" spans="1:11" s="1325" customFormat="1" ht="30" customHeight="1" thickBot="1" x14ac:dyDescent="0.25">
      <c r="A3" s="322" t="str">
        <f>OF!A4</f>
        <v>OF3</v>
      </c>
      <c r="B3" s="323" t="str">
        <f>OF!C4</f>
        <v>Channel Connection</v>
      </c>
      <c r="C3" s="410"/>
      <c r="D3" s="411"/>
      <c r="E3" s="335"/>
      <c r="F3" s="335"/>
      <c r="G3" s="344" t="s">
        <v>406</v>
      </c>
      <c r="H3" s="350" t="s">
        <v>845</v>
      </c>
      <c r="I3" s="379" t="s">
        <v>1028</v>
      </c>
      <c r="J3" s="1600"/>
    </row>
    <row r="4" spans="1:11" s="1325" customFormat="1" ht="51.75" thickBot="1" x14ac:dyDescent="0.25">
      <c r="A4" s="1601" t="str">
        <f>OF!A10</f>
        <v>OF9</v>
      </c>
      <c r="B4" s="1602" t="str">
        <f>OF!B10</f>
        <v>ElevPctileHUC8</v>
      </c>
      <c r="C4" s="1602"/>
      <c r="D4" s="1259"/>
      <c r="E4" s="1260"/>
      <c r="F4" s="1260"/>
      <c r="G4" s="1603"/>
      <c r="H4" s="1604" t="s">
        <v>670</v>
      </c>
      <c r="I4" s="1605" t="s">
        <v>2385</v>
      </c>
      <c r="J4" s="1600"/>
    </row>
    <row r="5" spans="1:11" s="1325" customFormat="1" ht="45" customHeight="1" thickBot="1" x14ac:dyDescent="0.25">
      <c r="A5" s="322" t="str">
        <f>OF!A17</f>
        <v>OF16</v>
      </c>
      <c r="B5" s="323" t="str">
        <f>OF!C17</f>
        <v>Groundwater Discharge Area or Spring</v>
      </c>
      <c r="C5" s="412"/>
      <c r="D5" s="324"/>
      <c r="E5" s="325"/>
      <c r="F5" s="325"/>
      <c r="G5" s="345" t="str">
        <f>IF((GWDspring=""),"",GWDspring)</f>
        <v/>
      </c>
      <c r="H5" s="351" t="s">
        <v>668</v>
      </c>
      <c r="I5" s="403" t="s">
        <v>75</v>
      </c>
      <c r="J5" s="1600"/>
      <c r="K5" s="1332"/>
    </row>
    <row r="6" spans="1:11" s="1325" customFormat="1" ht="26.25" thickBot="1" x14ac:dyDescent="0.25">
      <c r="A6" s="317" t="str">
        <f>OF!A34</f>
        <v>OF33</v>
      </c>
      <c r="B6" s="864" t="str">
        <f>OF!C34</f>
        <v>Riparian or Floodway Location</v>
      </c>
      <c r="C6" s="870"/>
      <c r="D6" s="414"/>
      <c r="E6" s="765"/>
      <c r="F6" s="865"/>
      <c r="G6" s="1103" t="str">
        <f>IF((RipFloodpl=""),"",RipFloodpl)</f>
        <v/>
      </c>
      <c r="H6" s="867" t="s">
        <v>697</v>
      </c>
      <c r="I6" s="319" t="s">
        <v>1029</v>
      </c>
      <c r="J6" s="1600"/>
    </row>
    <row r="7" spans="1:11" s="1007" customFormat="1" ht="66.75" thickBot="1" x14ac:dyDescent="0.35">
      <c r="A7" s="997" t="s">
        <v>78</v>
      </c>
      <c r="B7" s="998" t="s">
        <v>709</v>
      </c>
      <c r="C7" s="999" t="s">
        <v>708</v>
      </c>
      <c r="D7" s="1000" t="s">
        <v>33</v>
      </c>
      <c r="E7" s="1001" t="s">
        <v>1131</v>
      </c>
      <c r="F7" s="1002" t="s">
        <v>1130</v>
      </c>
      <c r="G7" s="1003" t="s">
        <v>710</v>
      </c>
      <c r="H7" s="1004" t="s">
        <v>2028</v>
      </c>
      <c r="I7" s="1005" t="s">
        <v>917</v>
      </c>
      <c r="J7" s="1006"/>
    </row>
    <row r="8" spans="1:11" ht="17.25" thickBot="1" x14ac:dyDescent="0.25">
      <c r="A8" s="2036" t="str">
        <f>F!A5</f>
        <v>F1</v>
      </c>
      <c r="B8" s="1867" t="str">
        <f>F!B5</f>
        <v>Wetland Type - Predominant</v>
      </c>
      <c r="C8" s="769" t="str">
        <f>F!C5</f>
        <v>Follow the key below and mark the ONE row that best describes MOST of the AA:</v>
      </c>
      <c r="D8" s="255"/>
      <c r="E8" s="368"/>
      <c r="F8" s="368"/>
      <c r="G8" s="232">
        <f>MAX(F9:F14)/MAX(E9:E14)</f>
        <v>0</v>
      </c>
      <c r="H8" s="1910" t="s">
        <v>643</v>
      </c>
      <c r="I8" s="2011" t="s">
        <v>2386</v>
      </c>
    </row>
    <row r="9" spans="1:11" ht="38.25" x14ac:dyDescent="0.2">
      <c r="A9" s="2035"/>
      <c r="B9" s="1991"/>
      <c r="C9" s="1015" t="str">
        <f>F!C6</f>
        <v>A. Moss and/or lichen cover more than 25% of the ground. Substrate is mostly undecomposed peat. Choose between A1 and A2 and mark the choice with a 1 in their adjoining column. Otherwise go to B below.</v>
      </c>
      <c r="D9" s="236"/>
      <c r="E9" s="236"/>
      <c r="F9" s="236"/>
      <c r="G9" s="236"/>
      <c r="H9" s="1881"/>
      <c r="I9" s="2040"/>
    </row>
    <row r="10" spans="1:11" ht="89.25" x14ac:dyDescent="0.2">
      <c r="A10" s="2035"/>
      <c r="B10" s="1991"/>
      <c r="C10" s="738"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0" s="737">
        <f>F!D7</f>
        <v>0</v>
      </c>
      <c r="E10" s="1310">
        <v>0</v>
      </c>
      <c r="F10" s="305">
        <f t="shared" ref="F10:F14" si="0">D10*E10</f>
        <v>0</v>
      </c>
      <c r="G10" s="760"/>
      <c r="H10" s="1881"/>
      <c r="I10" s="2040"/>
    </row>
    <row r="11" spans="1:11" ht="63.75" x14ac:dyDescent="0.2">
      <c r="A11" s="2035"/>
      <c r="B11" s="1991"/>
      <c r="C11" s="738"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1" s="737">
        <f>F!D8</f>
        <v>0</v>
      </c>
      <c r="E11" s="1310">
        <v>2</v>
      </c>
      <c r="F11" s="305">
        <f t="shared" si="0"/>
        <v>0</v>
      </c>
      <c r="G11" s="760"/>
      <c r="H11" s="1881"/>
      <c r="I11" s="2040"/>
    </row>
    <row r="12" spans="1:11" ht="38.25" x14ac:dyDescent="0.2">
      <c r="A12" s="2035"/>
      <c r="B12" s="1991"/>
      <c r="C12" s="738" t="str">
        <f>F!C9</f>
        <v>B. Moss and/or lichen cover less than 25% of the ground. Soil is mineral or decomposed organic (muck). Choose between B1 and B2 and mark the choice with a 1 in their adjoining column:</v>
      </c>
      <c r="D12" s="236"/>
      <c r="E12" s="236"/>
      <c r="F12" s="236"/>
      <c r="G12" s="760"/>
      <c r="H12" s="1881"/>
      <c r="I12" s="2040"/>
    </row>
    <row r="13" spans="1:11" ht="51" x14ac:dyDescent="0.2">
      <c r="A13" s="2035"/>
      <c r="B13" s="1991"/>
      <c r="C13" s="738"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3" s="737">
        <f>F!D10</f>
        <v>0</v>
      </c>
      <c r="E13" s="1310">
        <v>1</v>
      </c>
      <c r="F13" s="305">
        <f t="shared" si="0"/>
        <v>0</v>
      </c>
      <c r="G13" s="760"/>
      <c r="H13" s="1881"/>
      <c r="I13" s="2040"/>
    </row>
    <row r="14" spans="1:11" ht="71.25" customHeight="1" thickBot="1" x14ac:dyDescent="0.25">
      <c r="A14" s="2035"/>
      <c r="B14" s="1991"/>
      <c r="C14" s="738"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4" s="737">
        <f>F!D11</f>
        <v>0</v>
      </c>
      <c r="E14" s="1310">
        <v>1</v>
      </c>
      <c r="F14" s="305">
        <f t="shared" si="0"/>
        <v>0</v>
      </c>
      <c r="G14" s="760"/>
      <c r="H14" s="1881"/>
      <c r="I14" s="2040"/>
    </row>
    <row r="15" spans="1:11" s="5" customFormat="1" ht="39" thickBot="1" x14ac:dyDescent="0.25">
      <c r="A15" s="1992" t="str">
        <f>F!A121</f>
        <v>F22</v>
      </c>
      <c r="B15" s="1867" t="str">
        <f>F!B121</f>
        <v>% Never With Surface Water</v>
      </c>
      <c r="C15" s="90" t="str">
        <f>F!C121</f>
        <v>The percentage of the AA that never contains surface water during an average year (that is, except perhaps for a few hours after snowmelt or rainstorms), but which is still a wetland, is:</v>
      </c>
      <c r="D15" s="770"/>
      <c r="E15" s="756"/>
      <c r="F15" s="353"/>
      <c r="G15" s="232">
        <f>MAX(F16:F20)/MAX(E16:E20)</f>
        <v>0</v>
      </c>
      <c r="H15" s="2000" t="s">
        <v>288</v>
      </c>
      <c r="I15" s="2011" t="s">
        <v>289</v>
      </c>
      <c r="J15" s="130"/>
    </row>
    <row r="16" spans="1:11" s="5" customFormat="1" ht="38.25" x14ac:dyDescent="0.2">
      <c r="A16" s="1991"/>
      <c r="B16" s="1911"/>
      <c r="C16" s="360" t="str">
        <f>F!C122</f>
        <v>&lt;0.01 hectare (about 10 m on a side) and &lt;1% of the AA never has surface water.  In other words, all or nearly all of the AA is covered by water permanently or at least seasonally.</v>
      </c>
      <c r="D16" s="370">
        <f>F!D122</f>
        <v>0</v>
      </c>
      <c r="E16" s="754">
        <v>0</v>
      </c>
      <c r="F16" s="771">
        <f>D16*E16</f>
        <v>0</v>
      </c>
      <c r="G16" s="759"/>
      <c r="H16" s="1989"/>
      <c r="I16" s="2040"/>
      <c r="J16" s="130"/>
    </row>
    <row r="17" spans="1:10" s="5" customFormat="1" ht="15" customHeight="1" x14ac:dyDescent="0.2">
      <c r="A17" s="1991"/>
      <c r="B17" s="1911"/>
      <c r="C17" s="747" t="str">
        <f>F!C123</f>
        <v>1-25% of the AA never contains surface water.</v>
      </c>
      <c r="D17" s="370">
        <f>F!D123</f>
        <v>0</v>
      </c>
      <c r="E17" s="754">
        <v>1</v>
      </c>
      <c r="F17" s="771">
        <f>D17*E17</f>
        <v>0</v>
      </c>
      <c r="G17" s="759"/>
      <c r="H17" s="1989"/>
      <c r="I17" s="2040"/>
      <c r="J17" s="130"/>
    </row>
    <row r="18" spans="1:10" s="5" customFormat="1" ht="15" customHeight="1" x14ac:dyDescent="0.2">
      <c r="A18" s="1991"/>
      <c r="B18" s="1911"/>
      <c r="C18" s="747" t="str">
        <f>F!C124</f>
        <v>25-50% of the AA never contains surface water.</v>
      </c>
      <c r="D18" s="370">
        <f>F!D124</f>
        <v>0</v>
      </c>
      <c r="E18" s="754">
        <v>2</v>
      </c>
      <c r="F18" s="771">
        <f>D18*E18</f>
        <v>0</v>
      </c>
      <c r="G18" s="759"/>
      <c r="H18" s="1989"/>
      <c r="I18" s="2040"/>
      <c r="J18" s="130"/>
    </row>
    <row r="19" spans="1:10" s="5" customFormat="1" ht="15" customHeight="1" x14ac:dyDescent="0.2">
      <c r="A19" s="1991"/>
      <c r="B19" s="1911"/>
      <c r="C19" s="747" t="str">
        <f>F!C125</f>
        <v>50-99% of the AA never contains surface water.</v>
      </c>
      <c r="D19" s="370">
        <f>F!D125</f>
        <v>0</v>
      </c>
      <c r="E19" s="754">
        <v>3</v>
      </c>
      <c r="F19" s="771">
        <f>D19*E19</f>
        <v>0</v>
      </c>
      <c r="G19" s="759"/>
      <c r="H19" s="1989"/>
      <c r="I19" s="2040"/>
      <c r="J19" s="130"/>
    </row>
    <row r="20" spans="1:10" s="5" customFormat="1" ht="39" thickBot="1" x14ac:dyDescent="0.25">
      <c r="A20" s="1993"/>
      <c r="B20" s="1978"/>
      <c r="C20" s="82" t="str">
        <f>F!C126</f>
        <v>&gt;99% of the AA never contains surface water, except perhaps for water flowing in channels and/or in pools that occupy &lt;1% of the AA. SKIP to F48 (Channel Connection &amp; Outflow Duration).</v>
      </c>
      <c r="D20" s="94">
        <f>F!D126</f>
        <v>0</v>
      </c>
      <c r="E20" s="226">
        <v>4</v>
      </c>
      <c r="F20" s="371">
        <f>D20*E20</f>
        <v>0</v>
      </c>
      <c r="G20" s="228"/>
      <c r="H20" s="1990"/>
      <c r="I20" s="2041"/>
      <c r="J20" s="130"/>
    </row>
    <row r="21" spans="1:10" s="13" customFormat="1" ht="30" customHeight="1" thickBot="1" x14ac:dyDescent="0.25">
      <c r="A21" s="2035" t="str">
        <f>F!A134</f>
        <v>F24</v>
      </c>
      <c r="B21" s="1911" t="str">
        <f>F!B134</f>
        <v>% of Summertime Water That Is Shaded</v>
      </c>
      <c r="C21" s="1391" t="str">
        <f>F!C134</f>
        <v>At mid-day during the warmest time of year, the area of surface water within the AA that is shaded by vegetation and other features that are within the AA at that time is:</v>
      </c>
      <c r="D21" s="736"/>
      <c r="E21" s="206"/>
      <c r="F21" s="240"/>
      <c r="G21" s="231">
        <f>IF((AllSat1&gt;0),"",IF((NoPersis=1),"",(MAX(F22:F26)/MAX(E22:E26))))</f>
        <v>0</v>
      </c>
      <c r="H21" s="1881" t="s">
        <v>194</v>
      </c>
      <c r="I21" s="2040" t="s">
        <v>2387</v>
      </c>
      <c r="J21" s="144"/>
    </row>
    <row r="22" spans="1:10" s="13" customFormat="1" ht="15" customHeight="1" x14ac:dyDescent="0.2">
      <c r="A22" s="2035"/>
      <c r="B22" s="1911"/>
      <c r="C22" s="341" t="str">
        <f>F!C135</f>
        <v>&lt;5% of the water is shaded, or no surface water is present then.</v>
      </c>
      <c r="D22" s="359">
        <f>F!D135</f>
        <v>0</v>
      </c>
      <c r="E22" s="369">
        <v>0</v>
      </c>
      <c r="F22" s="369">
        <f>D22*E22</f>
        <v>0</v>
      </c>
      <c r="G22" s="235"/>
      <c r="H22" s="1881"/>
      <c r="I22" s="2040"/>
      <c r="J22" s="144"/>
    </row>
    <row r="23" spans="1:10" s="13" customFormat="1" ht="15" customHeight="1" x14ac:dyDescent="0.2">
      <c r="A23" s="2035"/>
      <c r="B23" s="1911"/>
      <c r="C23" s="328" t="str">
        <f>F!C136</f>
        <v>5-25% of the water is shaded.</v>
      </c>
      <c r="D23" s="359">
        <f>F!D136</f>
        <v>0</v>
      </c>
      <c r="E23" s="369">
        <v>1</v>
      </c>
      <c r="F23" s="369">
        <f>D23*E23</f>
        <v>0</v>
      </c>
      <c r="G23" s="236"/>
      <c r="H23" s="1881"/>
      <c r="I23" s="2040"/>
      <c r="J23" s="144"/>
    </row>
    <row r="24" spans="1:10" s="13" customFormat="1" ht="15" customHeight="1" x14ac:dyDescent="0.2">
      <c r="A24" s="2035"/>
      <c r="B24" s="1911"/>
      <c r="C24" s="328" t="str">
        <f>F!C137</f>
        <v>25-50% of the water is shaded.</v>
      </c>
      <c r="D24" s="359">
        <f>F!D137</f>
        <v>0</v>
      </c>
      <c r="E24" s="369">
        <v>2</v>
      </c>
      <c r="F24" s="369">
        <f>D24*E24</f>
        <v>0</v>
      </c>
      <c r="G24" s="236"/>
      <c r="H24" s="1881"/>
      <c r="I24" s="2040"/>
      <c r="J24" s="144"/>
    </row>
    <row r="25" spans="1:10" s="13" customFormat="1" ht="15" customHeight="1" x14ac:dyDescent="0.2">
      <c r="A25" s="2035"/>
      <c r="B25" s="1911"/>
      <c r="C25" s="328" t="str">
        <f>F!C138</f>
        <v>50-75% of the water is shaded.</v>
      </c>
      <c r="D25" s="359">
        <f>F!D138</f>
        <v>0</v>
      </c>
      <c r="E25" s="369">
        <v>3</v>
      </c>
      <c r="F25" s="369">
        <f>D25*E25</f>
        <v>0</v>
      </c>
      <c r="G25" s="236"/>
      <c r="H25" s="1881"/>
      <c r="I25" s="2040"/>
      <c r="J25" s="144"/>
    </row>
    <row r="26" spans="1:10" s="13" customFormat="1" ht="28.5" customHeight="1" thickBot="1" x14ac:dyDescent="0.25">
      <c r="A26" s="2035"/>
      <c r="B26" s="1911"/>
      <c r="C26" s="366" t="str">
        <f>F!C139</f>
        <v>&gt;75% of the water is shaded.</v>
      </c>
      <c r="D26" s="356">
        <f>F!D139</f>
        <v>0</v>
      </c>
      <c r="E26" s="305">
        <v>4</v>
      </c>
      <c r="F26" s="305">
        <f>D26*E26</f>
        <v>0</v>
      </c>
      <c r="G26" s="367"/>
      <c r="H26" s="1882"/>
      <c r="I26" s="2040"/>
      <c r="J26" s="144"/>
    </row>
    <row r="27" spans="1:10" ht="54" customHeight="1" thickBot="1" x14ac:dyDescent="0.25">
      <c r="A27" s="2036" t="str">
        <f>F!A155</f>
        <v>F29</v>
      </c>
      <c r="B27" s="1867" t="str">
        <f>F!B155</f>
        <v>Predominant Depth Class</v>
      </c>
      <c r="C27" s="104"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27" s="372"/>
      <c r="E27" s="368"/>
      <c r="F27" s="234"/>
      <c r="G27" s="232">
        <f>IF((AllSat1&gt;0),"",MAX(F28:F32)/MAX(E28:E32))</f>
        <v>0</v>
      </c>
      <c r="H27" s="1910" t="s">
        <v>196</v>
      </c>
      <c r="I27" s="2011" t="s">
        <v>1143</v>
      </c>
    </row>
    <row r="28" spans="1:10" ht="15" customHeight="1" x14ac:dyDescent="0.2">
      <c r="A28" s="2035"/>
      <c r="B28" s="1911"/>
      <c r="C28" s="341" t="str">
        <f>F!C156</f>
        <v>&lt;10 cm deep (but &gt;0).</v>
      </c>
      <c r="D28" s="359">
        <f>F!D156</f>
        <v>0</v>
      </c>
      <c r="E28" s="369">
        <v>0</v>
      </c>
      <c r="F28" s="369">
        <f>D28*E28</f>
        <v>0</v>
      </c>
      <c r="G28" s="235"/>
      <c r="H28" s="1881"/>
      <c r="I28" s="2040"/>
    </row>
    <row r="29" spans="1:10" ht="15" customHeight="1" x14ac:dyDescent="0.2">
      <c r="A29" s="2035"/>
      <c r="B29" s="1911"/>
      <c r="C29" s="328" t="str">
        <f>F!C157</f>
        <v>10 - 50 cm deep.</v>
      </c>
      <c r="D29" s="359">
        <f>F!D157</f>
        <v>0</v>
      </c>
      <c r="E29" s="369">
        <v>1</v>
      </c>
      <c r="F29" s="369">
        <f>D29*E29</f>
        <v>0</v>
      </c>
      <c r="G29" s="236"/>
      <c r="H29" s="1881"/>
      <c r="I29" s="2040"/>
    </row>
    <row r="30" spans="1:10" ht="15" customHeight="1" x14ac:dyDescent="0.2">
      <c r="A30" s="2035"/>
      <c r="B30" s="1911"/>
      <c r="C30" s="328" t="str">
        <f>F!C158</f>
        <v>0.5 - 1 m deep.</v>
      </c>
      <c r="D30" s="359">
        <f>F!D158</f>
        <v>0</v>
      </c>
      <c r="E30" s="369">
        <v>2</v>
      </c>
      <c r="F30" s="369">
        <f>D30*E30</f>
        <v>0</v>
      </c>
      <c r="G30" s="236"/>
      <c r="H30" s="1881"/>
      <c r="I30" s="2040"/>
    </row>
    <row r="31" spans="1:10" ht="15" customHeight="1" x14ac:dyDescent="0.2">
      <c r="A31" s="2035"/>
      <c r="B31" s="1911"/>
      <c r="C31" s="328" t="str">
        <f>F!C159</f>
        <v>1 - 2 m deep.</v>
      </c>
      <c r="D31" s="359">
        <f>F!D159</f>
        <v>0</v>
      </c>
      <c r="E31" s="369">
        <v>4</v>
      </c>
      <c r="F31" s="369">
        <f>D31*E31</f>
        <v>0</v>
      </c>
      <c r="G31" s="236"/>
      <c r="H31" s="1881"/>
      <c r="I31" s="2040"/>
    </row>
    <row r="32" spans="1:10" ht="15" customHeight="1" thickBot="1" x14ac:dyDescent="0.25">
      <c r="A32" s="2037"/>
      <c r="B32" s="1978"/>
      <c r="C32" s="329" t="str">
        <f>F!C160</f>
        <v>&gt;2 m deep.  True for many fringe wetlands.</v>
      </c>
      <c r="D32" s="81">
        <f>F!D160</f>
        <v>0</v>
      </c>
      <c r="E32" s="205">
        <v>6</v>
      </c>
      <c r="F32" s="205">
        <f>D32*E32</f>
        <v>0</v>
      </c>
      <c r="G32" s="237"/>
      <c r="H32" s="1882"/>
      <c r="I32" s="2041"/>
    </row>
    <row r="33" spans="1:11" s="13" customFormat="1" ht="39" thickBot="1" x14ac:dyDescent="0.25">
      <c r="A33" s="2039" t="str">
        <f>F!A165</f>
        <v>F31</v>
      </c>
      <c r="B33" s="1911" t="str">
        <f>F!B165</f>
        <v xml:space="preserve">% of Water Ponded vs. Flowing </v>
      </c>
      <c r="C33" s="1389" t="str">
        <f>F!C165</f>
        <v>The percentage of the AA's surface water that is ponded (stagnant, or flows so slowly that fine sediment is not held in suspension) during most of the time it is present during the growing season, and which is either open or shaded by emergent vegetation, is:</v>
      </c>
      <c r="D33" s="238"/>
      <c r="E33" s="239"/>
      <c r="F33" s="240"/>
      <c r="G33" s="231">
        <f>IF((AllSat1&gt;0),"", IF((SmallAA=1),"", MAX(F34:F39)/MAX(E34:E39)))</f>
        <v>0</v>
      </c>
      <c r="H33" s="1910" t="s">
        <v>195</v>
      </c>
      <c r="I33" s="2040" t="s">
        <v>1030</v>
      </c>
      <c r="J33" s="144"/>
    </row>
    <row r="34" spans="1:11" s="13" customFormat="1" ht="27" customHeight="1" x14ac:dyDescent="0.2">
      <c r="A34" s="2039"/>
      <c r="B34" s="1991"/>
      <c r="C34" s="732" t="str">
        <f>F!C166</f>
        <v>None, or &lt;0.01 hectare and &lt;1% of the AA. Nearly all water is flowing.  Enter "1" and SKIP to F43 (pH measurement).</v>
      </c>
      <c r="D34" s="772">
        <f>F!D166</f>
        <v>0</v>
      </c>
      <c r="E34" s="377">
        <v>6</v>
      </c>
      <c r="F34" s="369">
        <f t="shared" ref="F34:F46" si="1">D34*E34</f>
        <v>0</v>
      </c>
      <c r="G34" s="236"/>
      <c r="H34" s="1881"/>
      <c r="I34" s="2040"/>
      <c r="J34" s="144"/>
    </row>
    <row r="35" spans="1:11" s="13" customFormat="1" ht="15" customHeight="1" x14ac:dyDescent="0.2">
      <c r="A35" s="2039"/>
      <c r="B35" s="1991"/>
      <c r="C35" s="732" t="str">
        <f>F!C167</f>
        <v>1-5% of the water.  The rest is flowing.</v>
      </c>
      <c r="D35" s="772">
        <f>F!D167</f>
        <v>0</v>
      </c>
      <c r="E35" s="377">
        <v>5</v>
      </c>
      <c r="F35" s="369">
        <f t="shared" si="1"/>
        <v>0</v>
      </c>
      <c r="G35" s="236"/>
      <c r="H35" s="1881"/>
      <c r="I35" s="2040"/>
      <c r="J35" s="144"/>
    </row>
    <row r="36" spans="1:11" s="13" customFormat="1" ht="15" customHeight="1" x14ac:dyDescent="0.2">
      <c r="A36" s="2039"/>
      <c r="B36" s="1991"/>
      <c r="C36" s="732" t="str">
        <f>F!C168</f>
        <v>5-30% of the water.</v>
      </c>
      <c r="D36" s="772">
        <f>F!D168</f>
        <v>0</v>
      </c>
      <c r="E36" s="377">
        <v>4</v>
      </c>
      <c r="F36" s="369">
        <f t="shared" si="1"/>
        <v>0</v>
      </c>
      <c r="G36" s="236"/>
      <c r="H36" s="1881"/>
      <c r="I36" s="2040"/>
      <c r="J36" s="144"/>
    </row>
    <row r="37" spans="1:11" s="13" customFormat="1" ht="15" customHeight="1" x14ac:dyDescent="0.2">
      <c r="A37" s="2039"/>
      <c r="B37" s="1991"/>
      <c r="C37" s="732" t="str">
        <f>F!C169</f>
        <v>30-70% of the water.</v>
      </c>
      <c r="D37" s="772">
        <f>F!D169</f>
        <v>0</v>
      </c>
      <c r="E37" s="377">
        <v>3</v>
      </c>
      <c r="F37" s="369">
        <f t="shared" si="1"/>
        <v>0</v>
      </c>
      <c r="G37" s="236"/>
      <c r="H37" s="1881"/>
      <c r="I37" s="2040"/>
      <c r="J37" s="144"/>
    </row>
    <row r="38" spans="1:11" s="13" customFormat="1" ht="15" customHeight="1" x14ac:dyDescent="0.2">
      <c r="A38" s="2039"/>
      <c r="B38" s="1991"/>
      <c r="C38" s="732" t="str">
        <f>F!C170</f>
        <v>70-99% of the water.</v>
      </c>
      <c r="D38" s="772">
        <f>F!D170</f>
        <v>0</v>
      </c>
      <c r="E38" s="377">
        <v>2</v>
      </c>
      <c r="F38" s="369">
        <f t="shared" si="1"/>
        <v>0</v>
      </c>
      <c r="G38" s="236"/>
      <c r="H38" s="1881"/>
      <c r="I38" s="2040"/>
      <c r="J38" s="144"/>
    </row>
    <row r="39" spans="1:11" s="13" customFormat="1" ht="15" customHeight="1" thickBot="1" x14ac:dyDescent="0.25">
      <c r="A39" s="2039"/>
      <c r="B39" s="1911"/>
      <c r="C39" s="732" t="str">
        <f>F!C171</f>
        <v>&gt;99% of the water.  Little or no visibly flowing water within the AA.</v>
      </c>
      <c r="D39" s="772">
        <f>F!D171</f>
        <v>0</v>
      </c>
      <c r="E39" s="377">
        <v>1</v>
      </c>
      <c r="F39" s="369">
        <f t="shared" si="1"/>
        <v>0</v>
      </c>
      <c r="G39" s="236"/>
      <c r="H39" s="1881"/>
      <c r="I39" s="2040"/>
      <c r="J39" s="144"/>
    </row>
    <row r="40" spans="1:11" s="13" customFormat="1" ht="39" thickBot="1" x14ac:dyDescent="0.25">
      <c r="A40" s="1992" t="str">
        <f>F!A173</f>
        <v>F33</v>
      </c>
      <c r="B40" s="1867" t="str">
        <f>F!B173</f>
        <v xml:space="preserve">% of Ponded Water That Is Open </v>
      </c>
      <c r="C40" s="90" t="str">
        <f>F!C173</f>
        <v>In ducks-eye aerial view, the percentage of the ponded water that is open (lacking emergent vegetation during most of the growing season, and unhidden by a forest or shrub canopy) is:</v>
      </c>
      <c r="D40" s="372"/>
      <c r="E40" s="376"/>
      <c r="F40" s="368"/>
      <c r="G40" s="232">
        <f>IF((AllSat1&gt;0),"",IF((NoPonded=1),"",MAX(F41:F46)/MAX(E41:E46)))</f>
        <v>0</v>
      </c>
      <c r="H40" s="1910" t="s">
        <v>472</v>
      </c>
      <c r="I40" s="2011" t="s">
        <v>1041</v>
      </c>
      <c r="J40" s="144"/>
    </row>
    <row r="41" spans="1:11" s="13" customFormat="1" ht="27" customHeight="1" x14ac:dyDescent="0.2">
      <c r="A41" s="1991"/>
      <c r="B41" s="1911"/>
      <c r="C41" s="23" t="str">
        <f>F!C174</f>
        <v>None, or &lt;1% of the AA and largest pool occupies &lt;0.01 hectares.  Enter "1" and SKIP to F41 (Floating Algae &amp; Duckweed).</v>
      </c>
      <c r="D41" s="180">
        <f>F!D174</f>
        <v>0</v>
      </c>
      <c r="E41" s="377">
        <v>5</v>
      </c>
      <c r="F41" s="369">
        <f t="shared" si="1"/>
        <v>0</v>
      </c>
      <c r="G41" s="236"/>
      <c r="H41" s="1881"/>
      <c r="I41" s="2040"/>
      <c r="J41" s="144"/>
    </row>
    <row r="42" spans="1:11" s="13" customFormat="1" ht="15" customHeight="1" x14ac:dyDescent="0.2">
      <c r="A42" s="1991"/>
      <c r="B42" s="1911"/>
      <c r="C42" s="362" t="str">
        <f>F!C175</f>
        <v>1-5% of the ponded water.  Enter "1" and SKIP to F41.</v>
      </c>
      <c r="D42" s="354">
        <f>F!D175</f>
        <v>0</v>
      </c>
      <c r="E42" s="377">
        <v>4</v>
      </c>
      <c r="F42" s="369">
        <f t="shared" si="1"/>
        <v>0</v>
      </c>
      <c r="G42" s="236"/>
      <c r="H42" s="1881"/>
      <c r="I42" s="2040"/>
      <c r="J42" s="144"/>
    </row>
    <row r="43" spans="1:11" s="13" customFormat="1" ht="15" customHeight="1" x14ac:dyDescent="0.2">
      <c r="A43" s="1991"/>
      <c r="B43" s="1911"/>
      <c r="C43" s="362" t="str">
        <f>F!C176</f>
        <v>5-30% of the ponded water.</v>
      </c>
      <c r="D43" s="354">
        <f>F!D176</f>
        <v>0</v>
      </c>
      <c r="E43" s="377">
        <v>3</v>
      </c>
      <c r="F43" s="369">
        <f t="shared" si="1"/>
        <v>0</v>
      </c>
      <c r="G43" s="236"/>
      <c r="H43" s="1881"/>
      <c r="I43" s="2040"/>
      <c r="J43" s="144"/>
    </row>
    <row r="44" spans="1:11" s="13" customFormat="1" ht="15" customHeight="1" x14ac:dyDescent="0.2">
      <c r="A44" s="1991"/>
      <c r="B44" s="1911"/>
      <c r="C44" s="362" t="str">
        <f>F!C177</f>
        <v>30-70% of the ponded water.</v>
      </c>
      <c r="D44" s="354">
        <f>F!D177</f>
        <v>0</v>
      </c>
      <c r="E44" s="377">
        <v>2</v>
      </c>
      <c r="F44" s="369">
        <f t="shared" si="1"/>
        <v>0</v>
      </c>
      <c r="G44" s="236"/>
      <c r="H44" s="1881"/>
      <c r="I44" s="2040"/>
      <c r="J44" s="144"/>
    </row>
    <row r="45" spans="1:11" s="13" customFormat="1" ht="15" customHeight="1" x14ac:dyDescent="0.2">
      <c r="A45" s="1991"/>
      <c r="B45" s="1911"/>
      <c r="C45" s="362" t="str">
        <f>F!C178</f>
        <v>70-99% of the ponded water.</v>
      </c>
      <c r="D45" s="354">
        <f>F!D178</f>
        <v>0</v>
      </c>
      <c r="E45" s="377">
        <v>1</v>
      </c>
      <c r="F45" s="369">
        <f t="shared" si="1"/>
        <v>0</v>
      </c>
      <c r="G45" s="236"/>
      <c r="H45" s="1881"/>
      <c r="I45" s="2040"/>
      <c r="J45" s="144"/>
    </row>
    <row r="46" spans="1:11" s="13" customFormat="1" ht="15" customHeight="1" thickBot="1" x14ac:dyDescent="0.25">
      <c r="A46" s="1993"/>
      <c r="B46" s="1978"/>
      <c r="C46" s="82" t="str">
        <f>F!C179</f>
        <v xml:space="preserve">100% of the ponded water. </v>
      </c>
      <c r="D46" s="94">
        <f>F!D179</f>
        <v>0</v>
      </c>
      <c r="E46" s="244">
        <v>0</v>
      </c>
      <c r="F46" s="205">
        <f t="shared" si="1"/>
        <v>0</v>
      </c>
      <c r="G46" s="237"/>
      <c r="H46" s="1882"/>
      <c r="I46" s="2041"/>
      <c r="J46" s="144"/>
    </row>
    <row r="47" spans="1:11" s="13" customFormat="1" ht="77.25" thickBot="1" x14ac:dyDescent="0.25">
      <c r="A47" s="1980" t="str">
        <f>F!A233</f>
        <v>F48</v>
      </c>
      <c r="B47" s="1985" t="str">
        <f>F!B233</f>
        <v>Channel Connection &amp; Outflow Duration</v>
      </c>
      <c r="C47" s="373"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47" s="374"/>
      <c r="E47" s="375"/>
      <c r="F47" s="375"/>
      <c r="G47" s="231">
        <f>MAX(F48:F52)/MAX(E48:E52)</f>
        <v>0</v>
      </c>
      <c r="H47" s="1910" t="s">
        <v>192</v>
      </c>
      <c r="I47" s="2040" t="s">
        <v>259</v>
      </c>
      <c r="J47" s="144"/>
      <c r="K47" s="76"/>
    </row>
    <row r="48" spans="1:11" s="13" customFormat="1" ht="15" customHeight="1" x14ac:dyDescent="0.2">
      <c r="A48" s="1980"/>
      <c r="B48" s="1985"/>
      <c r="C48" s="363" t="str">
        <f>F!C234</f>
        <v>persistent (&gt;9 months/year, including times when frozen).</v>
      </c>
      <c r="D48" s="382">
        <f>F!D234</f>
        <v>0</v>
      </c>
      <c r="E48" s="381">
        <v>5</v>
      </c>
      <c r="F48" s="355">
        <f>D48*E48</f>
        <v>0</v>
      </c>
      <c r="G48" s="246"/>
      <c r="H48" s="1881"/>
      <c r="I48" s="2040"/>
      <c r="J48" s="144"/>
    </row>
    <row r="49" spans="1:11" s="13" customFormat="1" ht="25.5" x14ac:dyDescent="0.2">
      <c r="A49" s="1980"/>
      <c r="B49" s="1985"/>
      <c r="C49" s="364" t="str">
        <f>F!C235</f>
        <v>seasonal (14 days to 9 months/year, not necessarily consecutive, including times when frozen).</v>
      </c>
      <c r="D49" s="382">
        <f>F!D235</f>
        <v>0</v>
      </c>
      <c r="E49" s="381">
        <v>2</v>
      </c>
      <c r="F49" s="355">
        <f>D49*E49</f>
        <v>0</v>
      </c>
      <c r="G49" s="347"/>
      <c r="H49" s="1881"/>
      <c r="I49" s="2040"/>
      <c r="J49" s="144"/>
    </row>
    <row r="50" spans="1:11" s="13" customFormat="1" ht="15" customHeight="1" x14ac:dyDescent="0.2">
      <c r="A50" s="1980"/>
      <c r="B50" s="1985"/>
      <c r="C50" s="364" t="str">
        <f>F!C236</f>
        <v>temporary (&lt;14 days, not necessarily consecutive, but must be unfrozen).</v>
      </c>
      <c r="D50" s="382">
        <f>F!D236</f>
        <v>0</v>
      </c>
      <c r="E50" s="381">
        <v>1</v>
      </c>
      <c r="F50" s="355">
        <f>D50*E50</f>
        <v>0</v>
      </c>
      <c r="G50" s="347"/>
      <c r="H50" s="1881"/>
      <c r="I50" s="2040"/>
      <c r="J50" s="144"/>
      <c r="K50" s="13" t="s">
        <v>406</v>
      </c>
    </row>
    <row r="51" spans="1:11" s="13" customFormat="1" ht="38.25" x14ac:dyDescent="0.2">
      <c r="A51" s="1980"/>
      <c r="B51" s="1985"/>
      <c r="C51" s="364" t="str">
        <f>F!C237</f>
        <v xml:space="preserve">none -- but maps show a stream or other water body that is downslope from the AA and within a distance that is less than the AA's length.  If so, mark "1" here and SKIP TO F50 (Groundwater). </v>
      </c>
      <c r="D51" s="382">
        <f>F!D237</f>
        <v>0</v>
      </c>
      <c r="E51" s="381">
        <v>0</v>
      </c>
      <c r="F51" s="355">
        <f>D51*E51</f>
        <v>0</v>
      </c>
      <c r="G51" s="347"/>
      <c r="H51" s="1881"/>
      <c r="I51" s="2040"/>
      <c r="J51" s="144"/>
    </row>
    <row r="52" spans="1:11" s="13" customFormat="1" ht="42" customHeight="1" thickBot="1" x14ac:dyDescent="0.25">
      <c r="A52" s="1980"/>
      <c r="B52" s="1985"/>
      <c r="C52" s="365" t="str">
        <f>F!C238</f>
        <v xml:space="preserve">no surface water flows out of the wetland except possibly during extreme events (&lt;once per 10 years). Or, water flows only into a wetland, ditch, or lake that lacks an outlet.  If so, mark "1" here and SKIP TO F50 (Groundwater). </v>
      </c>
      <c r="D52" s="383">
        <f>F!D238</f>
        <v>0</v>
      </c>
      <c r="E52" s="384">
        <v>0</v>
      </c>
      <c r="F52" s="357">
        <f>D52*E52</f>
        <v>0</v>
      </c>
      <c r="G52" s="347"/>
      <c r="H52" s="1882"/>
      <c r="I52" s="2040"/>
      <c r="J52" s="144"/>
    </row>
    <row r="53" spans="1:11" ht="21" customHeight="1" thickBot="1" x14ac:dyDescent="0.25">
      <c r="A53" s="2000" t="str">
        <f>F!A243</f>
        <v>F50</v>
      </c>
      <c r="B53" s="1867" t="str">
        <f>F!B243</f>
        <v>Groundwater: Strength of Evidence</v>
      </c>
      <c r="C53" s="104" t="str">
        <f>F!C243</f>
        <v xml:space="preserve">Select first applicable choice. </v>
      </c>
      <c r="D53" s="378"/>
      <c r="E53" s="368"/>
      <c r="F53" s="234"/>
      <c r="G53" s="232">
        <f>MAX(F54:F56)/MAX(E54:E56)</f>
        <v>0</v>
      </c>
      <c r="H53" s="1910" t="s">
        <v>193</v>
      </c>
      <c r="I53" s="2011" t="s">
        <v>1142</v>
      </c>
    </row>
    <row r="54" spans="1:11" ht="57" customHeight="1" x14ac:dyDescent="0.2">
      <c r="A54" s="1989"/>
      <c r="B54" s="1911"/>
      <c r="C54" s="1392"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54" s="442">
        <f>F!D244</f>
        <v>0</v>
      </c>
      <c r="E54" s="369">
        <v>3</v>
      </c>
      <c r="F54" s="369">
        <f>D54*E54</f>
        <v>0</v>
      </c>
      <c r="G54" s="235"/>
      <c r="H54" s="1881"/>
      <c r="I54" s="2040"/>
    </row>
    <row r="55" spans="1:11" ht="87" customHeight="1" x14ac:dyDescent="0.2">
      <c r="A55" s="1989"/>
      <c r="B55" s="1911"/>
      <c r="C55" s="328"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55" s="385">
        <f>F!D245</f>
        <v>0</v>
      </c>
      <c r="E55" s="369">
        <v>2</v>
      </c>
      <c r="F55" s="369">
        <f>D55*E55</f>
        <v>0</v>
      </c>
      <c r="G55" s="236"/>
      <c r="H55" s="1881"/>
      <c r="I55" s="2040"/>
    </row>
    <row r="56" spans="1:11" ht="27" customHeight="1" thickBot="1" x14ac:dyDescent="0.25">
      <c r="A56" s="1990"/>
      <c r="B56" s="1978"/>
      <c r="C56" s="390" t="str">
        <f>F!C246</f>
        <v>Neither of above is true, although some groundwater may discharge to or flow through the AA.  Or groundwater influx is unknown.</v>
      </c>
      <c r="D56" s="81">
        <f>F!D246</f>
        <v>0</v>
      </c>
      <c r="E56" s="205">
        <v>0</v>
      </c>
      <c r="F56" s="205">
        <f>D56*E56</f>
        <v>0</v>
      </c>
      <c r="G56" s="237"/>
      <c r="H56" s="1882"/>
      <c r="I56" s="2042"/>
    </row>
    <row r="57" spans="1:11" ht="21" customHeight="1" thickBot="1" x14ac:dyDescent="0.25">
      <c r="A57" s="827"/>
      <c r="B57" s="827"/>
      <c r="C57" s="394"/>
      <c r="D57" s="394"/>
      <c r="E57" s="394"/>
      <c r="F57" s="394"/>
      <c r="G57" s="394"/>
      <c r="H57" s="394"/>
      <c r="I57" s="394"/>
    </row>
    <row r="58" spans="1:11" s="5" customFormat="1" ht="21" customHeight="1" thickBot="1" x14ac:dyDescent="0.25">
      <c r="A58" s="940"/>
      <c r="B58" s="940"/>
      <c r="C58" s="391" t="s">
        <v>713</v>
      </c>
      <c r="D58" s="607"/>
      <c r="E58" s="607"/>
      <c r="F58" s="607"/>
      <c r="G58" s="607"/>
      <c r="H58" s="110"/>
      <c r="I58" s="110"/>
      <c r="J58" s="441"/>
    </row>
    <row r="59" spans="1:11" s="5" customFormat="1" ht="28.5" customHeight="1" thickBot="1" x14ac:dyDescent="0.25">
      <c r="A59" s="940"/>
      <c r="B59" s="940"/>
      <c r="C59" s="78" t="s">
        <v>2277</v>
      </c>
      <c r="D59" s="1547"/>
      <c r="E59" s="507"/>
      <c r="F59" s="1547"/>
      <c r="G59" s="1606">
        <f>AVERAGE(AVERAGE(SatPct7, Shade7),AVERAGE(Depth7, ISOdry7, OpenPonded7))</f>
        <v>0</v>
      </c>
      <c r="H59" s="110"/>
      <c r="I59" s="110"/>
      <c r="J59" s="140"/>
      <c r="K59" s="110"/>
    </row>
    <row r="60" spans="1:11" s="5" customFormat="1" ht="21" customHeight="1" thickBot="1" x14ac:dyDescent="0.25">
      <c r="A60" s="940"/>
      <c r="B60" s="940"/>
      <c r="C60" s="25"/>
      <c r="D60" s="827"/>
      <c r="E60" s="827"/>
      <c r="F60" s="827"/>
      <c r="G60" s="827"/>
      <c r="H60" s="110"/>
      <c r="I60" s="110"/>
      <c r="J60" s="441"/>
    </row>
    <row r="61" spans="1:11" s="5" customFormat="1" ht="21" customHeight="1" thickBot="1" x14ac:dyDescent="0.25">
      <c r="A61" s="940"/>
      <c r="B61" s="940"/>
      <c r="C61" s="392" t="s">
        <v>714</v>
      </c>
      <c r="D61" s="1027"/>
      <c r="E61" s="1027"/>
      <c r="F61" s="1027"/>
      <c r="G61" s="1027"/>
      <c r="H61" s="110"/>
      <c r="I61" s="110"/>
      <c r="J61" s="441"/>
    </row>
    <row r="62" spans="1:11" s="5" customFormat="1" ht="21" customHeight="1" thickBot="1" x14ac:dyDescent="0.25">
      <c r="A62" s="940"/>
      <c r="B62" s="940"/>
      <c r="C62" s="78" t="s">
        <v>2254</v>
      </c>
      <c r="D62" s="507"/>
      <c r="E62" s="507"/>
      <c r="F62" s="507"/>
      <c r="G62" s="285">
        <f>AVERAGE(Gwater7, GWDspring, WclassDom7)</f>
        <v>0</v>
      </c>
      <c r="H62" s="110"/>
      <c r="I62" s="110"/>
      <c r="J62" s="441"/>
    </row>
    <row r="63" spans="1:11" s="5" customFormat="1" ht="21" customHeight="1" thickBot="1" x14ac:dyDescent="0.25">
      <c r="A63" s="940"/>
      <c r="B63" s="940"/>
      <c r="C63" s="25"/>
      <c r="D63" s="1975"/>
      <c r="E63" s="1975"/>
      <c r="F63" s="1975"/>
      <c r="G63" s="1975"/>
      <c r="H63" s="110"/>
      <c r="I63" s="110"/>
      <c r="J63" s="441"/>
    </row>
    <row r="64" spans="1:11" s="5" customFormat="1" ht="21" customHeight="1" thickBot="1" x14ac:dyDescent="0.25">
      <c r="A64" s="940"/>
      <c r="B64" s="940"/>
      <c r="C64" s="392" t="s">
        <v>715</v>
      </c>
      <c r="D64" s="2031"/>
      <c r="E64" s="2031"/>
      <c r="F64" s="2031"/>
      <c r="G64" s="2031"/>
      <c r="H64" s="110"/>
      <c r="I64" s="110"/>
      <c r="J64" s="441"/>
    </row>
    <row r="65" spans="1:10" s="5" customFormat="1" ht="21" customHeight="1" thickBot="1" x14ac:dyDescent="0.25">
      <c r="A65" s="940"/>
      <c r="B65" s="940"/>
      <c r="C65" s="78" t="s">
        <v>2463</v>
      </c>
      <c r="D65" s="507"/>
      <c r="E65" s="507"/>
      <c r="F65" s="507"/>
      <c r="G65" s="285">
        <f>AVERAGE(OutDur7, RipFloodpl, ElevPctileHUC8)</f>
        <v>0</v>
      </c>
      <c r="H65" s="110"/>
      <c r="I65" s="110"/>
      <c r="J65" s="441"/>
    </row>
    <row r="66" spans="1:10" s="5" customFormat="1" ht="21" customHeight="1" thickBot="1" x14ac:dyDescent="0.25">
      <c r="A66" s="940"/>
      <c r="B66" s="940"/>
      <c r="C66" s="25"/>
      <c r="D66" s="827"/>
      <c r="E66" s="827"/>
      <c r="F66" s="827"/>
      <c r="G66" s="827"/>
      <c r="H66" s="110"/>
      <c r="I66" s="110"/>
      <c r="J66" s="141"/>
    </row>
    <row r="67" spans="1:10" s="5" customFormat="1" ht="21" customHeight="1" thickBot="1" x14ac:dyDescent="0.25">
      <c r="A67" s="940"/>
      <c r="B67" s="940"/>
      <c r="C67" s="639" t="s">
        <v>846</v>
      </c>
      <c r="D67" s="940"/>
      <c r="E67" s="940"/>
      <c r="F67" s="940"/>
      <c r="G67" s="940"/>
      <c r="H67" s="110"/>
      <c r="I67" s="110"/>
      <c r="J67" s="441"/>
    </row>
    <row r="68" spans="1:10" s="5" customFormat="1" ht="21" customHeight="1" thickBot="1" x14ac:dyDescent="0.25">
      <c r="A68" s="940"/>
      <c r="B68" s="940"/>
      <c r="C68" s="417" t="s">
        <v>706</v>
      </c>
      <c r="D68" s="1027"/>
      <c r="E68" s="1027"/>
      <c r="F68" s="1027"/>
      <c r="G68" s="1027"/>
      <c r="H68" s="110"/>
      <c r="I68" s="110"/>
      <c r="J68" s="441"/>
    </row>
    <row r="69" spans="1:10" s="5" customFormat="1" ht="21" customHeight="1" thickBot="1" x14ac:dyDescent="0.25">
      <c r="A69" s="940"/>
      <c r="B69" s="940"/>
      <c r="C69" s="78" t="s">
        <v>2384</v>
      </c>
      <c r="D69" s="507"/>
      <c r="E69" s="507"/>
      <c r="F69" s="507"/>
      <c r="G69" s="582">
        <f>IF((OutNone + OutNone1&gt;0),0, 10*AVERAGE(SHADE1A, GWIN1A, OUT7A))</f>
        <v>0</v>
      </c>
      <c r="H69" s="110"/>
      <c r="I69" s="110"/>
      <c r="J69" s="441"/>
    </row>
    <row r="70" spans="1:10" ht="21" customHeight="1" thickBot="1" x14ac:dyDescent="0.25">
      <c r="A70" s="588" t="s">
        <v>406</v>
      </c>
      <c r="B70" s="588"/>
      <c r="C70" s="588"/>
      <c r="D70" s="588"/>
      <c r="E70" s="588"/>
      <c r="F70" s="588"/>
      <c r="G70" s="588"/>
      <c r="H70" s="588"/>
      <c r="I70" s="824" t="s">
        <v>293</v>
      </c>
      <c r="J70" s="144"/>
    </row>
    <row r="71" spans="1:10" ht="42" customHeight="1" x14ac:dyDescent="0.2">
      <c r="A71" s="588"/>
      <c r="B71" s="588"/>
      <c r="C71" s="588"/>
      <c r="D71" s="588"/>
      <c r="E71" s="588"/>
      <c r="F71" s="588"/>
      <c r="G71" s="588"/>
      <c r="H71" s="588"/>
      <c r="I71" s="1421" t="s">
        <v>1140</v>
      </c>
      <c r="J71" s="144"/>
    </row>
    <row r="72" spans="1:10" ht="38.25" x14ac:dyDescent="0.2">
      <c r="A72" s="588"/>
      <c r="B72" s="588"/>
      <c r="C72" s="588"/>
      <c r="D72" s="588"/>
      <c r="E72" s="588"/>
      <c r="F72" s="588"/>
      <c r="G72" s="588"/>
      <c r="H72" s="588"/>
      <c r="I72" s="1404" t="s">
        <v>1804</v>
      </c>
      <c r="J72" s="144"/>
    </row>
    <row r="73" spans="1:10" ht="42" customHeight="1" x14ac:dyDescent="0.2">
      <c r="A73" s="588"/>
      <c r="B73" s="588"/>
      <c r="C73" s="588"/>
      <c r="D73" s="588"/>
      <c r="E73" s="588"/>
      <c r="F73" s="588"/>
      <c r="G73" s="588"/>
      <c r="H73" s="588"/>
      <c r="I73" s="1404" t="s">
        <v>1139</v>
      </c>
      <c r="J73" s="144"/>
    </row>
    <row r="74" spans="1:10" ht="38.25" x14ac:dyDescent="0.2">
      <c r="A74" s="588"/>
      <c r="B74" s="588"/>
      <c r="C74" s="588"/>
      <c r="D74" s="588"/>
      <c r="E74" s="588"/>
      <c r="F74" s="588"/>
      <c r="G74" s="588"/>
      <c r="H74" s="588"/>
      <c r="I74" s="1404" t="s">
        <v>1141</v>
      </c>
      <c r="J74" s="144"/>
    </row>
    <row r="75" spans="1:10" ht="57" customHeight="1" x14ac:dyDescent="0.2">
      <c r="A75" s="588"/>
      <c r="B75" s="588"/>
      <c r="C75" s="588"/>
      <c r="D75" s="588"/>
      <c r="E75" s="588"/>
      <c r="F75" s="588"/>
      <c r="G75" s="588"/>
      <c r="H75" s="588"/>
      <c r="I75" s="1407" t="s">
        <v>300</v>
      </c>
      <c r="J75" s="144"/>
    </row>
    <row r="76" spans="1:10" ht="42" customHeight="1" x14ac:dyDescent="0.2">
      <c r="A76" s="588"/>
      <c r="B76" s="588"/>
      <c r="C76" s="588"/>
      <c r="D76" s="588"/>
      <c r="E76" s="588"/>
      <c r="F76" s="588"/>
      <c r="G76" s="588"/>
      <c r="H76" s="588"/>
      <c r="I76" s="1404" t="s">
        <v>301</v>
      </c>
      <c r="J76" s="144"/>
    </row>
    <row r="77" spans="1:10" ht="42" customHeight="1" thickBot="1" x14ac:dyDescent="0.25">
      <c r="A77" s="588"/>
      <c r="B77" s="588"/>
      <c r="C77" s="588"/>
      <c r="D77" s="588"/>
      <c r="E77" s="588"/>
      <c r="F77" s="588"/>
      <c r="G77" s="588"/>
      <c r="H77" s="588"/>
      <c r="I77" s="1405" t="s">
        <v>302</v>
      </c>
      <c r="J77" s="144"/>
    </row>
    <row r="78" spans="1:10" ht="42" customHeight="1" x14ac:dyDescent="0.2">
      <c r="A78" s="588"/>
      <c r="B78" s="588"/>
      <c r="C78" s="588"/>
      <c r="D78" s="588"/>
      <c r="E78" s="588"/>
      <c r="F78" s="588"/>
      <c r="G78" s="588"/>
      <c r="H78" s="588"/>
      <c r="I78" s="394"/>
      <c r="J78" s="144"/>
    </row>
    <row r="79" spans="1:10" ht="42" customHeight="1" x14ac:dyDescent="0.2">
      <c r="A79" s="588"/>
      <c r="B79" s="588"/>
      <c r="C79" s="588"/>
      <c r="D79" s="588"/>
      <c r="E79" s="588"/>
      <c r="F79" s="588"/>
      <c r="G79" s="588"/>
      <c r="H79" s="588"/>
      <c r="I79" s="110"/>
      <c r="J79" s="144"/>
    </row>
    <row r="80" spans="1:10" ht="42" customHeight="1" x14ac:dyDescent="0.2">
      <c r="A80" s="588"/>
      <c r="B80" s="588"/>
      <c r="C80" s="588"/>
      <c r="D80" s="588"/>
      <c r="E80" s="588"/>
      <c r="F80" s="588"/>
      <c r="G80" s="588"/>
      <c r="H80" s="588"/>
      <c r="I80" s="110"/>
      <c r="J80" s="144"/>
    </row>
    <row r="81" spans="1:10" ht="42" customHeight="1" x14ac:dyDescent="0.2">
      <c r="A81" s="588"/>
      <c r="B81" s="588"/>
      <c r="C81" s="588"/>
      <c r="D81" s="588"/>
      <c r="E81" s="588"/>
      <c r="F81" s="588"/>
      <c r="G81" s="588"/>
      <c r="H81" s="588"/>
      <c r="I81" s="110"/>
      <c r="J81" s="144"/>
    </row>
    <row r="82" spans="1:10" ht="42" customHeight="1" x14ac:dyDescent="0.2">
      <c r="A82" s="588"/>
      <c r="B82" s="588"/>
      <c r="C82" s="588"/>
      <c r="D82" s="588"/>
      <c r="E82" s="588"/>
      <c r="F82" s="588"/>
      <c r="G82" s="588"/>
      <c r="H82" s="588"/>
      <c r="I82" s="110"/>
      <c r="J82" s="144"/>
    </row>
    <row r="83" spans="1:10" ht="42" customHeight="1" x14ac:dyDescent="0.2">
      <c r="A83" s="588"/>
      <c r="B83" s="588"/>
      <c r="C83" s="588"/>
      <c r="D83" s="588"/>
      <c r="E83" s="588"/>
      <c r="F83" s="588"/>
      <c r="G83" s="588"/>
      <c r="H83" s="588"/>
      <c r="I83" s="110"/>
      <c r="J83" s="144"/>
    </row>
    <row r="84" spans="1:10" ht="42" customHeight="1" x14ac:dyDescent="0.2">
      <c r="A84" s="588"/>
      <c r="B84" s="588"/>
      <c r="C84" s="588"/>
      <c r="D84" s="588"/>
      <c r="E84" s="588"/>
      <c r="F84" s="588"/>
      <c r="G84" s="588"/>
      <c r="H84" s="588"/>
      <c r="I84" s="5"/>
      <c r="J84" s="144"/>
    </row>
    <row r="85" spans="1:10" ht="42" customHeight="1" x14ac:dyDescent="0.2">
      <c r="A85" s="588"/>
      <c r="B85" s="588"/>
      <c r="C85" s="588"/>
      <c r="D85" s="588"/>
      <c r="E85" s="588"/>
      <c r="F85" s="588"/>
      <c r="G85" s="588"/>
      <c r="H85" s="588"/>
      <c r="I85" s="19"/>
      <c r="J85" s="144"/>
    </row>
    <row r="86" spans="1:10" ht="42" customHeight="1" x14ac:dyDescent="0.2">
      <c r="A86" s="110"/>
      <c r="B86" s="110"/>
      <c r="C86" s="110"/>
      <c r="D86" s="110"/>
      <c r="E86" s="110"/>
      <c r="F86" s="110"/>
      <c r="G86" s="110"/>
      <c r="H86" s="110"/>
      <c r="J86" s="144"/>
    </row>
    <row r="87" spans="1:10" ht="42" customHeight="1" x14ac:dyDescent="0.2">
      <c r="A87" s="110"/>
      <c r="D87" s="574"/>
      <c r="E87" s="110"/>
      <c r="F87" s="110"/>
      <c r="G87" s="110"/>
      <c r="H87" s="110"/>
      <c r="J87" s="144"/>
    </row>
    <row r="88" spans="1:10" ht="42" customHeight="1" x14ac:dyDescent="0.2">
      <c r="A88" s="110"/>
      <c r="E88" s="110"/>
      <c r="F88" s="110"/>
      <c r="G88" s="110"/>
      <c r="H88" s="110"/>
      <c r="J88" s="144"/>
    </row>
    <row r="89" spans="1:10" ht="21" customHeight="1" x14ac:dyDescent="0.2">
      <c r="A89" s="5"/>
      <c r="E89" s="5"/>
      <c r="F89" s="5"/>
      <c r="G89" s="5"/>
      <c r="H89" s="5"/>
      <c r="J89" s="144"/>
    </row>
    <row r="90" spans="1:10" s="15" customFormat="1" ht="18.600000000000001" customHeight="1" x14ac:dyDescent="0.2">
      <c r="A90" s="25"/>
      <c r="B90" s="19"/>
      <c r="C90" s="5"/>
      <c r="D90" s="249"/>
      <c r="E90" s="5"/>
      <c r="F90" s="5"/>
      <c r="G90" s="573"/>
      <c r="H90" s="137"/>
      <c r="I90" s="39"/>
      <c r="J90" s="145"/>
    </row>
  </sheetData>
  <sheetProtection password="C4B9" sheet="1" objects="1" scenarios="1"/>
  <sortState ref="A3:K9">
    <sortCondition ref="H3:H9"/>
  </sortState>
  <customSheetViews>
    <customSheetView guid="{B8E02330-2419-4DE6-AD01-7ACC7A5D18DD}" scale="75" topLeftCell="A35">
      <selection activeCell="A2" sqref="A2:H47"/>
      <pageMargins left="0.75" right="0.75" top="1" bottom="1" header="0.5" footer="0.5"/>
      <pageSetup orientation="portrait" r:id="rId1"/>
      <headerFooter alignWithMargins="0"/>
    </customSheetView>
  </customSheetViews>
  <mergeCells count="35">
    <mergeCell ref="E1:H1"/>
    <mergeCell ref="I27:I32"/>
    <mergeCell ref="A1:B1"/>
    <mergeCell ref="B27:B32"/>
    <mergeCell ref="A15:A20"/>
    <mergeCell ref="A21:A26"/>
    <mergeCell ref="A27:A32"/>
    <mergeCell ref="B15:B20"/>
    <mergeCell ref="B21:B26"/>
    <mergeCell ref="A8:A14"/>
    <mergeCell ref="B8:B14"/>
    <mergeCell ref="I8:I14"/>
    <mergeCell ref="H27:H32"/>
    <mergeCell ref="H21:H26"/>
    <mergeCell ref="H8:H14"/>
    <mergeCell ref="H15:H20"/>
    <mergeCell ref="D63:G64"/>
    <mergeCell ref="I47:I52"/>
    <mergeCell ref="H47:H52"/>
    <mergeCell ref="H53:H56"/>
    <mergeCell ref="A40:A46"/>
    <mergeCell ref="I53:I56"/>
    <mergeCell ref="B53:B56"/>
    <mergeCell ref="A53:A56"/>
    <mergeCell ref="I15:I20"/>
    <mergeCell ref="I40:I46"/>
    <mergeCell ref="B33:B39"/>
    <mergeCell ref="I33:I39"/>
    <mergeCell ref="B40:B46"/>
    <mergeCell ref="A33:A39"/>
    <mergeCell ref="H33:H39"/>
    <mergeCell ref="H40:H46"/>
    <mergeCell ref="I21:I26"/>
    <mergeCell ref="A47:A52"/>
    <mergeCell ref="B47:B52"/>
  </mergeCells>
  <phoneticPr fontId="12" type="noConversion"/>
  <conditionalFormatting sqref="D62:D63 D65:D66 D69 D42:D47 D49:D53 D55:D56 D59:D60 D27:D31 D33 D35:D40 D8 D10:D11 D13:D25">
    <cfRule type="cellIs" dxfId="10" priority="1" operator="greaterThan">
      <formula>0</formula>
    </cfRule>
  </conditionalFormatting>
  <pageMargins left="0.75" right="0.75" top="1" bottom="1" header="0.5" footer="0.5"/>
  <pageSetup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R231"/>
  <sheetViews>
    <sheetView topLeftCell="A2" zoomScaleNormal="100" workbookViewId="0">
      <selection activeCell="C80" sqref="C80"/>
    </sheetView>
  </sheetViews>
  <sheetFormatPr defaultColWidth="9.33203125" defaultRowHeight="12.75" x14ac:dyDescent="0.2"/>
  <cols>
    <col min="1" max="1" width="5.83203125" style="19" customWidth="1"/>
    <col min="2" max="2" width="18.83203125" style="6" customWidth="1"/>
    <col min="3" max="3" width="69.83203125" style="6" customWidth="1"/>
    <col min="4" max="4" width="6.83203125" style="577" customWidth="1"/>
    <col min="5" max="5" width="8.1640625" style="577" customWidth="1"/>
    <col min="6" max="6" width="9.33203125" style="577" customWidth="1"/>
    <col min="7" max="7" width="10.83203125" style="179" customWidth="1"/>
    <col min="8" max="8" width="12.83203125" style="137" customWidth="1"/>
    <col min="9" max="9" width="67.83203125" style="25" customWidth="1"/>
    <col min="10" max="10" width="9.33203125" style="574"/>
    <col min="11" max="12" width="9.33203125" style="5"/>
    <col min="13" max="13" width="44" style="5" customWidth="1"/>
    <col min="14" max="16384" width="9.33203125" style="5"/>
  </cols>
  <sheetData>
    <row r="1" spans="1:13" s="62" customFormat="1" ht="120.75" customHeight="1" thickBot="1" x14ac:dyDescent="0.25">
      <c r="A1" s="2076" t="s">
        <v>1753</v>
      </c>
      <c r="B1" s="2077"/>
      <c r="C1" s="60" t="s">
        <v>507</v>
      </c>
      <c r="D1" s="75" t="s">
        <v>508</v>
      </c>
      <c r="E1" s="2083"/>
      <c r="F1" s="2084"/>
      <c r="G1" s="2084"/>
      <c r="H1" s="2085"/>
      <c r="I1" s="77" t="s">
        <v>885</v>
      </c>
      <c r="J1" s="147"/>
    </row>
    <row r="2" spans="1:13" s="108" customFormat="1" ht="36" customHeight="1" thickBot="1" x14ac:dyDescent="0.35">
      <c r="A2" s="1016" t="s">
        <v>78</v>
      </c>
      <c r="B2" s="624" t="s">
        <v>701</v>
      </c>
      <c r="C2" s="625" t="s">
        <v>866</v>
      </c>
      <c r="D2" s="623"/>
      <c r="E2" s="626"/>
      <c r="F2" s="627"/>
      <c r="G2" s="628" t="s">
        <v>710</v>
      </c>
      <c r="H2" s="624" t="s">
        <v>2028</v>
      </c>
      <c r="I2" s="624" t="s">
        <v>255</v>
      </c>
      <c r="J2" s="170"/>
      <c r="M2" s="201"/>
    </row>
    <row r="3" spans="1:13" s="1325" customFormat="1" ht="57" customHeight="1" thickBot="1" x14ac:dyDescent="0.25">
      <c r="A3" s="322" t="str">
        <f>OF!A36</f>
        <v>OF35</v>
      </c>
      <c r="B3" s="323" t="str">
        <f>OF!C36</f>
        <v xml:space="preserve">% Slope </v>
      </c>
      <c r="C3" s="337"/>
      <c r="D3" s="324"/>
      <c r="E3" s="325"/>
      <c r="F3" s="325"/>
      <c r="G3" s="345" t="str">
        <f>IF((SlopeBuffer=""),"",SlopeBuffer)</f>
        <v/>
      </c>
      <c r="H3" s="351" t="s">
        <v>793</v>
      </c>
      <c r="I3" s="403" t="s">
        <v>1019</v>
      </c>
      <c r="J3" s="1600"/>
      <c r="K3" s="1332"/>
    </row>
    <row r="4" spans="1:13" s="1325" customFormat="1" ht="30" customHeight="1" thickBot="1" x14ac:dyDescent="0.25">
      <c r="A4" s="317" t="str">
        <f>OF!A37</f>
        <v>OF36</v>
      </c>
      <c r="B4" s="318" t="str">
        <f>OF!C37</f>
        <v>Subzero Days</v>
      </c>
      <c r="C4" s="336" t="s">
        <v>867</v>
      </c>
      <c r="D4" s="320"/>
      <c r="E4" s="321"/>
      <c r="F4" s="321"/>
      <c r="G4" s="330" t="str">
        <f>IF((Sub0Days=""),"",Sub0Days)</f>
        <v/>
      </c>
      <c r="H4" s="331" t="s">
        <v>689</v>
      </c>
      <c r="I4" s="319" t="s">
        <v>1020</v>
      </c>
      <c r="J4" s="1600"/>
      <c r="K4" s="1332"/>
    </row>
    <row r="5" spans="1:13" s="1325" customFormat="1" ht="57.6" customHeight="1" thickBot="1" x14ac:dyDescent="0.25">
      <c r="A5" s="313" t="str">
        <f>OF!A50</f>
        <v>OF49</v>
      </c>
      <c r="B5" s="397" t="str">
        <f>OF!C50</f>
        <v>Wetland Vegetated Area (in hectares)</v>
      </c>
      <c r="C5" s="337"/>
      <c r="D5" s="324"/>
      <c r="E5" s="325"/>
      <c r="F5" s="325"/>
      <c r="G5" s="345" t="str">
        <f>IF((WetVegArea=""),"",WetVegArea)</f>
        <v/>
      </c>
      <c r="H5" s="351" t="s">
        <v>656</v>
      </c>
      <c r="I5" s="403" t="s">
        <v>1021</v>
      </c>
      <c r="J5" s="1600"/>
      <c r="K5" s="1332"/>
    </row>
    <row r="6" spans="1:13" s="1" customFormat="1" ht="36" customHeight="1" thickBot="1" x14ac:dyDescent="0.25">
      <c r="A6" s="631" t="s">
        <v>78</v>
      </c>
      <c r="B6" s="629" t="s">
        <v>709</v>
      </c>
      <c r="C6" s="632" t="s">
        <v>708</v>
      </c>
      <c r="D6" s="633" t="s">
        <v>33</v>
      </c>
      <c r="E6" s="634" t="s">
        <v>1131</v>
      </c>
      <c r="F6" s="635" t="s">
        <v>1130</v>
      </c>
      <c r="G6" s="636" t="s">
        <v>710</v>
      </c>
      <c r="H6" s="637" t="s">
        <v>2028</v>
      </c>
      <c r="I6" s="638" t="s">
        <v>917</v>
      </c>
      <c r="J6" s="44"/>
    </row>
    <row r="7" spans="1:13" ht="41.25" customHeight="1" thickBot="1" x14ac:dyDescent="0.25">
      <c r="A7" s="2052" t="str">
        <f>F!A63</f>
        <v>F11</v>
      </c>
      <c r="B7" s="2053" t="str">
        <f>F!B63</f>
        <v>% Bare Ground &amp; Thatch</v>
      </c>
      <c r="C7" s="877" t="str">
        <f>F!C63</f>
        <v>Consider the parts of the AA that lack surface water at the driest time of the growing season.  Viewed from directly above the ground layer, the predominant condition in those areas at that time is:</v>
      </c>
      <c r="D7" s="437"/>
      <c r="E7" s="239"/>
      <c r="F7" s="259"/>
      <c r="G7" s="219">
        <f>MAX(F8:F11)/MAX(E8:E11)</f>
        <v>0</v>
      </c>
      <c r="H7" s="1989" t="s">
        <v>205</v>
      </c>
      <c r="I7" s="2040" t="s">
        <v>16</v>
      </c>
    </row>
    <row r="8" spans="1:13" ht="42" customHeight="1" x14ac:dyDescent="0.2">
      <c r="A8" s="2052"/>
      <c r="B8" s="2053"/>
      <c r="C8" s="426" t="str">
        <f>F!C64</f>
        <v>Little or no (&lt;5%) bare ground is visible between erect stems or under canopy anywhere in the vegetated AA. Ground is extensively blanketed by dense thatch, moss, lichens, graminoids with great stem densities, or plants with ground-hugging foliage. </v>
      </c>
      <c r="D8" s="180">
        <f>F!D64</f>
        <v>0</v>
      </c>
      <c r="E8" s="241">
        <v>5</v>
      </c>
      <c r="F8" s="241">
        <f>D8*E8</f>
        <v>0</v>
      </c>
      <c r="G8" s="202"/>
      <c r="H8" s="1989"/>
      <c r="I8" s="2040"/>
    </row>
    <row r="9" spans="1:13" ht="27" customHeight="1" x14ac:dyDescent="0.2">
      <c r="A9" s="2052"/>
      <c r="B9" s="2053"/>
      <c r="C9" s="362" t="str">
        <f>F!C65</f>
        <v>Slightly bare ground (5-20% bare between plants) is visible in places, but those areas comprise less than 5% of the unflooded parts of the AA.</v>
      </c>
      <c r="D9" s="91">
        <f>F!D65</f>
        <v>0</v>
      </c>
      <c r="E9" s="241">
        <v>4</v>
      </c>
      <c r="F9" s="241">
        <f>D9*E9</f>
        <v>0</v>
      </c>
      <c r="G9" s="257"/>
      <c r="H9" s="1989"/>
      <c r="I9" s="2040"/>
    </row>
    <row r="10" spans="1:13" ht="27" customHeight="1" x14ac:dyDescent="0.2">
      <c r="A10" s="2052"/>
      <c r="B10" s="2053"/>
      <c r="C10" s="362" t="str">
        <f>F!C66</f>
        <v>Much bare ground (20-50% bare between plants) is visible in places, and those areas comprise more than 5% of the unflooded parts of the AA. </v>
      </c>
      <c r="D10" s="91">
        <f>F!D66</f>
        <v>0</v>
      </c>
      <c r="E10" s="241">
        <v>2</v>
      </c>
      <c r="F10" s="241">
        <f>D10*E10</f>
        <v>0</v>
      </c>
      <c r="G10" s="257"/>
      <c r="H10" s="1989"/>
      <c r="I10" s="2040"/>
    </row>
    <row r="11" spans="1:13" ht="15" customHeight="1" thickBot="1" x14ac:dyDescent="0.25">
      <c r="A11" s="2052"/>
      <c r="B11" s="2053"/>
      <c r="C11" s="361" t="str">
        <f>F!C67</f>
        <v>Other conditions.</v>
      </c>
      <c r="D11" s="370">
        <f>F!D67</f>
        <v>0</v>
      </c>
      <c r="E11" s="380">
        <v>0</v>
      </c>
      <c r="F11" s="380">
        <f>D11*E11</f>
        <v>0</v>
      </c>
      <c r="G11" s="433"/>
      <c r="H11" s="1989"/>
      <c r="I11" s="2040"/>
    </row>
    <row r="12" spans="1:13" ht="66" customHeight="1" thickBot="1" x14ac:dyDescent="0.25">
      <c r="A12" s="1992" t="str">
        <f>F!A69</f>
        <v>F12</v>
      </c>
      <c r="B12" s="1867" t="str">
        <f>F!B69</f>
        <v>Ground Irregularity</v>
      </c>
      <c r="C12" s="90"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12" s="372"/>
      <c r="E12" s="376"/>
      <c r="F12" s="262"/>
      <c r="G12" s="225">
        <f>MAX(F13:F15)/MAX(E13:E15)</f>
        <v>0</v>
      </c>
      <c r="H12" s="2000" t="s">
        <v>206</v>
      </c>
      <c r="I12" s="2011" t="s">
        <v>17</v>
      </c>
    </row>
    <row r="13" spans="1:13" ht="28.5" customHeight="1" x14ac:dyDescent="0.2">
      <c r="A13" s="1991"/>
      <c r="B13" s="1911"/>
      <c r="C13" s="426" t="str">
        <f>F!C70</f>
        <v xml:space="preserve">Few or none (minimal microtopography; &lt;1% of the land has such features, or entire site is always water-covered). </v>
      </c>
      <c r="D13" s="354">
        <f>F!D70</f>
        <v>0</v>
      </c>
      <c r="E13" s="377">
        <v>0</v>
      </c>
      <c r="F13" s="377">
        <f>D13*E13</f>
        <v>0</v>
      </c>
      <c r="G13" s="202"/>
      <c r="H13" s="1989"/>
      <c r="I13" s="2040"/>
    </row>
    <row r="14" spans="1:13" ht="15" customHeight="1" x14ac:dyDescent="0.2">
      <c r="A14" s="1991"/>
      <c r="B14" s="1911"/>
      <c r="C14" s="362" t="str">
        <f>F!C71</f>
        <v>Intermediate.</v>
      </c>
      <c r="D14" s="354">
        <f>F!D71</f>
        <v>0</v>
      </c>
      <c r="E14" s="377">
        <v>1</v>
      </c>
      <c r="F14" s="377">
        <f>D14*E14</f>
        <v>0</v>
      </c>
      <c r="G14" s="257"/>
      <c r="H14" s="1989"/>
      <c r="I14" s="2040"/>
    </row>
    <row r="15" spans="1:13" ht="15" customHeight="1" thickBot="1" x14ac:dyDescent="0.25">
      <c r="A15" s="1991"/>
      <c r="B15" s="1911"/>
      <c r="C15" s="747" t="str">
        <f>F!C72</f>
        <v>Several (extensive micro-topography).</v>
      </c>
      <c r="D15" s="370">
        <f>F!D72</f>
        <v>0</v>
      </c>
      <c r="E15" s="380">
        <v>2</v>
      </c>
      <c r="F15" s="380">
        <f>D15*E15</f>
        <v>0</v>
      </c>
      <c r="G15" s="721"/>
      <c r="H15" s="1989"/>
      <c r="I15" s="2040"/>
    </row>
    <row r="16" spans="1:13" ht="30" customHeight="1" thickBot="1" x14ac:dyDescent="0.25">
      <c r="A16" s="1992" t="str">
        <f>F!A142</f>
        <v>F27</v>
      </c>
      <c r="B16" s="1867" t="str">
        <f>F!B142</f>
        <v>% Flooded Only Seasonally</v>
      </c>
      <c r="C16" s="90" t="str">
        <f>F!C142</f>
        <v>The percentage of the AA that is covered by unfrozen surface water only during the wettest time of the year is:</v>
      </c>
      <c r="D16" s="282"/>
      <c r="E16" s="376"/>
      <c r="F16" s="262"/>
      <c r="G16" s="225">
        <f>IF((AllSat1&gt;0),"",MAX(F17:F21)/MAX(E17:E21))</f>
        <v>0</v>
      </c>
      <c r="H16" s="2000" t="s">
        <v>198</v>
      </c>
      <c r="I16" s="2011" t="s">
        <v>1022</v>
      </c>
    </row>
    <row r="17" spans="1:10" ht="15" customHeight="1" x14ac:dyDescent="0.2">
      <c r="A17" s="1991"/>
      <c r="B17" s="1911"/>
      <c r="C17" s="888" t="str">
        <f>F!C143</f>
        <v xml:space="preserve">None, or &lt;0.01 hectare and &lt;1% of the AA. </v>
      </c>
      <c r="D17" s="733">
        <f>F!D143</f>
        <v>0</v>
      </c>
      <c r="E17" s="722">
        <v>0</v>
      </c>
      <c r="F17" s="722">
        <f>D17*E17</f>
        <v>0</v>
      </c>
      <c r="G17" s="202"/>
      <c r="H17" s="1989"/>
      <c r="I17" s="2040"/>
    </row>
    <row r="18" spans="1:10" ht="15" customHeight="1" x14ac:dyDescent="0.2">
      <c r="A18" s="1991"/>
      <c r="B18" s="1911"/>
      <c r="C18" s="889" t="str">
        <f>F!C144</f>
        <v xml:space="preserve">1-25% </v>
      </c>
      <c r="D18" s="733">
        <f>F!D144</f>
        <v>0</v>
      </c>
      <c r="E18" s="722">
        <v>1</v>
      </c>
      <c r="F18" s="722">
        <f>D18*E18</f>
        <v>0</v>
      </c>
      <c r="G18" s="775"/>
      <c r="H18" s="1989"/>
      <c r="I18" s="2040"/>
    </row>
    <row r="19" spans="1:10" ht="15" customHeight="1" x14ac:dyDescent="0.2">
      <c r="A19" s="1991"/>
      <c r="B19" s="1911"/>
      <c r="C19" s="889" t="str">
        <f>F!C145</f>
        <v xml:space="preserve">25-50% </v>
      </c>
      <c r="D19" s="733">
        <f>F!D145</f>
        <v>0</v>
      </c>
      <c r="E19" s="722">
        <v>2</v>
      </c>
      <c r="F19" s="722">
        <f>D19*E19</f>
        <v>0</v>
      </c>
      <c r="G19" s="775"/>
      <c r="H19" s="1989"/>
      <c r="I19" s="2040"/>
    </row>
    <row r="20" spans="1:10" ht="15" customHeight="1" x14ac:dyDescent="0.2">
      <c r="A20" s="1991"/>
      <c r="B20" s="1911"/>
      <c r="C20" s="889" t="str">
        <f>F!C146</f>
        <v xml:space="preserve">50-95% </v>
      </c>
      <c r="D20" s="733">
        <f>F!D146</f>
        <v>0</v>
      </c>
      <c r="E20" s="722">
        <v>3</v>
      </c>
      <c r="F20" s="722">
        <f>D20*E20</f>
        <v>0</v>
      </c>
      <c r="G20" s="775"/>
      <c r="H20" s="1989"/>
      <c r="I20" s="2040"/>
    </row>
    <row r="21" spans="1:10" ht="15" customHeight="1" thickBot="1" x14ac:dyDescent="0.25">
      <c r="A21" s="1993"/>
      <c r="B21" s="1978"/>
      <c r="C21" s="82" t="str">
        <f>F!C147</f>
        <v xml:space="preserve">&gt;95% </v>
      </c>
      <c r="D21" s="94">
        <f>F!D147</f>
        <v>0</v>
      </c>
      <c r="E21" s="244">
        <v>4</v>
      </c>
      <c r="F21" s="244">
        <f>D21*E21</f>
        <v>0</v>
      </c>
      <c r="G21" s="258"/>
      <c r="H21" s="1990"/>
      <c r="I21" s="2041"/>
    </row>
    <row r="22" spans="1:10" s="6" customFormat="1" ht="30" customHeight="1" thickBot="1" x14ac:dyDescent="0.25">
      <c r="A22" s="2078" t="str">
        <f>F!A148</f>
        <v>F28</v>
      </c>
      <c r="B22" s="2080" t="str">
        <f>F!B148</f>
        <v>Annual Water Fluctuation Range</v>
      </c>
      <c r="C22" s="1443" t="str">
        <f>F!C148</f>
        <v>The annual fluctuation in surface water level within most of the parts of the AA that contain surface water is:</v>
      </c>
      <c r="D22" s="372"/>
      <c r="E22" s="376"/>
      <c r="F22" s="376"/>
      <c r="G22" s="225">
        <f>IF((AllSat1&gt;0),"",IF((NoSeasonal=1),"",MAX(F23:F27)/MAX(E23:E27)))</f>
        <v>0</v>
      </c>
      <c r="H22" s="1867" t="s">
        <v>197</v>
      </c>
      <c r="I22" s="2011" t="s">
        <v>1144</v>
      </c>
      <c r="J22" s="137"/>
    </row>
    <row r="23" spans="1:10" s="6" customFormat="1" ht="15" customHeight="1" x14ac:dyDescent="0.2">
      <c r="A23" s="2039"/>
      <c r="B23" s="2081"/>
      <c r="C23" s="1454" t="str">
        <f>F!C149</f>
        <v xml:space="preserve">&lt;10 cm change (stable or nearly so) </v>
      </c>
      <c r="D23" s="431">
        <f>F!D149</f>
        <v>0</v>
      </c>
      <c r="E23" s="377">
        <v>1</v>
      </c>
      <c r="F23" s="377">
        <f>D23*E23</f>
        <v>0</v>
      </c>
      <c r="G23" s="257"/>
      <c r="H23" s="1911"/>
      <c r="I23" s="2040"/>
      <c r="J23" s="137"/>
    </row>
    <row r="24" spans="1:10" s="6" customFormat="1" ht="15" customHeight="1" x14ac:dyDescent="0.2">
      <c r="A24" s="2039"/>
      <c r="B24" s="2081"/>
      <c r="C24" s="1607" t="str">
        <f>F!C150</f>
        <v>10 cm - 50 cm change</v>
      </c>
      <c r="D24" s="431">
        <f>F!D150</f>
        <v>0</v>
      </c>
      <c r="E24" s="377">
        <v>2</v>
      </c>
      <c r="F24" s="377">
        <f>D24*E24</f>
        <v>0</v>
      </c>
      <c r="G24" s="257"/>
      <c r="H24" s="1911"/>
      <c r="I24" s="2040"/>
      <c r="J24" s="137"/>
    </row>
    <row r="25" spans="1:10" s="6" customFormat="1" ht="15" customHeight="1" x14ac:dyDescent="0.2">
      <c r="A25" s="2039"/>
      <c r="B25" s="2081"/>
      <c r="C25" s="1607" t="str">
        <f>F!C151</f>
        <v>0.5 - 1 m change</v>
      </c>
      <c r="D25" s="431">
        <f>F!D151</f>
        <v>0</v>
      </c>
      <c r="E25" s="722">
        <v>3</v>
      </c>
      <c r="F25" s="722">
        <f>D25*E25</f>
        <v>0</v>
      </c>
      <c r="G25" s="775"/>
      <c r="H25" s="1911"/>
      <c r="I25" s="2040"/>
      <c r="J25" s="137"/>
    </row>
    <row r="26" spans="1:10" s="6" customFormat="1" ht="15" customHeight="1" x14ac:dyDescent="0.2">
      <c r="A26" s="2039"/>
      <c r="B26" s="2081"/>
      <c r="C26" s="1607" t="str">
        <f>F!C152</f>
        <v>1-2 m change</v>
      </c>
      <c r="D26" s="431">
        <f>F!D152</f>
        <v>0</v>
      </c>
      <c r="E26" s="377">
        <v>4</v>
      </c>
      <c r="F26" s="377">
        <f>D26*E26</f>
        <v>0</v>
      </c>
      <c r="G26" s="257"/>
      <c r="H26" s="1911"/>
      <c r="I26" s="2040"/>
      <c r="J26" s="137"/>
    </row>
    <row r="27" spans="1:10" s="6" customFormat="1" ht="15" customHeight="1" thickBot="1" x14ac:dyDescent="0.25">
      <c r="A27" s="2079"/>
      <c r="B27" s="2082"/>
      <c r="C27" s="1446" t="str">
        <f>F!C153</f>
        <v>&gt;2 m change</v>
      </c>
      <c r="D27" s="102">
        <f>F!D153</f>
        <v>0</v>
      </c>
      <c r="E27" s="244">
        <v>5</v>
      </c>
      <c r="F27" s="244">
        <f>D27*E27</f>
        <v>0</v>
      </c>
      <c r="G27" s="258"/>
      <c r="H27" s="1978"/>
      <c r="I27" s="2041"/>
      <c r="J27" s="137"/>
    </row>
    <row r="28" spans="1:10" ht="57" customHeight="1" thickBot="1" x14ac:dyDescent="0.25">
      <c r="A28" s="2075" t="str">
        <f>F!A155</f>
        <v>F29</v>
      </c>
      <c r="B28" s="2053" t="str">
        <f>F!B155</f>
        <v>Predominant Depth Class</v>
      </c>
      <c r="C28" s="877"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28" s="437"/>
      <c r="E28" s="239"/>
      <c r="F28" s="259"/>
      <c r="G28" s="231">
        <f>IF((AllSat1&gt;0),"", IF((SmallAA=1),"", MAX(F29:F33)/MAX(E29:E33)))</f>
        <v>0</v>
      </c>
      <c r="H28" s="1989" t="s">
        <v>199</v>
      </c>
      <c r="I28" s="2040" t="s">
        <v>1346</v>
      </c>
    </row>
    <row r="29" spans="1:10" ht="15" customHeight="1" x14ac:dyDescent="0.2">
      <c r="A29" s="2075"/>
      <c r="B29" s="2053"/>
      <c r="C29" s="426" t="str">
        <f>F!C156</f>
        <v>&lt;10 cm deep (but &gt;0).</v>
      </c>
      <c r="D29" s="40">
        <f>F!D156</f>
        <v>0</v>
      </c>
      <c r="E29" s="241">
        <v>1</v>
      </c>
      <c r="F29" s="241">
        <f>D29*E29</f>
        <v>0</v>
      </c>
      <c r="G29" s="202"/>
      <c r="H29" s="1989"/>
      <c r="I29" s="2040"/>
    </row>
    <row r="30" spans="1:10" ht="15" customHeight="1" x14ac:dyDescent="0.2">
      <c r="A30" s="2075"/>
      <c r="B30" s="2053"/>
      <c r="C30" s="362" t="str">
        <f>F!C157</f>
        <v>10 - 50 cm deep.</v>
      </c>
      <c r="D30" s="40">
        <f>F!D157</f>
        <v>0</v>
      </c>
      <c r="E30" s="241">
        <v>2</v>
      </c>
      <c r="F30" s="241">
        <f>D30*E30</f>
        <v>0</v>
      </c>
      <c r="G30" s="257"/>
      <c r="H30" s="1989"/>
      <c r="I30" s="2040"/>
    </row>
    <row r="31" spans="1:10" ht="15" customHeight="1" x14ac:dyDescent="0.2">
      <c r="A31" s="2075"/>
      <c r="B31" s="2053"/>
      <c r="C31" s="362" t="str">
        <f>F!C158</f>
        <v>0.5 - 1 m deep.</v>
      </c>
      <c r="D31" s="40">
        <f>F!D158</f>
        <v>0</v>
      </c>
      <c r="E31" s="241">
        <v>3</v>
      </c>
      <c r="F31" s="241">
        <f>D31*E31</f>
        <v>0</v>
      </c>
      <c r="G31" s="257"/>
      <c r="H31" s="1989"/>
      <c r="I31" s="2040"/>
    </row>
    <row r="32" spans="1:10" ht="15" customHeight="1" x14ac:dyDescent="0.2">
      <c r="A32" s="2075"/>
      <c r="B32" s="2053"/>
      <c r="C32" s="362" t="str">
        <f>F!C159</f>
        <v>1 - 2 m deep.</v>
      </c>
      <c r="D32" s="40">
        <f>F!D159</f>
        <v>0</v>
      </c>
      <c r="E32" s="241">
        <v>4</v>
      </c>
      <c r="F32" s="241">
        <f>D32*E32</f>
        <v>0</v>
      </c>
      <c r="G32" s="257"/>
      <c r="H32" s="1989"/>
      <c r="I32" s="2040"/>
    </row>
    <row r="33" spans="1:13" ht="15" customHeight="1" thickBot="1" x14ac:dyDescent="0.25">
      <c r="A33" s="2075"/>
      <c r="B33" s="2053"/>
      <c r="C33" s="361" t="str">
        <f>F!C160</f>
        <v>&gt;2 m deep.  True for many fringe wetlands.</v>
      </c>
      <c r="D33" s="370">
        <f>F!D160</f>
        <v>0</v>
      </c>
      <c r="E33" s="380">
        <v>5</v>
      </c>
      <c r="F33" s="380">
        <f>D33*E33</f>
        <v>0</v>
      </c>
      <c r="G33" s="433"/>
      <c r="H33" s="1989"/>
      <c r="I33" s="2040"/>
    </row>
    <row r="34" spans="1:13" s="6" customFormat="1" ht="45" customHeight="1" thickBot="1" x14ac:dyDescent="0.25">
      <c r="A34" s="1979" t="str">
        <f>F!A165</f>
        <v>F31</v>
      </c>
      <c r="B34" s="1984" t="str">
        <f>F!B165</f>
        <v xml:space="preserve">% of Water Ponded vs. Flowing </v>
      </c>
      <c r="C34" s="90" t="str">
        <f>F!C165</f>
        <v>The percentage of the AA's surface water that is ponded (stagnant, or flows so slowly that fine sediment is not held in suspension) during most of the time it is present during the growing season, and which is either open or shaded by emergent vegetation, is:</v>
      </c>
      <c r="D34" s="777"/>
      <c r="E34" s="376"/>
      <c r="F34" s="262"/>
      <c r="G34" s="225">
        <f>IF((AllSat1&gt;0),"", IF((SmallAA=1),"", MAX(F35:F40)/MAX(E35:E40)))</f>
        <v>0</v>
      </c>
      <c r="H34" s="1867" t="s">
        <v>790</v>
      </c>
      <c r="I34" s="2011" t="s">
        <v>1025</v>
      </c>
      <c r="J34" s="137"/>
    </row>
    <row r="35" spans="1:13" s="6" customFormat="1" ht="27" customHeight="1" x14ac:dyDescent="0.2">
      <c r="A35" s="2035"/>
      <c r="B35" s="1989"/>
      <c r="C35" s="888" t="str">
        <f>F!C166</f>
        <v>None, or &lt;0.01 hectare and &lt;1% of the AA. Nearly all water is flowing.  Enter "1" and SKIP to F43 (pH measurement).</v>
      </c>
      <c r="D35" s="733">
        <f>F!D166</f>
        <v>0</v>
      </c>
      <c r="E35" s="722">
        <v>0</v>
      </c>
      <c r="F35" s="722">
        <f t="shared" ref="F35:F40" si="0">D35*E35</f>
        <v>0</v>
      </c>
      <c r="G35" s="775"/>
      <c r="H35" s="1911"/>
      <c r="I35" s="2063"/>
      <c r="J35" s="137"/>
    </row>
    <row r="36" spans="1:13" s="6" customFormat="1" ht="15" customHeight="1" x14ac:dyDescent="0.2">
      <c r="A36" s="2035"/>
      <c r="B36" s="1989"/>
      <c r="C36" s="888" t="str">
        <f>F!C167</f>
        <v>1-5% of the water.  The rest is flowing.</v>
      </c>
      <c r="D36" s="733">
        <f>F!D167</f>
        <v>0</v>
      </c>
      <c r="E36" s="722">
        <v>2</v>
      </c>
      <c r="F36" s="722">
        <f t="shared" si="0"/>
        <v>0</v>
      </c>
      <c r="G36" s="775"/>
      <c r="H36" s="1911"/>
      <c r="I36" s="2063"/>
      <c r="J36" s="137"/>
    </row>
    <row r="37" spans="1:13" s="6" customFormat="1" ht="15" customHeight="1" x14ac:dyDescent="0.2">
      <c r="A37" s="2035"/>
      <c r="B37" s="1989"/>
      <c r="C37" s="888" t="str">
        <f>F!C168</f>
        <v>5-30% of the water.</v>
      </c>
      <c r="D37" s="733">
        <f>F!D168</f>
        <v>0</v>
      </c>
      <c r="E37" s="722">
        <v>3</v>
      </c>
      <c r="F37" s="722">
        <f t="shared" si="0"/>
        <v>0</v>
      </c>
      <c r="G37" s="775"/>
      <c r="H37" s="1911"/>
      <c r="I37" s="2063"/>
      <c r="J37" s="137"/>
    </row>
    <row r="38" spans="1:13" s="6" customFormat="1" ht="15" customHeight="1" x14ac:dyDescent="0.2">
      <c r="A38" s="2035"/>
      <c r="B38" s="1989"/>
      <c r="C38" s="888" t="str">
        <f>F!C169</f>
        <v>30-70% of the water.</v>
      </c>
      <c r="D38" s="733">
        <f>F!D169</f>
        <v>0</v>
      </c>
      <c r="E38" s="722">
        <v>4</v>
      </c>
      <c r="F38" s="722">
        <f t="shared" si="0"/>
        <v>0</v>
      </c>
      <c r="G38" s="775"/>
      <c r="H38" s="1911"/>
      <c r="I38" s="2063"/>
      <c r="J38" s="137"/>
    </row>
    <row r="39" spans="1:13" s="6" customFormat="1" ht="15" customHeight="1" x14ac:dyDescent="0.2">
      <c r="A39" s="2035"/>
      <c r="B39" s="1989"/>
      <c r="C39" s="888" t="str">
        <f>F!C170</f>
        <v>70-99% of the water.</v>
      </c>
      <c r="D39" s="733">
        <f>F!D170</f>
        <v>0</v>
      </c>
      <c r="E39" s="722">
        <v>5</v>
      </c>
      <c r="F39" s="722">
        <f t="shared" si="0"/>
        <v>0</v>
      </c>
      <c r="G39" s="721"/>
      <c r="H39" s="1911"/>
      <c r="I39" s="2063"/>
      <c r="J39" s="137"/>
    </row>
    <row r="40" spans="1:13" s="6" customFormat="1" ht="15" customHeight="1" thickBot="1" x14ac:dyDescent="0.25">
      <c r="A40" s="2037"/>
      <c r="B40" s="1990"/>
      <c r="C40" s="901" t="str">
        <f>F!C171</f>
        <v>&gt;99% of the water.  Little or no visibly flowing water within the AA.</v>
      </c>
      <c r="D40" s="94">
        <f>F!D171</f>
        <v>0</v>
      </c>
      <c r="E40" s="244">
        <v>6</v>
      </c>
      <c r="F40" s="244">
        <f t="shared" si="0"/>
        <v>0</v>
      </c>
      <c r="G40" s="258"/>
      <c r="H40" s="1978"/>
      <c r="I40" s="2042"/>
      <c r="J40" s="137"/>
    </row>
    <row r="41" spans="1:13" ht="39" thickBot="1" x14ac:dyDescent="0.25">
      <c r="A41" s="1979" t="str">
        <f>F!A173</f>
        <v>F33</v>
      </c>
      <c r="B41" s="1984" t="str">
        <f>F!B173</f>
        <v xml:space="preserve">% of Ponded Water That Is Open </v>
      </c>
      <c r="C41" s="450" t="str">
        <f>F!C173</f>
        <v>In ducks-eye aerial view, the percentage of the ponded water that is open (lacking emergent vegetation during most of the growing season, and unhidden by a forest or shrub canopy) is:</v>
      </c>
      <c r="D41" s="282"/>
      <c r="E41" s="376"/>
      <c r="F41" s="262"/>
      <c r="G41" s="225">
        <f>IF((AllSat1&gt;0),"", IF((NoPonded=1),"", IF((SmallAA=1), "", MAX(F42:F47)/MAX(E42:E47))))</f>
        <v>0</v>
      </c>
      <c r="H41" s="2000" t="s">
        <v>791</v>
      </c>
      <c r="I41" s="2011" t="s">
        <v>1145</v>
      </c>
      <c r="M41" s="6"/>
    </row>
    <row r="42" spans="1:13" ht="27" customHeight="1" x14ac:dyDescent="0.2">
      <c r="A42" s="1980"/>
      <c r="B42" s="1985"/>
      <c r="C42" s="1608" t="str">
        <f>F!C174</f>
        <v>None, or &lt;1% of the AA and largest pool occupies &lt;0.01 hectares.  Enter "1" and SKIP to F41 (Floating Algae &amp; Duckweed).</v>
      </c>
      <c r="D42" s="763">
        <f>F!D174</f>
        <v>0</v>
      </c>
      <c r="E42" s="722">
        <v>5</v>
      </c>
      <c r="F42" s="722">
        <f t="shared" ref="F42:F47" si="1">D42*E42</f>
        <v>0</v>
      </c>
      <c r="G42" s="202"/>
      <c r="H42" s="1989"/>
      <c r="I42" s="2040"/>
    </row>
    <row r="43" spans="1:13" ht="15" customHeight="1" x14ac:dyDescent="0.2">
      <c r="A43" s="1980"/>
      <c r="B43" s="1985"/>
      <c r="C43" s="1609" t="str">
        <f>F!C175</f>
        <v>1-5% of the ponded water.  Enter "1" and SKIP to F41.</v>
      </c>
      <c r="D43" s="763">
        <f>F!D175</f>
        <v>0</v>
      </c>
      <c r="E43" s="722">
        <v>4</v>
      </c>
      <c r="F43" s="722">
        <f t="shared" si="1"/>
        <v>0</v>
      </c>
      <c r="G43" s="775"/>
      <c r="H43" s="1989"/>
      <c r="I43" s="2040"/>
    </row>
    <row r="44" spans="1:13" ht="15" customHeight="1" x14ac:dyDescent="0.2">
      <c r="A44" s="1980"/>
      <c r="B44" s="1985"/>
      <c r="C44" s="1609" t="str">
        <f>F!C176</f>
        <v>5-30% of the ponded water.</v>
      </c>
      <c r="D44" s="763">
        <f>F!D176</f>
        <v>0</v>
      </c>
      <c r="E44" s="722">
        <v>3</v>
      </c>
      <c r="F44" s="722">
        <f t="shared" si="1"/>
        <v>0</v>
      </c>
      <c r="G44" s="775"/>
      <c r="H44" s="1989"/>
      <c r="I44" s="2040"/>
    </row>
    <row r="45" spans="1:13" ht="15" customHeight="1" x14ac:dyDescent="0.2">
      <c r="A45" s="1980"/>
      <c r="B45" s="1985"/>
      <c r="C45" s="1609" t="str">
        <f>F!C177</f>
        <v>30-70% of the ponded water.</v>
      </c>
      <c r="D45" s="763">
        <f>F!D177</f>
        <v>0</v>
      </c>
      <c r="E45" s="722">
        <v>2</v>
      </c>
      <c r="F45" s="722">
        <f t="shared" si="1"/>
        <v>0</v>
      </c>
      <c r="G45" s="775"/>
      <c r="H45" s="1989"/>
      <c r="I45" s="2040"/>
    </row>
    <row r="46" spans="1:13" ht="15" customHeight="1" x14ac:dyDescent="0.2">
      <c r="A46" s="1980"/>
      <c r="B46" s="1985"/>
      <c r="C46" s="1609" t="str">
        <f>F!C178</f>
        <v>70-99% of the ponded water.</v>
      </c>
      <c r="D46" s="763">
        <f>F!D178</f>
        <v>0</v>
      </c>
      <c r="E46" s="722">
        <v>1</v>
      </c>
      <c r="F46" s="722">
        <f t="shared" si="1"/>
        <v>0</v>
      </c>
      <c r="G46" s="775"/>
      <c r="H46" s="1989"/>
      <c r="I46" s="2040"/>
    </row>
    <row r="47" spans="1:13" ht="15" customHeight="1" thickBot="1" x14ac:dyDescent="0.25">
      <c r="A47" s="2021"/>
      <c r="B47" s="2005"/>
      <c r="C47" s="478" t="str">
        <f>F!C179</f>
        <v xml:space="preserve">100% of the ponded water. </v>
      </c>
      <c r="D47" s="191">
        <f>F!D179</f>
        <v>0</v>
      </c>
      <c r="E47" s="244">
        <v>0</v>
      </c>
      <c r="F47" s="244">
        <f t="shared" si="1"/>
        <v>0</v>
      </c>
      <c r="G47" s="258"/>
      <c r="H47" s="1990"/>
      <c r="I47" s="2041"/>
    </row>
    <row r="48" spans="1:13" ht="48" customHeight="1" thickBot="1" x14ac:dyDescent="0.25">
      <c r="A48" s="2046" t="str">
        <f>F!A180</f>
        <v>F34</v>
      </c>
      <c r="B48" s="2054" t="str">
        <f>F!B180</f>
        <v>Predominant Width of Vegetated Zone within Wetland</v>
      </c>
      <c r="C48" s="877" t="str">
        <f>F!C180</f>
        <v>At the time during the growing season when the AA's water level is lowest, the average width of vegetated area in the AA that separates adjoining uplands from open water within the AA is:</v>
      </c>
      <c r="D48" s="437"/>
      <c r="E48" s="239"/>
      <c r="F48" s="259"/>
      <c r="G48" s="219" t="str">
        <f>IF((AllSat1&gt;0),"",IF((OpenW=0),"", IF((SmallAA=1),"", MAX(F49:F53)/MAX(E49:E53))))</f>
        <v/>
      </c>
      <c r="H48" s="1989" t="s">
        <v>201</v>
      </c>
      <c r="I48" s="2040" t="s">
        <v>1024</v>
      </c>
    </row>
    <row r="49" spans="1:70" ht="21" customHeight="1" x14ac:dyDescent="0.2">
      <c r="A49" s="2047"/>
      <c r="B49" s="2055"/>
      <c r="C49" s="426" t="str">
        <f>F!C181</f>
        <v>&lt;1 m</v>
      </c>
      <c r="D49" s="91">
        <f>F!D181</f>
        <v>0</v>
      </c>
      <c r="E49" s="241">
        <v>0</v>
      </c>
      <c r="F49" s="241">
        <f>D49*E49</f>
        <v>0</v>
      </c>
      <c r="G49" s="202"/>
      <c r="H49" s="1989"/>
      <c r="I49" s="2040"/>
    </row>
    <row r="50" spans="1:70" ht="21" customHeight="1" x14ac:dyDescent="0.2">
      <c r="A50" s="2047"/>
      <c r="B50" s="2055"/>
      <c r="C50" s="362" t="str">
        <f>F!C182</f>
        <v>1 - 9 m</v>
      </c>
      <c r="D50" s="91">
        <f>F!D182</f>
        <v>0</v>
      </c>
      <c r="E50" s="241">
        <v>2</v>
      </c>
      <c r="F50" s="241">
        <f>D50*E50</f>
        <v>0</v>
      </c>
      <c r="G50" s="257"/>
      <c r="H50" s="1989"/>
      <c r="I50" s="2040"/>
    </row>
    <row r="51" spans="1:70" ht="21" customHeight="1" x14ac:dyDescent="0.2">
      <c r="A51" s="2047"/>
      <c r="B51" s="2055"/>
      <c r="C51" s="362" t="str">
        <f>F!C183</f>
        <v>10 - 29 m</v>
      </c>
      <c r="D51" s="91">
        <f>F!D183</f>
        <v>0</v>
      </c>
      <c r="E51" s="241">
        <v>3</v>
      </c>
      <c r="F51" s="241">
        <f>D51*E51</f>
        <v>0</v>
      </c>
      <c r="G51" s="257"/>
      <c r="H51" s="1989"/>
      <c r="I51" s="2040"/>
    </row>
    <row r="52" spans="1:70" ht="21" customHeight="1" x14ac:dyDescent="0.2">
      <c r="A52" s="2047"/>
      <c r="B52" s="2055"/>
      <c r="C52" s="362" t="str">
        <f>F!C184</f>
        <v>30 - 49 m</v>
      </c>
      <c r="D52" s="91">
        <f>F!D184</f>
        <v>0</v>
      </c>
      <c r="E52" s="241">
        <v>4</v>
      </c>
      <c r="F52" s="241">
        <f>D52*E52</f>
        <v>0</v>
      </c>
      <c r="G52" s="257"/>
      <c r="H52" s="1989"/>
      <c r="I52" s="2040"/>
    </row>
    <row r="53" spans="1:70" ht="26.25" customHeight="1" thickBot="1" x14ac:dyDescent="0.25">
      <c r="A53" s="2048"/>
      <c r="B53" s="2056"/>
      <c r="C53" s="361" t="str">
        <f>F!C186</f>
        <v>&gt; 100 m</v>
      </c>
      <c r="D53" s="370">
        <f>F!D186</f>
        <v>0</v>
      </c>
      <c r="E53" s="380">
        <v>5</v>
      </c>
      <c r="F53" s="380">
        <f>D53*E53</f>
        <v>0</v>
      </c>
      <c r="G53" s="433"/>
      <c r="H53" s="1989"/>
      <c r="I53" s="2040"/>
    </row>
    <row r="54" spans="1:70" ht="78.75" customHeight="1" thickBot="1" x14ac:dyDescent="0.25">
      <c r="A54" s="1992" t="str">
        <f>F!A187</f>
        <v>F35</v>
      </c>
      <c r="B54" s="1867" t="str">
        <f>F!B187</f>
        <v>Flat Shoreline Extent</v>
      </c>
      <c r="C54" s="90" t="str">
        <f>F!C187</f>
        <v>During most of the part of the growing season when water is present, the percentage of the AA's water edge length that is  nearly flat (a slope less than about 5% measured within 5 m landward) is:</v>
      </c>
      <c r="D54" s="372"/>
      <c r="E54" s="376"/>
      <c r="F54" s="376"/>
      <c r="G54" s="232" t="str">
        <f>IF((AllSat1&gt;0),"",IF((OpenW=0),"", IF((SmallAA=1),"", MAX(F55:F59)/MAX(E55:E59))))</f>
        <v/>
      </c>
      <c r="H54" s="2000" t="s">
        <v>200</v>
      </c>
      <c r="I54" s="2011" t="s">
        <v>1023</v>
      </c>
    </row>
    <row r="55" spans="1:70" ht="15" customHeight="1" x14ac:dyDescent="0.2">
      <c r="A55" s="1991"/>
      <c r="B55" s="1911"/>
      <c r="C55" s="426" t="str">
        <f>F!C188</f>
        <v>&lt;1%</v>
      </c>
      <c r="D55" s="354">
        <f>F!D188</f>
        <v>0</v>
      </c>
      <c r="E55" s="377">
        <v>0</v>
      </c>
      <c r="F55" s="380">
        <f>D55*E55</f>
        <v>0</v>
      </c>
      <c r="G55" s="257"/>
      <c r="H55" s="1989"/>
      <c r="I55" s="2040"/>
    </row>
    <row r="56" spans="1:70" ht="15" customHeight="1" x14ac:dyDescent="0.2">
      <c r="A56" s="1991"/>
      <c r="B56" s="1911"/>
      <c r="C56" s="362" t="str">
        <f>F!C189</f>
        <v>1-25%</v>
      </c>
      <c r="D56" s="354">
        <f>F!D189</f>
        <v>0</v>
      </c>
      <c r="E56" s="377">
        <v>1</v>
      </c>
      <c r="F56" s="380">
        <f>D56*E56</f>
        <v>0</v>
      </c>
      <c r="G56" s="257"/>
      <c r="H56" s="1989"/>
      <c r="I56" s="2040"/>
    </row>
    <row r="57" spans="1:70" ht="15" customHeight="1" x14ac:dyDescent="0.2">
      <c r="A57" s="1991"/>
      <c r="B57" s="1911"/>
      <c r="C57" s="362" t="str">
        <f>F!C190</f>
        <v>25-50%</v>
      </c>
      <c r="D57" s="354">
        <f>F!D190</f>
        <v>0</v>
      </c>
      <c r="E57" s="377">
        <v>2</v>
      </c>
      <c r="F57" s="380">
        <f>D57*E57</f>
        <v>0</v>
      </c>
      <c r="G57" s="257"/>
      <c r="H57" s="1989"/>
      <c r="I57" s="2040"/>
    </row>
    <row r="58" spans="1:70" ht="15" customHeight="1" x14ac:dyDescent="0.2">
      <c r="A58" s="1991"/>
      <c r="B58" s="1911"/>
      <c r="C58" s="362" t="str">
        <f>F!C191</f>
        <v>50-75%</v>
      </c>
      <c r="D58" s="354">
        <f>F!D191</f>
        <v>0</v>
      </c>
      <c r="E58" s="377">
        <v>3</v>
      </c>
      <c r="F58" s="380">
        <f>D58*E58</f>
        <v>0</v>
      </c>
      <c r="G58" s="257"/>
      <c r="H58" s="1989"/>
      <c r="I58" s="2040"/>
    </row>
    <row r="59" spans="1:70" ht="15" customHeight="1" thickBot="1" x14ac:dyDescent="0.25">
      <c r="A59" s="1993"/>
      <c r="B59" s="1978"/>
      <c r="C59" s="82" t="str">
        <f>F!C192</f>
        <v>&gt;75%</v>
      </c>
      <c r="D59" s="94">
        <f>F!D192</f>
        <v>0</v>
      </c>
      <c r="E59" s="244">
        <v>4</v>
      </c>
      <c r="F59" s="244">
        <f>D59*E59</f>
        <v>0</v>
      </c>
      <c r="G59" s="258"/>
      <c r="H59" s="1990"/>
      <c r="I59" s="2041"/>
    </row>
    <row r="60" spans="1:70" ht="30" customHeight="1" thickBot="1" x14ac:dyDescent="0.25">
      <c r="A60" s="2070" t="str">
        <f>F!A199</f>
        <v>F37</v>
      </c>
      <c r="B60" s="2064" t="str">
        <f>F!B199</f>
        <v>Interspersion of Robust Emergents &amp; Open Water</v>
      </c>
      <c r="C60" s="450" t="str">
        <f>F!C199</f>
        <v>During most of the part of the growing season when water is present, the spatial pattern of robust herbaceous vegetation (e.g., cattail, tall bulrush, buckbean) is mostly:</v>
      </c>
      <c r="D60" s="777"/>
      <c r="E60" s="376"/>
      <c r="F60" s="262"/>
      <c r="G60" s="232">
        <f>IF((AllSat1&gt;0),"",IF((NoPonded=1),"",IF((NoOpenPonded+NoOpenPonded1&gt;0),"",IF((AllOpenPond=1),"", IF((SmallAA=1),"", MAX(F61:F63)/MAX(E61:E63))))))</f>
        <v>0</v>
      </c>
      <c r="H60" s="2000" t="s">
        <v>473</v>
      </c>
      <c r="I60" s="2011" t="s">
        <v>1146</v>
      </c>
    </row>
    <row r="61" spans="1:70" ht="27" customHeight="1" x14ac:dyDescent="0.2">
      <c r="A61" s="2071"/>
      <c r="B61" s="2065"/>
      <c r="C61" s="1608" t="str">
        <f>F!C200</f>
        <v>Scattered.  More than 30% of such vegetation forms small islands or corridors surrounded by water.</v>
      </c>
      <c r="D61" s="1610">
        <f>F!D200</f>
        <v>0</v>
      </c>
      <c r="E61" s="722">
        <v>2</v>
      </c>
      <c r="F61" s="722">
        <f>D61*E61</f>
        <v>0</v>
      </c>
      <c r="G61" s="775"/>
      <c r="H61" s="1989"/>
      <c r="I61" s="2040"/>
    </row>
    <row r="62" spans="1:70" ht="15" customHeight="1" x14ac:dyDescent="0.2">
      <c r="A62" s="2071"/>
      <c r="B62" s="2065"/>
      <c r="C62" s="1608" t="str">
        <f>F!C201</f>
        <v>Intermediate.</v>
      </c>
      <c r="D62" s="1610">
        <f>F!D201</f>
        <v>0</v>
      </c>
      <c r="E62" s="722">
        <v>1</v>
      </c>
      <c r="F62" s="722">
        <f>D62*E62</f>
        <v>0</v>
      </c>
      <c r="G62" s="775"/>
      <c r="H62" s="1989"/>
      <c r="I62" s="2040"/>
    </row>
    <row r="63" spans="1:70" ht="31.5" customHeight="1" thickBot="1" x14ac:dyDescent="0.25">
      <c r="A63" s="2072"/>
      <c r="B63" s="2066"/>
      <c r="C63" s="1611" t="str">
        <f>F!C202</f>
        <v>Clumped. More than 70% of such vegetation is in bands along the wetland perimeter or is clumped at one or a few sides of the surface water area.</v>
      </c>
      <c r="D63" s="1612">
        <f>F!D202</f>
        <v>0</v>
      </c>
      <c r="E63" s="244">
        <v>0</v>
      </c>
      <c r="F63" s="244">
        <f>D63*E63</f>
        <v>0</v>
      </c>
      <c r="G63" s="258"/>
      <c r="H63" s="1990"/>
      <c r="I63" s="2041"/>
    </row>
    <row r="64" spans="1:70" s="214" customFormat="1" ht="42" customHeight="1" thickBot="1" x14ac:dyDescent="0.25">
      <c r="A64" s="2049" t="str">
        <f>F!A227</f>
        <v>F47</v>
      </c>
      <c r="B64" s="2060" t="str">
        <f>F!B227</f>
        <v>Through Flow Pattern</v>
      </c>
      <c r="C64" s="1416" t="str">
        <f>F!C227</f>
        <v>During its travel through the AA at the time of peak annual flow, water arriving in channels: [select only the ONE encountered by most of the incoming water].</v>
      </c>
      <c r="D64" s="736"/>
      <c r="E64" s="239"/>
      <c r="F64" s="259"/>
      <c r="G64" s="761" t="str">
        <f>IF((AllSat1=1),"",IF((Inflows=0),"",(MAX(F65:F69)/MAX(E65:E69))))</f>
        <v/>
      </c>
      <c r="H64" s="1989" t="s">
        <v>204</v>
      </c>
      <c r="I64" s="2057" t="s">
        <v>1147</v>
      </c>
      <c r="J64" s="573"/>
      <c r="K64" s="940"/>
      <c r="L64" s="940"/>
      <c r="M64" s="940"/>
      <c r="N64" s="940"/>
      <c r="O64" s="940"/>
      <c r="P64" s="940"/>
      <c r="Q64" s="940"/>
      <c r="R64" s="940"/>
      <c r="S64" s="940"/>
      <c r="T64" s="940"/>
      <c r="U64" s="940"/>
      <c r="V64" s="940"/>
      <c r="W64" s="940"/>
      <c r="X64" s="940"/>
      <c r="Y64" s="940"/>
      <c r="Z64" s="940"/>
      <c r="AA64" s="940"/>
      <c r="AB64" s="940"/>
      <c r="AC64" s="940"/>
      <c r="AD64" s="940"/>
      <c r="AE64" s="940"/>
      <c r="AF64" s="940"/>
      <c r="AG64" s="940"/>
      <c r="AH64" s="940"/>
      <c r="AI64" s="940"/>
      <c r="AJ64" s="940"/>
      <c r="AK64" s="940"/>
      <c r="AL64" s="940"/>
      <c r="AM64" s="940"/>
      <c r="AN64" s="940"/>
      <c r="AO64" s="940"/>
      <c r="AP64" s="940"/>
      <c r="AQ64" s="940"/>
      <c r="AR64" s="940"/>
      <c r="AS64" s="940"/>
      <c r="AT64" s="940"/>
      <c r="AU64" s="940"/>
      <c r="AV64" s="940"/>
      <c r="AW64" s="940"/>
      <c r="AX64" s="940"/>
      <c r="AY64" s="940"/>
      <c r="AZ64" s="940"/>
      <c r="BA64" s="940"/>
      <c r="BB64" s="940"/>
      <c r="BC64" s="940"/>
      <c r="BD64" s="940"/>
      <c r="BE64" s="940"/>
      <c r="BF64" s="940"/>
      <c r="BG64" s="940"/>
      <c r="BH64" s="940"/>
      <c r="BI64" s="940"/>
      <c r="BJ64" s="940"/>
      <c r="BK64" s="940"/>
      <c r="BL64" s="940"/>
      <c r="BM64" s="940"/>
      <c r="BN64" s="940"/>
      <c r="BO64" s="940"/>
      <c r="BP64" s="940"/>
      <c r="BQ64" s="940"/>
      <c r="BR64" s="940"/>
    </row>
    <row r="65" spans="1:70" s="214" customFormat="1" ht="52.5" customHeight="1" x14ac:dyDescent="0.2">
      <c r="A65" s="2050"/>
      <c r="B65" s="2061"/>
      <c r="C65" s="1410" t="str">
        <f>F!C228</f>
        <v>Does not bump into plant stems as it travels through the AA.  Nearly all the water continues to travel in unvegetated (often incised) channels that have minimal contact with wetland vegetation, or through a zone of open water such as an instream pond or lake.</v>
      </c>
      <c r="D65" s="737">
        <f>F!D228</f>
        <v>0</v>
      </c>
      <c r="E65" s="241">
        <v>0</v>
      </c>
      <c r="F65" s="241">
        <f>D65*E65</f>
        <v>0</v>
      </c>
      <c r="G65" s="202"/>
      <c r="H65" s="1989"/>
      <c r="I65" s="2058"/>
      <c r="J65" s="573"/>
      <c r="K65" s="940"/>
      <c r="L65" s="940"/>
      <c r="M65" s="940"/>
      <c r="N65" s="940"/>
      <c r="O65" s="940"/>
      <c r="P65" s="940"/>
      <c r="Q65" s="940"/>
      <c r="R65" s="940"/>
      <c r="S65" s="940"/>
      <c r="T65" s="940"/>
      <c r="U65" s="940"/>
      <c r="V65" s="940"/>
      <c r="W65" s="940"/>
      <c r="X65" s="940"/>
      <c r="Y65" s="940"/>
      <c r="Z65" s="940"/>
      <c r="AA65" s="940"/>
      <c r="AB65" s="940"/>
      <c r="AC65" s="940"/>
      <c r="AD65" s="940"/>
      <c r="AE65" s="940"/>
      <c r="AF65" s="940"/>
      <c r="AG65" s="940"/>
      <c r="AH65" s="940"/>
      <c r="AI65" s="940"/>
      <c r="AJ65" s="940"/>
      <c r="AK65" s="940"/>
      <c r="AL65" s="940"/>
      <c r="AM65" s="940"/>
      <c r="AN65" s="940"/>
      <c r="AO65" s="940"/>
      <c r="AP65" s="940"/>
      <c r="AQ65" s="940"/>
      <c r="AR65" s="940"/>
      <c r="AS65" s="940"/>
      <c r="AT65" s="940"/>
      <c r="AU65" s="940"/>
      <c r="AV65" s="940"/>
      <c r="AW65" s="940"/>
      <c r="AX65" s="940"/>
      <c r="AY65" s="940"/>
      <c r="AZ65" s="940"/>
      <c r="BA65" s="940"/>
      <c r="BB65" s="940"/>
      <c r="BC65" s="940"/>
      <c r="BD65" s="940"/>
      <c r="BE65" s="940"/>
      <c r="BF65" s="940"/>
      <c r="BG65" s="940"/>
      <c r="BH65" s="940"/>
      <c r="BI65" s="940"/>
      <c r="BJ65" s="940"/>
      <c r="BK65" s="940"/>
      <c r="BL65" s="940"/>
      <c r="BM65" s="940"/>
      <c r="BN65" s="940"/>
      <c r="BO65" s="940"/>
      <c r="BP65" s="940"/>
      <c r="BQ65" s="940"/>
      <c r="BR65" s="940"/>
    </row>
    <row r="66" spans="1:70" s="214" customFormat="1" ht="15" customHeight="1" x14ac:dyDescent="0.2">
      <c r="A66" s="2050"/>
      <c r="B66" s="2061"/>
      <c r="C66" s="1613" t="str">
        <f>F!C229</f>
        <v>bumps into herbaceous vegetation but mostly remains in fairly straight channels.</v>
      </c>
      <c r="D66" s="737">
        <f>F!D229</f>
        <v>0</v>
      </c>
      <c r="E66" s="241">
        <v>3</v>
      </c>
      <c r="F66" s="241">
        <f>D66*E66</f>
        <v>0</v>
      </c>
      <c r="G66" s="257"/>
      <c r="H66" s="1989"/>
      <c r="I66" s="2058"/>
      <c r="J66" s="573"/>
      <c r="K66" s="940"/>
      <c r="L66" s="940"/>
      <c r="M66" s="940"/>
      <c r="N66" s="940"/>
      <c r="O66" s="940"/>
      <c r="P66" s="940"/>
      <c r="Q66" s="940"/>
      <c r="R66" s="940"/>
      <c r="S66" s="940"/>
      <c r="T66" s="940"/>
      <c r="U66" s="940"/>
      <c r="V66" s="940"/>
      <c r="W66" s="940"/>
      <c r="X66" s="940"/>
      <c r="Y66" s="940"/>
      <c r="Z66" s="940"/>
      <c r="AA66" s="940"/>
      <c r="AB66" s="940"/>
      <c r="AC66" s="940"/>
      <c r="AD66" s="940"/>
      <c r="AE66" s="940"/>
      <c r="AF66" s="940"/>
      <c r="AG66" s="940"/>
      <c r="AH66" s="940"/>
      <c r="AI66" s="940"/>
      <c r="AJ66" s="940"/>
      <c r="AK66" s="940"/>
      <c r="AL66" s="940"/>
      <c r="AM66" s="940"/>
      <c r="AN66" s="940"/>
      <c r="AO66" s="940"/>
      <c r="AP66" s="940"/>
      <c r="AQ66" s="940"/>
      <c r="AR66" s="940"/>
      <c r="AS66" s="940"/>
      <c r="AT66" s="940"/>
      <c r="AU66" s="940"/>
      <c r="AV66" s="940"/>
      <c r="AW66" s="940"/>
      <c r="AX66" s="940"/>
      <c r="AY66" s="940"/>
      <c r="AZ66" s="940"/>
      <c r="BA66" s="940"/>
      <c r="BB66" s="940"/>
      <c r="BC66" s="940"/>
      <c r="BD66" s="940"/>
      <c r="BE66" s="940"/>
      <c r="BF66" s="940"/>
      <c r="BG66" s="940"/>
      <c r="BH66" s="940"/>
      <c r="BI66" s="940"/>
      <c r="BJ66" s="940"/>
      <c r="BK66" s="940"/>
      <c r="BL66" s="940"/>
      <c r="BM66" s="940"/>
      <c r="BN66" s="940"/>
      <c r="BO66" s="940"/>
      <c r="BP66" s="940"/>
      <c r="BQ66" s="940"/>
      <c r="BR66" s="940"/>
    </row>
    <row r="67" spans="1:70" s="214" customFormat="1" ht="27" customHeight="1" x14ac:dyDescent="0.2">
      <c r="A67" s="2050"/>
      <c r="B67" s="2061"/>
      <c r="C67" s="1614" t="str">
        <f>F!C230</f>
        <v>bumps into herbaceous vegetation and mostly spreads throughout, or is in widely  meandering, multi-branched, or braided channels.</v>
      </c>
      <c r="D67" s="468">
        <f>F!D230</f>
        <v>0</v>
      </c>
      <c r="E67" s="241">
        <v>6</v>
      </c>
      <c r="F67" s="241">
        <f>D67*E67</f>
        <v>0</v>
      </c>
      <c r="G67" s="257"/>
      <c r="H67" s="1989"/>
      <c r="I67" s="2058"/>
      <c r="J67" s="573"/>
      <c r="K67" s="940"/>
      <c r="L67" s="940"/>
      <c r="M67" s="940"/>
      <c r="N67" s="940"/>
      <c r="O67" s="940"/>
      <c r="P67" s="940"/>
      <c r="Q67" s="940"/>
      <c r="R67" s="940"/>
      <c r="S67" s="940"/>
      <c r="T67" s="940"/>
      <c r="U67" s="940"/>
      <c r="V67" s="940"/>
      <c r="W67" s="940"/>
      <c r="X67" s="940"/>
      <c r="Y67" s="940"/>
      <c r="Z67" s="940"/>
      <c r="AA67" s="940"/>
      <c r="AB67" s="940"/>
      <c r="AC67" s="940"/>
      <c r="AD67" s="940"/>
      <c r="AE67" s="940"/>
      <c r="AF67" s="940"/>
      <c r="AG67" s="940"/>
      <c r="AH67" s="940"/>
      <c r="AI67" s="940"/>
      <c r="AJ67" s="940"/>
      <c r="AK67" s="940"/>
      <c r="AL67" s="940"/>
      <c r="AM67" s="940"/>
      <c r="AN67" s="940"/>
      <c r="AO67" s="940"/>
      <c r="AP67" s="940"/>
      <c r="AQ67" s="940"/>
      <c r="AR67" s="940"/>
      <c r="AS67" s="940"/>
      <c r="AT67" s="940"/>
      <c r="AU67" s="940"/>
      <c r="AV67" s="940"/>
      <c r="AW67" s="940"/>
      <c r="AX67" s="940"/>
      <c r="AY67" s="940"/>
      <c r="AZ67" s="940"/>
      <c r="BA67" s="940"/>
      <c r="BB67" s="940"/>
      <c r="BC67" s="940"/>
      <c r="BD67" s="940"/>
      <c r="BE67" s="940"/>
      <c r="BF67" s="940"/>
      <c r="BG67" s="940"/>
      <c r="BH67" s="940"/>
      <c r="BI67" s="940"/>
      <c r="BJ67" s="940"/>
      <c r="BK67" s="940"/>
      <c r="BL67" s="940"/>
      <c r="BM67" s="940"/>
      <c r="BN67" s="940"/>
      <c r="BO67" s="940"/>
      <c r="BP67" s="940"/>
      <c r="BQ67" s="940"/>
      <c r="BR67" s="940"/>
    </row>
    <row r="68" spans="1:70" s="214" customFormat="1" ht="19.5" customHeight="1" x14ac:dyDescent="0.2">
      <c r="A68" s="2050"/>
      <c r="B68" s="2061"/>
      <c r="C68" s="1613" t="str">
        <f>F!C231</f>
        <v>bumps into tree trunks and/or shrub stems but mostly remains in fairly straight channels.</v>
      </c>
      <c r="D68" s="737">
        <f>F!D231</f>
        <v>0</v>
      </c>
      <c r="E68" s="241">
        <v>4</v>
      </c>
      <c r="F68" s="241">
        <f>D68*E68</f>
        <v>0</v>
      </c>
      <c r="G68" s="257"/>
      <c r="H68" s="1989"/>
      <c r="I68" s="2058"/>
      <c r="J68" s="573"/>
      <c r="K68" s="940"/>
      <c r="L68" s="940"/>
      <c r="M68" s="940"/>
      <c r="N68" s="940"/>
      <c r="O68" s="940"/>
      <c r="P68" s="940"/>
      <c r="Q68" s="940"/>
      <c r="R68" s="940"/>
      <c r="S68" s="940"/>
      <c r="T68" s="940"/>
      <c r="U68" s="940"/>
      <c r="V68" s="940"/>
      <c r="W68" s="940"/>
      <c r="X68" s="940"/>
      <c r="Y68" s="940"/>
      <c r="Z68" s="940"/>
      <c r="AA68" s="940"/>
      <c r="AB68" s="940"/>
      <c r="AC68" s="940"/>
      <c r="AD68" s="940"/>
      <c r="AE68" s="940"/>
      <c r="AF68" s="940"/>
      <c r="AG68" s="940"/>
      <c r="AH68" s="940"/>
      <c r="AI68" s="940"/>
      <c r="AJ68" s="940"/>
      <c r="AK68" s="940"/>
      <c r="AL68" s="940"/>
      <c r="AM68" s="940"/>
      <c r="AN68" s="940"/>
      <c r="AO68" s="940"/>
      <c r="AP68" s="940"/>
      <c r="AQ68" s="940"/>
      <c r="AR68" s="940"/>
      <c r="AS68" s="940"/>
      <c r="AT68" s="940"/>
      <c r="AU68" s="940"/>
      <c r="AV68" s="940"/>
      <c r="AW68" s="940"/>
      <c r="AX68" s="940"/>
      <c r="AY68" s="940"/>
      <c r="AZ68" s="940"/>
      <c r="BA68" s="940"/>
      <c r="BB68" s="940"/>
      <c r="BC68" s="940"/>
      <c r="BD68" s="940"/>
      <c r="BE68" s="940"/>
      <c r="BF68" s="940"/>
      <c r="BG68" s="940"/>
      <c r="BH68" s="940"/>
      <c r="BI68" s="940"/>
      <c r="BJ68" s="940"/>
      <c r="BK68" s="940"/>
      <c r="BL68" s="940"/>
      <c r="BM68" s="940"/>
      <c r="BN68" s="940"/>
      <c r="BO68" s="940"/>
      <c r="BP68" s="940"/>
      <c r="BQ68" s="940"/>
      <c r="BR68" s="940"/>
    </row>
    <row r="69" spans="1:70" s="214" customFormat="1" ht="30" customHeight="1" thickBot="1" x14ac:dyDescent="0.25">
      <c r="A69" s="2051"/>
      <c r="B69" s="2062"/>
      <c r="C69" s="1429" t="str">
        <f>F!C232</f>
        <v>bumps into tree trunks and/or shrub stems and follows a fairly indirect path from entrance to exit (meandering, multi-branched, or braided).</v>
      </c>
      <c r="D69" s="94">
        <f>F!D232</f>
        <v>0</v>
      </c>
      <c r="E69" s="380">
        <v>8</v>
      </c>
      <c r="F69" s="380">
        <f>D69*E69</f>
        <v>0</v>
      </c>
      <c r="G69" s="433"/>
      <c r="H69" s="1989"/>
      <c r="I69" s="2059"/>
      <c r="J69" s="573"/>
      <c r="K69" s="940"/>
      <c r="L69" s="940"/>
      <c r="M69" s="940"/>
      <c r="N69" s="940"/>
      <c r="O69" s="940"/>
      <c r="P69" s="940"/>
      <c r="Q69" s="940"/>
      <c r="R69" s="940"/>
      <c r="S69" s="940"/>
      <c r="T69" s="940"/>
      <c r="U69" s="940"/>
      <c r="V69" s="940"/>
      <c r="W69" s="940"/>
      <c r="X69" s="940"/>
      <c r="Y69" s="940"/>
      <c r="Z69" s="940"/>
      <c r="AA69" s="940"/>
      <c r="AB69" s="940"/>
      <c r="AC69" s="940"/>
      <c r="AD69" s="940"/>
      <c r="AE69" s="940"/>
      <c r="AF69" s="940"/>
      <c r="AG69" s="940"/>
      <c r="AH69" s="940"/>
      <c r="AI69" s="940"/>
      <c r="AJ69" s="940"/>
      <c r="AK69" s="940"/>
      <c r="AL69" s="940"/>
      <c r="AM69" s="940"/>
      <c r="AN69" s="940"/>
      <c r="AO69" s="940"/>
      <c r="AP69" s="940"/>
      <c r="AQ69" s="940"/>
      <c r="AR69" s="940"/>
      <c r="AS69" s="940"/>
      <c r="AT69" s="940"/>
      <c r="AU69" s="940"/>
      <c r="AV69" s="940"/>
      <c r="AW69" s="940"/>
      <c r="AX69" s="940"/>
      <c r="AY69" s="940"/>
      <c r="AZ69" s="940"/>
      <c r="BA69" s="940"/>
      <c r="BB69" s="940"/>
      <c r="BC69" s="940"/>
      <c r="BD69" s="940"/>
      <c r="BE69" s="940"/>
      <c r="BF69" s="940"/>
      <c r="BG69" s="940"/>
      <c r="BH69" s="940"/>
      <c r="BI69" s="940"/>
      <c r="BJ69" s="940"/>
      <c r="BK69" s="940"/>
      <c r="BL69" s="940"/>
      <c r="BM69" s="940"/>
      <c r="BN69" s="940"/>
      <c r="BO69" s="940"/>
      <c r="BP69" s="940"/>
      <c r="BQ69" s="940"/>
      <c r="BR69" s="940"/>
    </row>
    <row r="70" spans="1:70" s="214" customFormat="1" ht="79.5" customHeight="1" thickBot="1" x14ac:dyDescent="0.25">
      <c r="A70" s="1992" t="str">
        <f>F!A233</f>
        <v>F48</v>
      </c>
      <c r="B70" s="2073" t="str">
        <f>F!B233</f>
        <v>Channel Connection &amp; Outflow Duration</v>
      </c>
      <c r="C70" s="90"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70" s="372"/>
      <c r="E70" s="376"/>
      <c r="F70" s="262"/>
      <c r="G70" s="273">
        <f>IF((AllSat1&gt;0),"", MAX(F71:F75)/MAX(E71:E75))</f>
        <v>0</v>
      </c>
      <c r="H70" s="2000" t="s">
        <v>202</v>
      </c>
      <c r="I70" s="2011" t="s">
        <v>1026</v>
      </c>
      <c r="J70" s="573"/>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940"/>
      <c r="AJ70" s="940"/>
      <c r="AK70" s="940"/>
      <c r="AL70" s="940"/>
      <c r="AM70" s="940"/>
      <c r="AN70" s="940"/>
      <c r="AO70" s="940"/>
      <c r="AP70" s="940"/>
      <c r="AQ70" s="940"/>
      <c r="AR70" s="940"/>
      <c r="AS70" s="940"/>
      <c r="AT70" s="940"/>
      <c r="AU70" s="940"/>
      <c r="AV70" s="940"/>
      <c r="AW70" s="940"/>
      <c r="AX70" s="940"/>
      <c r="AY70" s="940"/>
      <c r="AZ70" s="940"/>
      <c r="BA70" s="940"/>
      <c r="BB70" s="940"/>
      <c r="BC70" s="940"/>
      <c r="BD70" s="940"/>
      <c r="BE70" s="940"/>
      <c r="BF70" s="940"/>
      <c r="BG70" s="940"/>
      <c r="BH70" s="940"/>
      <c r="BI70" s="940"/>
      <c r="BJ70" s="940"/>
      <c r="BK70" s="940"/>
      <c r="BL70" s="940"/>
      <c r="BM70" s="940"/>
      <c r="BN70" s="940"/>
      <c r="BO70" s="940"/>
      <c r="BP70" s="940"/>
      <c r="BQ70" s="940"/>
      <c r="BR70" s="940"/>
    </row>
    <row r="71" spans="1:70" ht="15" customHeight="1" x14ac:dyDescent="0.2">
      <c r="A71" s="1991"/>
      <c r="B71" s="2053"/>
      <c r="C71" s="426" t="str">
        <f>F!C234</f>
        <v>persistent (&gt;9 months/year, including times when frozen).</v>
      </c>
      <c r="D71" s="443">
        <f>F!D234</f>
        <v>0</v>
      </c>
      <c r="E71" s="239">
        <v>1</v>
      </c>
      <c r="F71" s="239">
        <f>D71*E71</f>
        <v>0</v>
      </c>
      <c r="G71" s="202"/>
      <c r="H71" s="1989"/>
      <c r="I71" s="2040"/>
    </row>
    <row r="72" spans="1:70" ht="25.5" x14ac:dyDescent="0.2">
      <c r="A72" s="1991"/>
      <c r="B72" s="2053"/>
      <c r="C72" s="362" t="str">
        <f>F!C235</f>
        <v>seasonal (14 days to 9 months/year, not necessarily consecutive, including times when frozen).</v>
      </c>
      <c r="D72" s="359">
        <f>F!D235</f>
        <v>0</v>
      </c>
      <c r="E72" s="377">
        <v>2</v>
      </c>
      <c r="F72" s="377">
        <f>D72*E72</f>
        <v>0</v>
      </c>
      <c r="G72" s="257"/>
      <c r="H72" s="1989"/>
      <c r="I72" s="2040"/>
    </row>
    <row r="73" spans="1:70" ht="15" customHeight="1" x14ac:dyDescent="0.2">
      <c r="A73" s="1991"/>
      <c r="B73" s="2053"/>
      <c r="C73" s="362" t="str">
        <f>F!C236</f>
        <v>temporary (&lt;14 days, not necessarily consecutive, but must be unfrozen).</v>
      </c>
      <c r="D73" s="356">
        <f>F!D236</f>
        <v>0</v>
      </c>
      <c r="E73" s="377">
        <v>4</v>
      </c>
      <c r="F73" s="377">
        <f>D73*E73</f>
        <v>0</v>
      </c>
      <c r="G73" s="257"/>
      <c r="H73" s="1989"/>
      <c r="I73" s="2040"/>
    </row>
    <row r="74" spans="1:70" ht="38.25" x14ac:dyDescent="0.2">
      <c r="A74" s="1991"/>
      <c r="B74" s="2053"/>
      <c r="C74" s="362" t="str">
        <f>F!C237</f>
        <v xml:space="preserve">none -- but maps show a stream or other water body that is downslope from the AA and within a distance that is less than the AA's length.  If so, mark "1" here and SKIP TO F50 (Groundwater). </v>
      </c>
      <c r="D74" s="354">
        <f>F!D237</f>
        <v>0</v>
      </c>
      <c r="E74" s="381">
        <v>8</v>
      </c>
      <c r="F74" s="377">
        <f>D74*E74</f>
        <v>0</v>
      </c>
      <c r="G74" s="433"/>
      <c r="H74" s="1989"/>
      <c r="I74" s="2040"/>
    </row>
    <row r="75" spans="1:70" ht="42" customHeight="1" thickBot="1" x14ac:dyDescent="0.25">
      <c r="A75" s="1993"/>
      <c r="B75" s="2074"/>
      <c r="C75" s="1615" t="str">
        <f>F!C238</f>
        <v xml:space="preserve">no surface water flows out of the wetland except possibly during extreme events (&lt;once per 10 years). Or, water flows only into a wetland, ditch, or lake that lacks an outlet.  If so, mark "1" here and SKIP TO F50 (Groundwater). </v>
      </c>
      <c r="D75" s="94">
        <f>F!D238</f>
        <v>0</v>
      </c>
      <c r="E75" s="272">
        <v>8</v>
      </c>
      <c r="F75" s="244">
        <f>D75*E75</f>
        <v>0</v>
      </c>
      <c r="G75" s="258"/>
      <c r="H75" s="1990"/>
      <c r="I75" s="2041"/>
    </row>
    <row r="76" spans="1:70" ht="30" customHeight="1" thickBot="1" x14ac:dyDescent="0.25">
      <c r="A76" s="2075" t="str">
        <f>F!A239</f>
        <v>F49</v>
      </c>
      <c r="B76" s="1911" t="str">
        <f>F!B239</f>
        <v>Outflow Confinement</v>
      </c>
      <c r="C76" s="877" t="str">
        <f>F!C239</f>
        <v>During major runoff events, in the places where surface water exits the AA or connected waters nearby, it:</v>
      </c>
      <c r="D76" s="437"/>
      <c r="E76" s="239"/>
      <c r="F76" s="259"/>
      <c r="G76" s="219">
        <f>IF((OutNone+OutNone1&gt;0),"",MAX(F77:F79)/MAX(E77:E79))</f>
        <v>0</v>
      </c>
      <c r="H76" s="1989" t="s">
        <v>203</v>
      </c>
      <c r="I76" s="2040" t="s">
        <v>1148</v>
      </c>
    </row>
    <row r="77" spans="1:70" ht="42" customHeight="1" x14ac:dyDescent="0.2">
      <c r="A77" s="2075"/>
      <c r="B77" s="1911"/>
      <c r="C77" s="426" t="str">
        <f>F!C240</f>
        <v>mostly passes through a pipe, culvert, narrowly breached dike, berm, beaver dam, or other partial obstruction (other than natural topography) that does not appear to drain the wetland artificially during most of the growing season.</v>
      </c>
      <c r="D77" s="180">
        <f>F!D240</f>
        <v>0</v>
      </c>
      <c r="E77" s="241">
        <v>2</v>
      </c>
      <c r="F77" s="241">
        <f>D77*E77</f>
        <v>0</v>
      </c>
      <c r="G77" s="202"/>
      <c r="H77" s="1989"/>
      <c r="I77" s="2040"/>
    </row>
    <row r="78" spans="1:70" ht="27" customHeight="1" x14ac:dyDescent="0.2">
      <c r="A78" s="2075"/>
      <c r="B78" s="1911"/>
      <c r="C78" s="362" t="str">
        <f>F!C241</f>
        <v>leaves through natural exits (channels or diffuse outflow), not mainly through artificial or temporary features.</v>
      </c>
      <c r="D78" s="40">
        <f>F!D241</f>
        <v>0</v>
      </c>
      <c r="E78" s="241">
        <v>1</v>
      </c>
      <c r="F78" s="241">
        <f>D78*E78</f>
        <v>0</v>
      </c>
      <c r="G78" s="267"/>
      <c r="H78" s="1989"/>
      <c r="I78" s="2040"/>
    </row>
    <row r="79" spans="1:70" ht="42" customHeight="1" thickBot="1" x14ac:dyDescent="0.25">
      <c r="A79" s="2075"/>
      <c r="B79" s="1911"/>
      <c r="C79" s="361" t="str">
        <f>F!C242</f>
        <v>is exported more quickly than usual due to ditches or pipes within the AA (or connected to its outlet or within 10 m of the AA's edge) which drain the wetland artificially, or water is pumped out of the AA.</v>
      </c>
      <c r="D79" s="356">
        <f>F!D242</f>
        <v>0</v>
      </c>
      <c r="E79" s="380">
        <v>0</v>
      </c>
      <c r="F79" s="380">
        <f>D79*E79</f>
        <v>0</v>
      </c>
      <c r="G79" s="433"/>
      <c r="H79" s="1989"/>
      <c r="I79" s="2040"/>
    </row>
    <row r="80" spans="1:70" ht="21" customHeight="1" thickBot="1" x14ac:dyDescent="0.25">
      <c r="A80" s="1992" t="str">
        <f>F!A247</f>
        <v>F51</v>
      </c>
      <c r="B80" s="1867" t="str">
        <f>F!B247</f>
        <v>Internal Gradient</v>
      </c>
      <c r="C80" s="90" t="str">
        <f>F!C247</f>
        <v>The gradient along most of the flow path within the AA is:</v>
      </c>
      <c r="D80" s="372"/>
      <c r="E80" s="376"/>
      <c r="F80" s="262"/>
      <c r="G80" s="225">
        <f>MAX(F81:F84)/MAX(E81:E84)</f>
        <v>0</v>
      </c>
      <c r="H80" s="2000" t="s">
        <v>207</v>
      </c>
      <c r="I80" s="2011" t="s">
        <v>1260</v>
      </c>
    </row>
    <row r="81" spans="1:10" ht="27" customHeight="1" x14ac:dyDescent="0.2">
      <c r="A81" s="1991"/>
      <c r="B81" s="1911"/>
      <c r="C81" s="426" t="str">
        <f>F!C248</f>
        <v>&lt;2%, or, no slope is ever apparent (i.e., flat). Or, the wetland is in a depression or pond with no inlet and no outlet.</v>
      </c>
      <c r="D81" s="180">
        <f>F!D248</f>
        <v>0</v>
      </c>
      <c r="E81" s="377">
        <v>4</v>
      </c>
      <c r="F81" s="377">
        <f>D81*E81</f>
        <v>0</v>
      </c>
      <c r="G81" s="202"/>
      <c r="H81" s="1989"/>
      <c r="I81" s="2040"/>
    </row>
    <row r="82" spans="1:10" ht="15" customHeight="1" x14ac:dyDescent="0.2">
      <c r="A82" s="1991"/>
      <c r="B82" s="1911"/>
      <c r="C82" s="362" t="str">
        <f>F!C249</f>
        <v>2-5%</v>
      </c>
      <c r="D82" s="354">
        <f>F!D249</f>
        <v>0</v>
      </c>
      <c r="E82" s="377">
        <v>2</v>
      </c>
      <c r="F82" s="377">
        <f>D82*E82</f>
        <v>0</v>
      </c>
      <c r="G82" s="257"/>
      <c r="H82" s="1989"/>
      <c r="I82" s="2040"/>
    </row>
    <row r="83" spans="1:10" ht="15" customHeight="1" x14ac:dyDescent="0.2">
      <c r="A83" s="1991"/>
      <c r="B83" s="1911"/>
      <c r="C83" s="362" t="str">
        <f>F!C250</f>
        <v>6-10%</v>
      </c>
      <c r="D83" s="354">
        <f>F!D250</f>
        <v>0</v>
      </c>
      <c r="E83" s="377">
        <v>1</v>
      </c>
      <c r="F83" s="377">
        <f>D83*E83</f>
        <v>0</v>
      </c>
      <c r="G83" s="257"/>
      <c r="H83" s="1989"/>
      <c r="I83" s="2040"/>
    </row>
    <row r="84" spans="1:10" ht="15" customHeight="1" thickBot="1" x14ac:dyDescent="0.25">
      <c r="A84" s="1993"/>
      <c r="B84" s="1978"/>
      <c r="C84" s="82" t="str">
        <f>F!C251</f>
        <v>&gt;10%</v>
      </c>
      <c r="D84" s="94">
        <f>F!D251</f>
        <v>0</v>
      </c>
      <c r="E84" s="244">
        <v>0</v>
      </c>
      <c r="F84" s="244">
        <f>D84*E84</f>
        <v>0</v>
      </c>
      <c r="G84" s="258"/>
      <c r="H84" s="1990"/>
      <c r="I84" s="2042"/>
    </row>
    <row r="85" spans="1:10" ht="21" customHeight="1" thickBot="1" x14ac:dyDescent="0.25">
      <c r="A85" s="2067" t="str">
        <f>F!A269</f>
        <v>F56</v>
      </c>
      <c r="B85" s="2067" t="str">
        <f>F!B269</f>
        <v>Burn History</v>
      </c>
      <c r="C85" s="1616" t="str">
        <f>F!C269</f>
        <v>More than 1% of the AA's previously vegetated area:</v>
      </c>
      <c r="D85" s="282"/>
      <c r="E85" s="256"/>
      <c r="F85" s="256"/>
      <c r="G85" s="1258">
        <f>MAX(F86:F89)/MAX(E86:E89)</f>
        <v>0</v>
      </c>
      <c r="H85" s="2011" t="s">
        <v>1716</v>
      </c>
      <c r="I85" s="1867" t="s">
        <v>1717</v>
      </c>
    </row>
    <row r="86" spans="1:10" ht="15" customHeight="1" x14ac:dyDescent="0.2">
      <c r="A86" s="2068"/>
      <c r="B86" s="2068"/>
      <c r="C86" s="725" t="str">
        <f>F!C270</f>
        <v>burned within past 5 years.</v>
      </c>
      <c r="D86" s="752">
        <f>F!D270</f>
        <v>0</v>
      </c>
      <c r="E86" s="722">
        <v>0</v>
      </c>
      <c r="F86" s="722">
        <f t="shared" ref="F86:F94" si="2">D86*E86</f>
        <v>0</v>
      </c>
      <c r="G86" s="723"/>
      <c r="H86" s="2040"/>
      <c r="I86" s="1911"/>
    </row>
    <row r="87" spans="1:10" ht="15" customHeight="1" x14ac:dyDescent="0.2">
      <c r="A87" s="2068"/>
      <c r="B87" s="2068"/>
      <c r="C87" s="724" t="str">
        <f>F!C271</f>
        <v>burned 6-10 years ago.</v>
      </c>
      <c r="D87" s="752">
        <f>F!D271</f>
        <v>0</v>
      </c>
      <c r="E87" s="722">
        <v>1</v>
      </c>
      <c r="F87" s="722">
        <f t="shared" si="2"/>
        <v>0</v>
      </c>
      <c r="G87" s="723"/>
      <c r="H87" s="2040"/>
      <c r="I87" s="1911"/>
    </row>
    <row r="88" spans="1:10" ht="15" customHeight="1" x14ac:dyDescent="0.2">
      <c r="A88" s="2068"/>
      <c r="B88" s="2068"/>
      <c r="C88" s="724" t="str">
        <f>F!C272</f>
        <v>burned 11-30 years ago.</v>
      </c>
      <c r="D88" s="752">
        <f>F!D272</f>
        <v>0</v>
      </c>
      <c r="E88" s="722">
        <v>2</v>
      </c>
      <c r="F88" s="722">
        <f t="shared" si="2"/>
        <v>0</v>
      </c>
      <c r="G88" s="723"/>
      <c r="H88" s="2040"/>
      <c r="I88" s="1911"/>
    </row>
    <row r="89" spans="1:10" ht="15" customHeight="1" thickBot="1" x14ac:dyDescent="0.25">
      <c r="A89" s="2069"/>
      <c r="B89" s="2069"/>
      <c r="C89" s="727" t="str">
        <f>F!C273</f>
        <v>burned &gt;30 years ago, or no evidence of a burn and no data.</v>
      </c>
      <c r="D89" s="1052">
        <f>F!D273</f>
        <v>0</v>
      </c>
      <c r="E89" s="244">
        <v>3</v>
      </c>
      <c r="F89" s="244">
        <f t="shared" si="2"/>
        <v>0</v>
      </c>
      <c r="G89" s="728"/>
      <c r="H89" s="2041"/>
      <c r="I89" s="1978"/>
    </row>
    <row r="90" spans="1:10" s="1246" customFormat="1" ht="90" thickBot="1" x14ac:dyDescent="0.25">
      <c r="A90" s="2089" t="str">
        <f>F!A331</f>
        <v>F69</v>
      </c>
      <c r="B90" s="2086" t="str">
        <f>F!B331</f>
        <v>Wetland as a % of Its Contributing Area (Catchment)</v>
      </c>
      <c r="C90" s="1289" t="str">
        <f>F!C331</f>
        <v>Estimate the approximate boundaries of the wetland's catchment (CA) from a topographic map.Then adjust those boundaries if necessary based on your field observations of the surrounding terrain, and/or by using procedures described in the ABWRET Manual.  Divide the area of the wetland (not just the AA) by the approximate area of its catchment , excluding the area of the wetland itself.  When doing the calculation, if ponded water adjoins the wetland, include that in the wetland's area.  The result is:</v>
      </c>
      <c r="D90" s="907"/>
      <c r="E90" s="440"/>
      <c r="F90" s="440"/>
      <c r="G90" s="1258">
        <f>MAX(F91:F94)/MAX(E91:E94)</f>
        <v>0</v>
      </c>
      <c r="H90" s="2092" t="s">
        <v>2255</v>
      </c>
      <c r="I90" s="2086" t="s">
        <v>2291</v>
      </c>
      <c r="J90" s="1245"/>
    </row>
    <row r="91" spans="1:10" s="1246" customFormat="1" ht="27" customHeight="1" x14ac:dyDescent="0.2">
      <c r="A91" s="2090"/>
      <c r="B91" s="2087"/>
      <c r="C91" s="1287" t="str">
        <f>F!C332</f>
        <v>&lt;1%, or catchment size unknown due to stormwater pipes that collect water from an indeterminate area.</v>
      </c>
      <c r="D91" s="1080">
        <f>F!D332</f>
        <v>0</v>
      </c>
      <c r="E91" s="779">
        <v>1</v>
      </c>
      <c r="F91" s="722">
        <f t="shared" si="2"/>
        <v>0</v>
      </c>
      <c r="G91" s="779"/>
      <c r="H91" s="2093"/>
      <c r="I91" s="2087"/>
      <c r="J91" s="1245"/>
    </row>
    <row r="92" spans="1:10" s="1246" customFormat="1" ht="15" customHeight="1" x14ac:dyDescent="0.2">
      <c r="A92" s="2090"/>
      <c r="B92" s="2087"/>
      <c r="C92" s="1288" t="str">
        <f>F!C333</f>
        <v>1-10%</v>
      </c>
      <c r="D92" s="1080">
        <f>F!D333</f>
        <v>0</v>
      </c>
      <c r="E92" s="779">
        <v>2</v>
      </c>
      <c r="F92" s="722">
        <f t="shared" si="2"/>
        <v>0</v>
      </c>
      <c r="G92" s="779"/>
      <c r="H92" s="2093"/>
      <c r="I92" s="2087"/>
      <c r="J92" s="1245"/>
    </row>
    <row r="93" spans="1:10" s="1246" customFormat="1" ht="15" customHeight="1" x14ac:dyDescent="0.2">
      <c r="A93" s="2090"/>
      <c r="B93" s="2087"/>
      <c r="C93" s="1288" t="str">
        <f>F!C334</f>
        <v>10-100%</v>
      </c>
      <c r="D93" s="1080">
        <f>F!D334</f>
        <v>0</v>
      </c>
      <c r="E93" s="779">
        <v>3</v>
      </c>
      <c r="F93" s="722">
        <f t="shared" si="2"/>
        <v>0</v>
      </c>
      <c r="G93" s="779"/>
      <c r="H93" s="2093"/>
      <c r="I93" s="2087"/>
      <c r="J93" s="1245"/>
    </row>
    <row r="94" spans="1:10" s="1246" customFormat="1" ht="27" customHeight="1" thickBot="1" x14ac:dyDescent="0.25">
      <c r="A94" s="2091"/>
      <c r="B94" s="2088"/>
      <c r="C94" s="1290" t="str">
        <f>F!C335</f>
        <v xml:space="preserve">&gt;100% (wetland is larger than its catchment (e.g., wetland is isolated by dikes with no input channels, is fed entirely by groundwater, or is a raised bog). </v>
      </c>
      <c r="D94" s="1083">
        <f>F!D335</f>
        <v>0</v>
      </c>
      <c r="E94" s="263">
        <v>4</v>
      </c>
      <c r="F94" s="244">
        <f t="shared" si="2"/>
        <v>0</v>
      </c>
      <c r="G94" s="263"/>
      <c r="H94" s="2094"/>
      <c r="I94" s="2088"/>
      <c r="J94" s="1245"/>
    </row>
    <row r="95" spans="1:10" ht="45" customHeight="1" thickBot="1" x14ac:dyDescent="0.25">
      <c r="A95" s="1376" t="str">
        <f>S!A71</f>
        <v>S5</v>
      </c>
      <c r="B95" s="1376" t="str">
        <f>S!B71</f>
        <v>Soil or Sediment Alteration Within the Assessment Area</v>
      </c>
      <c r="C95" s="901"/>
      <c r="D95" s="898">
        <f>S!F88</f>
        <v>0</v>
      </c>
      <c r="E95" s="276"/>
      <c r="F95" s="276"/>
      <c r="G95" s="229">
        <f>1-D95</f>
        <v>1</v>
      </c>
      <c r="H95" s="1380" t="s">
        <v>716</v>
      </c>
      <c r="I95" s="1391" t="s">
        <v>1027</v>
      </c>
    </row>
    <row r="96" spans="1:10" ht="21" customHeight="1" thickBot="1" x14ac:dyDescent="0.25">
      <c r="A96" s="394"/>
      <c r="B96" s="394"/>
      <c r="D96" s="609"/>
      <c r="E96" s="609"/>
      <c r="F96" s="609"/>
      <c r="G96" s="609"/>
      <c r="H96" s="394"/>
      <c r="I96" s="394"/>
    </row>
    <row r="97" spans="1:25" ht="21" customHeight="1" thickBot="1" x14ac:dyDescent="0.25">
      <c r="A97" s="6"/>
      <c r="B97" s="110"/>
      <c r="C97" s="391" t="s">
        <v>717</v>
      </c>
      <c r="D97" s="610"/>
      <c r="E97" s="610"/>
      <c r="F97" s="610"/>
      <c r="G97" s="610"/>
      <c r="H97" s="110"/>
      <c r="I97" s="110"/>
    </row>
    <row r="98" spans="1:25" ht="51.75" thickBot="1" x14ac:dyDescent="0.25">
      <c r="A98" s="6"/>
      <c r="B98" s="10"/>
      <c r="C98" s="1227" t="s">
        <v>2464</v>
      </c>
      <c r="D98" s="293"/>
      <c r="E98" s="293"/>
      <c r="F98" s="293"/>
      <c r="G98" s="1617">
        <f>(AVERAGE(WetVegArea, OpenPonded2, Interspers2) + AVERAGE(1-Sub0Days, SlopeBuffer, Gradient2) + AVERAGE(SeasPct2, Fluc2, DepthC2, WatEdgeSlope2, WidthAbs2, _Iso2, ThruFlo2, Constric2, Gcover2, Girreg2, Burn2, SoilAlt2) +WetPctCA2) / 4</f>
        <v>0.15277777777777779</v>
      </c>
      <c r="H98" s="110"/>
      <c r="I98" s="110"/>
      <c r="J98" s="140"/>
      <c r="K98" s="110"/>
      <c r="L98" s="110"/>
      <c r="M98" s="110"/>
      <c r="N98" s="110"/>
      <c r="O98" s="110"/>
      <c r="P98" s="110"/>
      <c r="Q98" s="110"/>
      <c r="R98" s="110"/>
      <c r="S98" s="110"/>
      <c r="T98" s="110"/>
      <c r="U98" s="110"/>
      <c r="V98" s="110"/>
      <c r="W98" s="110"/>
      <c r="X98" s="110"/>
      <c r="Y98" s="110"/>
    </row>
    <row r="99" spans="1:25" ht="21" customHeight="1" thickBot="1" x14ac:dyDescent="0.25">
      <c r="A99" s="1246"/>
      <c r="B99" s="1246"/>
      <c r="C99" s="5"/>
      <c r="D99" s="827"/>
      <c r="E99" s="827"/>
      <c r="F99" s="827"/>
      <c r="G99" s="827"/>
      <c r="H99" s="110"/>
      <c r="I99" s="110"/>
      <c r="J99" s="441"/>
      <c r="K99" s="110"/>
      <c r="L99" s="110"/>
      <c r="M99" s="110"/>
      <c r="N99" s="110"/>
      <c r="O99" s="110"/>
      <c r="P99" s="110"/>
      <c r="Q99" s="110"/>
      <c r="R99" s="110"/>
      <c r="S99" s="110"/>
      <c r="T99" s="110"/>
      <c r="U99" s="110"/>
      <c r="V99" s="110"/>
      <c r="W99" s="110"/>
      <c r="X99" s="110"/>
      <c r="Y99" s="110"/>
    </row>
    <row r="100" spans="1:25" ht="21" customHeight="1" thickBot="1" x14ac:dyDescent="0.25">
      <c r="A100" s="1246"/>
      <c r="B100" s="1246"/>
      <c r="C100" s="391" t="s">
        <v>715</v>
      </c>
      <c r="D100" s="1027"/>
      <c r="E100" s="1027"/>
      <c r="F100" s="1027"/>
      <c r="G100" s="1027"/>
      <c r="H100" s="110"/>
      <c r="I100" s="110"/>
      <c r="J100" s="441"/>
      <c r="K100" s="110"/>
      <c r="L100" s="110"/>
      <c r="M100" s="110"/>
      <c r="N100" s="110"/>
      <c r="O100" s="110"/>
      <c r="P100" s="110"/>
      <c r="Q100" s="110"/>
      <c r="R100" s="110"/>
      <c r="S100" s="110"/>
      <c r="T100" s="110"/>
      <c r="U100" s="110"/>
      <c r="V100" s="110"/>
      <c r="W100" s="110"/>
      <c r="X100" s="110"/>
      <c r="Y100" s="110"/>
    </row>
    <row r="101" spans="1:25" ht="21" customHeight="1" thickBot="1" x14ac:dyDescent="0.25">
      <c r="A101" s="1246"/>
      <c r="B101" s="1246"/>
      <c r="C101" s="83" t="s">
        <v>202</v>
      </c>
      <c r="D101" s="507"/>
      <c r="E101" s="507"/>
      <c r="F101" s="507"/>
      <c r="G101" s="1617">
        <f>OutDur2</f>
        <v>0</v>
      </c>
      <c r="H101" s="110"/>
      <c r="I101" s="110"/>
      <c r="J101" s="441"/>
      <c r="K101" s="110"/>
      <c r="L101" s="110"/>
      <c r="M101" s="110"/>
      <c r="N101" s="110"/>
      <c r="O101" s="110"/>
      <c r="P101" s="110"/>
      <c r="Q101" s="110"/>
      <c r="R101" s="110"/>
      <c r="S101" s="110"/>
      <c r="T101" s="110"/>
      <c r="U101" s="110"/>
      <c r="V101" s="110"/>
      <c r="W101" s="110"/>
      <c r="X101" s="110"/>
      <c r="Y101" s="110"/>
    </row>
    <row r="102" spans="1:25" ht="21" customHeight="1" thickBot="1" x14ac:dyDescent="0.25">
      <c r="A102" s="1246"/>
      <c r="B102" s="1246"/>
      <c r="C102" s="5"/>
      <c r="D102" s="827"/>
      <c r="E102" s="827"/>
      <c r="F102" s="827"/>
      <c r="G102" s="827"/>
      <c r="H102" s="110"/>
      <c r="I102" s="110"/>
      <c r="J102" s="441"/>
      <c r="K102" s="110"/>
      <c r="L102" s="110"/>
      <c r="M102" s="110"/>
      <c r="N102" s="110"/>
      <c r="O102" s="110"/>
      <c r="P102" s="110"/>
      <c r="Q102" s="110"/>
      <c r="R102" s="110"/>
      <c r="S102" s="110"/>
      <c r="T102" s="110"/>
      <c r="U102" s="110"/>
      <c r="V102" s="110"/>
      <c r="W102" s="110"/>
      <c r="X102" s="110"/>
      <c r="Y102" s="110"/>
    </row>
    <row r="103" spans="1:25" ht="21" customHeight="1" thickBot="1" x14ac:dyDescent="0.25">
      <c r="A103" s="1246"/>
      <c r="B103" s="1246"/>
      <c r="C103" s="639" t="s">
        <v>846</v>
      </c>
      <c r="D103" s="5"/>
      <c r="E103" s="5"/>
      <c r="F103" s="5"/>
      <c r="G103" s="5"/>
      <c r="H103" s="110"/>
      <c r="I103" s="110"/>
      <c r="J103" s="441"/>
      <c r="K103" s="110"/>
      <c r="L103" s="110"/>
      <c r="M103" s="110"/>
      <c r="N103" s="110"/>
      <c r="O103" s="110"/>
      <c r="P103" s="110"/>
      <c r="Q103" s="110"/>
      <c r="R103" s="110"/>
      <c r="S103" s="110"/>
      <c r="T103" s="110"/>
      <c r="U103" s="110"/>
      <c r="V103" s="110"/>
      <c r="W103" s="110"/>
      <c r="X103" s="110"/>
      <c r="Y103" s="110"/>
    </row>
    <row r="104" spans="1:25" ht="21" customHeight="1" thickBot="1" x14ac:dyDescent="0.25">
      <c r="A104" s="1246"/>
      <c r="B104" s="1246"/>
      <c r="C104" s="409" t="s">
        <v>728</v>
      </c>
      <c r="D104" s="1027"/>
      <c r="E104" s="1027"/>
      <c r="F104" s="1027"/>
      <c r="G104" s="1027"/>
      <c r="H104" s="110"/>
      <c r="I104" s="110"/>
      <c r="J104" s="441"/>
      <c r="K104" s="110"/>
      <c r="L104" s="110"/>
      <c r="M104" s="110"/>
      <c r="N104" s="110"/>
      <c r="O104" s="110"/>
      <c r="P104" s="110"/>
      <c r="Q104" s="110"/>
      <c r="R104" s="110"/>
      <c r="S104" s="110"/>
      <c r="T104" s="110"/>
      <c r="U104" s="110"/>
      <c r="V104" s="110"/>
      <c r="W104" s="110"/>
      <c r="X104" s="110"/>
      <c r="Y104" s="110"/>
    </row>
    <row r="105" spans="1:25" ht="21" customHeight="1" thickBot="1" x14ac:dyDescent="0.25">
      <c r="A105" s="1246"/>
      <c r="B105" s="1246"/>
      <c r="C105" s="310" t="s">
        <v>2465</v>
      </c>
      <c r="D105" s="1547"/>
      <c r="E105" s="507"/>
      <c r="F105" s="507"/>
      <c r="G105" s="582">
        <f>IF((OutNone + OutNone1&gt;0),10, 10*AVERAGE(TRAP1A, OUT2A))</f>
        <v>0.76388888888888895</v>
      </c>
      <c r="H105" s="110"/>
      <c r="I105" s="110"/>
      <c r="J105" s="441"/>
      <c r="K105" s="110"/>
      <c r="L105" s="110"/>
      <c r="M105" s="110"/>
      <c r="N105" s="110"/>
      <c r="O105" s="110"/>
      <c r="P105" s="110"/>
      <c r="Q105" s="110"/>
      <c r="R105" s="110"/>
      <c r="S105" s="110"/>
      <c r="T105" s="110"/>
      <c r="U105" s="110"/>
      <c r="V105" s="110"/>
      <c r="W105" s="110"/>
      <c r="X105" s="110"/>
      <c r="Y105" s="110"/>
    </row>
    <row r="106" spans="1:25" ht="21" customHeight="1" thickBot="1" x14ac:dyDescent="0.25">
      <c r="A106" s="1246"/>
      <c r="B106" s="1246"/>
      <c r="C106" s="5"/>
      <c r="D106" s="827"/>
      <c r="E106" s="5"/>
      <c r="F106" s="5"/>
      <c r="G106" s="5"/>
      <c r="H106" s="1390"/>
      <c r="I106" s="830" t="s">
        <v>293</v>
      </c>
      <c r="J106" s="141"/>
      <c r="K106" s="110"/>
      <c r="L106" s="110"/>
      <c r="M106" s="110"/>
      <c r="N106" s="110"/>
      <c r="O106" s="110"/>
      <c r="P106" s="110"/>
      <c r="Q106" s="110"/>
      <c r="R106" s="110"/>
      <c r="S106" s="110"/>
      <c r="T106" s="110"/>
      <c r="U106" s="110"/>
      <c r="V106" s="110"/>
      <c r="W106" s="110"/>
      <c r="X106" s="110"/>
      <c r="Y106" s="110"/>
    </row>
    <row r="107" spans="1:25" ht="42" customHeight="1" x14ac:dyDescent="0.2">
      <c r="A107" s="1463"/>
      <c r="B107" s="1466"/>
      <c r="C107" s="1467"/>
      <c r="D107" s="1468"/>
      <c r="E107" s="5"/>
      <c r="F107" s="5"/>
      <c r="G107" s="5"/>
      <c r="H107" s="1390"/>
      <c r="I107" s="820" t="s">
        <v>303</v>
      </c>
      <c r="J107" s="141"/>
      <c r="K107" s="110"/>
      <c r="L107" s="110"/>
      <c r="M107" s="110"/>
      <c r="N107" s="110"/>
      <c r="O107" s="110"/>
      <c r="P107" s="110"/>
      <c r="Q107" s="110"/>
      <c r="R107" s="110"/>
      <c r="S107" s="110"/>
      <c r="T107" s="110"/>
      <c r="U107" s="110"/>
      <c r="V107" s="110"/>
      <c r="W107" s="110"/>
      <c r="X107" s="110"/>
      <c r="Y107" s="110"/>
    </row>
    <row r="108" spans="1:25" ht="38.25" x14ac:dyDescent="0.2">
      <c r="A108" s="1463"/>
      <c r="B108" s="1466"/>
      <c r="C108" s="1467"/>
      <c r="D108" s="1618"/>
      <c r="E108" s="5"/>
      <c r="F108" s="5"/>
      <c r="G108" s="5"/>
      <c r="H108" s="1390"/>
      <c r="I108" s="1407" t="s">
        <v>304</v>
      </c>
      <c r="J108" s="141"/>
      <c r="K108" s="110"/>
      <c r="L108" s="110"/>
      <c r="M108" s="110"/>
      <c r="N108" s="110"/>
      <c r="O108" s="110"/>
      <c r="P108" s="110"/>
      <c r="Q108" s="110"/>
      <c r="R108" s="110"/>
      <c r="S108" s="110"/>
      <c r="T108" s="110"/>
      <c r="U108" s="110"/>
      <c r="V108" s="110"/>
      <c r="W108" s="110"/>
      <c r="X108" s="110"/>
      <c r="Y108" s="110"/>
    </row>
    <row r="109" spans="1:25" ht="27" customHeight="1" x14ac:dyDescent="0.2">
      <c r="A109" s="1463"/>
      <c r="B109" s="1463"/>
      <c r="C109" s="1467"/>
      <c r="D109" s="1618"/>
      <c r="E109" s="5"/>
      <c r="F109" s="5"/>
      <c r="G109" s="5"/>
      <c r="H109" s="1390"/>
      <c r="I109" s="1407" t="s">
        <v>2292</v>
      </c>
      <c r="J109" s="141"/>
      <c r="K109" s="110"/>
      <c r="L109" s="110"/>
      <c r="M109" s="110"/>
      <c r="N109" s="110"/>
      <c r="O109" s="110"/>
      <c r="P109" s="110"/>
      <c r="Q109" s="110"/>
      <c r="R109" s="110"/>
      <c r="S109" s="110"/>
      <c r="T109" s="110"/>
      <c r="U109" s="110"/>
      <c r="V109" s="110"/>
      <c r="W109" s="110"/>
      <c r="X109" s="110"/>
      <c r="Y109" s="110"/>
    </row>
    <row r="110" spans="1:25" ht="27.75" customHeight="1" x14ac:dyDescent="0.2">
      <c r="A110" s="1463"/>
      <c r="B110" s="1463"/>
      <c r="C110" s="1595"/>
      <c r="D110" s="1619"/>
      <c r="E110" s="5"/>
      <c r="F110" s="5"/>
      <c r="G110" s="5"/>
      <c r="H110" s="1390"/>
      <c r="I110" s="1407" t="s">
        <v>305</v>
      </c>
      <c r="J110" s="141"/>
      <c r="K110" s="110"/>
      <c r="L110" s="110"/>
      <c r="M110" s="110"/>
      <c r="N110" s="110"/>
      <c r="O110" s="110"/>
      <c r="P110" s="110"/>
      <c r="Q110" s="110"/>
      <c r="R110" s="110"/>
      <c r="S110" s="110"/>
      <c r="T110" s="110"/>
      <c r="U110" s="110"/>
      <c r="V110" s="110"/>
      <c r="W110" s="110"/>
      <c r="X110" s="110"/>
      <c r="Y110" s="110"/>
    </row>
    <row r="111" spans="1:25" ht="42" customHeight="1" x14ac:dyDescent="0.2">
      <c r="A111" s="1463"/>
      <c r="B111" s="1463"/>
      <c r="C111" s="1464"/>
      <c r="D111" s="1619"/>
      <c r="E111" s="5"/>
      <c r="F111" s="5"/>
      <c r="G111" s="5"/>
      <c r="H111" s="1390"/>
      <c r="I111" s="1407" t="s">
        <v>306</v>
      </c>
      <c r="J111" s="141"/>
      <c r="K111" s="110"/>
      <c r="L111" s="110"/>
      <c r="M111" s="110"/>
      <c r="N111" s="110"/>
      <c r="O111" s="110"/>
      <c r="P111" s="110"/>
      <c r="Q111" s="110"/>
      <c r="R111" s="110"/>
      <c r="S111" s="110"/>
      <c r="T111" s="110"/>
      <c r="U111" s="110"/>
      <c r="V111" s="110"/>
      <c r="W111" s="110"/>
      <c r="X111" s="110"/>
      <c r="Y111" s="110"/>
    </row>
    <row r="112" spans="1:25" ht="27" customHeight="1" x14ac:dyDescent="0.2">
      <c r="A112" s="2095"/>
      <c r="B112" s="1466"/>
      <c r="C112" s="1467"/>
      <c r="D112" s="1468"/>
      <c r="E112" s="5"/>
      <c r="F112" s="5"/>
      <c r="G112" s="940"/>
      <c r="H112" s="1390"/>
      <c r="I112" s="1407" t="s">
        <v>307</v>
      </c>
      <c r="J112" s="141"/>
      <c r="K112" s="110"/>
      <c r="L112" s="110"/>
      <c r="M112" s="110"/>
      <c r="N112" s="110"/>
      <c r="O112" s="110"/>
      <c r="P112" s="110"/>
      <c r="Q112" s="110"/>
      <c r="R112" s="110"/>
      <c r="S112" s="110"/>
      <c r="T112" s="110"/>
      <c r="U112" s="110"/>
      <c r="V112" s="110"/>
      <c r="W112" s="110"/>
      <c r="X112" s="110"/>
      <c r="Y112" s="110"/>
    </row>
    <row r="113" spans="1:26" ht="42" customHeight="1" x14ac:dyDescent="0.2">
      <c r="A113" s="2095"/>
      <c r="B113" s="1466"/>
      <c r="C113" s="1467"/>
      <c r="D113" s="1618"/>
      <c r="E113" s="5"/>
      <c r="F113" s="5"/>
      <c r="G113" s="5"/>
      <c r="H113" s="1390"/>
      <c r="I113" s="1407" t="s">
        <v>308</v>
      </c>
      <c r="J113" s="141"/>
      <c r="K113" s="110"/>
      <c r="L113" s="110"/>
      <c r="M113" s="110"/>
      <c r="N113" s="110"/>
      <c r="O113" s="110"/>
      <c r="P113" s="110"/>
      <c r="Q113" s="110"/>
      <c r="R113" s="110"/>
      <c r="S113" s="110"/>
      <c r="T113" s="110"/>
      <c r="U113" s="110"/>
      <c r="V113" s="110"/>
      <c r="W113" s="110"/>
      <c r="X113" s="110"/>
      <c r="Y113" s="110"/>
    </row>
    <row r="114" spans="1:26" ht="38.25" x14ac:dyDescent="0.2">
      <c r="A114" s="1463"/>
      <c r="B114" s="583"/>
      <c r="C114" s="1467"/>
      <c r="D114" s="1618"/>
      <c r="E114" s="5"/>
      <c r="F114" s="5"/>
      <c r="G114" s="5"/>
      <c r="H114" s="1390"/>
      <c r="I114" s="1407" t="s">
        <v>323</v>
      </c>
      <c r="J114" s="141"/>
      <c r="K114" s="110"/>
      <c r="L114" s="110"/>
      <c r="M114" s="110"/>
      <c r="N114" s="110"/>
      <c r="O114" s="110"/>
      <c r="P114" s="110"/>
      <c r="Q114" s="110"/>
      <c r="R114" s="110"/>
      <c r="S114" s="110"/>
      <c r="T114" s="110"/>
      <c r="U114" s="110"/>
      <c r="V114" s="110"/>
      <c r="W114" s="110"/>
      <c r="X114" s="110"/>
      <c r="Y114" s="110"/>
    </row>
    <row r="115" spans="1:26" s="6" customFormat="1" ht="42" customHeight="1" x14ac:dyDescent="0.2">
      <c r="H115" s="1389"/>
      <c r="I115" s="1407" t="s">
        <v>309</v>
      </c>
      <c r="J115" s="141"/>
      <c r="K115" s="110"/>
      <c r="L115" s="110"/>
      <c r="M115" s="110"/>
      <c r="N115" s="110"/>
      <c r="O115" s="110"/>
      <c r="P115" s="110"/>
      <c r="Q115" s="110"/>
      <c r="R115" s="110"/>
      <c r="S115" s="110"/>
      <c r="T115" s="110"/>
      <c r="U115" s="110"/>
      <c r="V115" s="110"/>
      <c r="W115" s="110"/>
      <c r="X115" s="110"/>
      <c r="Y115" s="110"/>
    </row>
    <row r="116" spans="1:26" s="214" customFormat="1" ht="42" customHeight="1" thickBot="1" x14ac:dyDescent="0.25">
      <c r="A116" s="6"/>
      <c r="B116" s="6"/>
      <c r="C116" s="6"/>
      <c r="D116" s="6"/>
      <c r="E116" s="6"/>
      <c r="F116" s="6"/>
      <c r="G116" s="6"/>
      <c r="H116" s="1389"/>
      <c r="I116" s="572" t="s">
        <v>1805</v>
      </c>
      <c r="J116" s="141"/>
      <c r="K116" s="110"/>
      <c r="L116" s="110"/>
      <c r="M116" s="110"/>
      <c r="N116" s="110"/>
      <c r="O116" s="110"/>
      <c r="P116" s="110"/>
      <c r="Q116" s="110"/>
      <c r="R116" s="110"/>
      <c r="S116" s="110"/>
      <c r="T116" s="110"/>
      <c r="U116" s="110"/>
      <c r="V116" s="110"/>
      <c r="W116" s="110"/>
      <c r="X116" s="110"/>
      <c r="Y116" s="110"/>
      <c r="Z116" s="128"/>
    </row>
    <row r="117" spans="1:26" ht="27" customHeight="1" x14ac:dyDescent="0.2">
      <c r="A117" s="6"/>
      <c r="D117" s="6"/>
      <c r="E117" s="6"/>
      <c r="F117" s="6"/>
      <c r="G117" s="6"/>
      <c r="H117" s="110"/>
      <c r="I117" s="135"/>
      <c r="J117" s="441"/>
      <c r="K117" s="110"/>
      <c r="L117" s="110"/>
      <c r="M117" s="110"/>
      <c r="N117" s="110"/>
      <c r="O117" s="110"/>
      <c r="P117" s="110"/>
      <c r="Q117" s="110"/>
      <c r="R117" s="110"/>
      <c r="S117" s="110"/>
      <c r="T117" s="110"/>
      <c r="U117" s="110"/>
      <c r="V117" s="110"/>
      <c r="W117" s="110"/>
      <c r="X117" s="110"/>
      <c r="Y117" s="110"/>
    </row>
    <row r="118" spans="1:26" ht="42.75" customHeight="1" x14ac:dyDescent="0.2">
      <c r="A118" s="6"/>
      <c r="D118" s="6"/>
      <c r="E118" s="6"/>
      <c r="F118" s="6"/>
      <c r="G118" s="6"/>
      <c r="H118" s="110"/>
      <c r="I118" s="135"/>
    </row>
    <row r="119" spans="1:26" ht="27" customHeight="1" x14ac:dyDescent="0.2">
      <c r="A119" s="6"/>
      <c r="D119" s="6"/>
      <c r="E119" s="6"/>
      <c r="F119" s="6"/>
      <c r="G119" s="6"/>
      <c r="H119" s="110"/>
      <c r="I119" s="135"/>
    </row>
    <row r="120" spans="1:26" ht="27" customHeight="1" x14ac:dyDescent="0.2">
      <c r="A120" s="6"/>
      <c r="D120" s="6"/>
      <c r="E120" s="6"/>
      <c r="F120" s="6"/>
      <c r="G120" s="6"/>
      <c r="H120" s="110"/>
      <c r="I120" s="135"/>
    </row>
    <row r="121" spans="1:26" x14ac:dyDescent="0.2">
      <c r="A121" s="6"/>
      <c r="D121" s="6"/>
      <c r="E121" s="6"/>
      <c r="F121" s="6"/>
      <c r="G121" s="6"/>
      <c r="H121" s="110"/>
      <c r="I121" s="135"/>
    </row>
    <row r="122" spans="1:26" x14ac:dyDescent="0.2">
      <c r="I122" s="135"/>
    </row>
    <row r="123" spans="1:26" x14ac:dyDescent="0.2">
      <c r="I123" s="135"/>
    </row>
    <row r="124" spans="1:26" x14ac:dyDescent="0.2">
      <c r="I124" s="135"/>
    </row>
    <row r="148" spans="3:9" x14ac:dyDescent="0.2">
      <c r="C148" s="110"/>
      <c r="H148" s="441"/>
      <c r="I148" s="136"/>
    </row>
    <row r="149" spans="3:9" x14ac:dyDescent="0.2">
      <c r="C149" s="110"/>
      <c r="H149" s="441"/>
      <c r="I149" s="136"/>
    </row>
    <row r="150" spans="3:9" x14ac:dyDescent="0.2">
      <c r="C150" s="110"/>
      <c r="H150" s="441"/>
      <c r="I150" s="136"/>
    </row>
    <row r="151" spans="3:9" x14ac:dyDescent="0.2">
      <c r="C151" s="110"/>
      <c r="H151" s="441"/>
      <c r="I151" s="136"/>
    </row>
    <row r="152" spans="3:9" x14ac:dyDescent="0.2">
      <c r="C152" s="110"/>
      <c r="H152" s="441"/>
      <c r="I152" s="136"/>
    </row>
    <row r="153" spans="3:9" x14ac:dyDescent="0.2">
      <c r="C153" s="110"/>
      <c r="H153" s="441"/>
      <c r="I153" s="136"/>
    </row>
    <row r="154" spans="3:9" x14ac:dyDescent="0.2">
      <c r="C154" s="110"/>
      <c r="H154" s="441"/>
      <c r="I154" s="136"/>
    </row>
    <row r="155" spans="3:9" x14ac:dyDescent="0.2">
      <c r="C155" s="110"/>
      <c r="H155" s="441"/>
      <c r="I155" s="136"/>
    </row>
    <row r="156" spans="3:9" x14ac:dyDescent="0.2">
      <c r="C156" s="110"/>
      <c r="H156" s="441"/>
      <c r="I156" s="136"/>
    </row>
    <row r="157" spans="3:9" x14ac:dyDescent="0.2">
      <c r="C157" s="110"/>
      <c r="H157" s="441"/>
      <c r="I157" s="136"/>
    </row>
    <row r="158" spans="3:9" x14ac:dyDescent="0.2">
      <c r="C158" s="110"/>
      <c r="H158" s="441"/>
      <c r="I158" s="136"/>
    </row>
    <row r="159" spans="3:9" x14ac:dyDescent="0.2">
      <c r="C159" s="110"/>
      <c r="H159" s="441"/>
      <c r="I159" s="136"/>
    </row>
    <row r="160" spans="3:9" x14ac:dyDescent="0.2">
      <c r="C160" s="110"/>
      <c r="H160" s="441"/>
      <c r="I160" s="136"/>
    </row>
    <row r="161" spans="1:10" x14ac:dyDescent="0.2">
      <c r="C161" s="110"/>
      <c r="H161" s="441"/>
      <c r="I161" s="136"/>
    </row>
    <row r="162" spans="1:10" x14ac:dyDescent="0.2">
      <c r="C162" s="110"/>
      <c r="H162" s="441"/>
      <c r="I162" s="136"/>
    </row>
    <row r="163" spans="1:10" x14ac:dyDescent="0.2">
      <c r="C163" s="110"/>
      <c r="H163" s="441"/>
      <c r="I163" s="136"/>
    </row>
    <row r="164" spans="1:10" x14ac:dyDescent="0.2">
      <c r="C164" s="110"/>
      <c r="H164" s="441"/>
      <c r="I164" s="136"/>
    </row>
    <row r="165" spans="1:10" s="940" customFormat="1" x14ac:dyDescent="0.2">
      <c r="A165" s="135"/>
      <c r="B165" s="110"/>
      <c r="C165" s="110"/>
      <c r="D165" s="579"/>
      <c r="E165" s="579"/>
      <c r="F165" s="579"/>
      <c r="G165" s="230"/>
      <c r="H165" s="441"/>
      <c r="I165" s="136"/>
      <c r="J165" s="573"/>
    </row>
    <row r="166" spans="1:10" s="940" customFormat="1" x14ac:dyDescent="0.2">
      <c r="A166" s="135"/>
      <c r="B166" s="110"/>
      <c r="C166" s="110"/>
      <c r="D166" s="579"/>
      <c r="E166" s="579"/>
      <c r="F166" s="579"/>
      <c r="G166" s="230"/>
      <c r="H166" s="441"/>
      <c r="I166" s="136"/>
      <c r="J166" s="573"/>
    </row>
    <row r="167" spans="1:10" s="940" customFormat="1" x14ac:dyDescent="0.2">
      <c r="A167" s="135"/>
      <c r="B167" s="110"/>
      <c r="C167" s="110"/>
      <c r="D167" s="579"/>
      <c r="E167" s="579"/>
      <c r="F167" s="579"/>
      <c r="G167" s="230"/>
      <c r="H167" s="441"/>
      <c r="I167" s="136"/>
      <c r="J167" s="573"/>
    </row>
    <row r="168" spans="1:10" s="940" customFormat="1" x14ac:dyDescent="0.2">
      <c r="A168" s="135"/>
      <c r="B168" s="110"/>
      <c r="C168" s="110"/>
      <c r="D168" s="579"/>
      <c r="E168" s="579"/>
      <c r="F168" s="579"/>
      <c r="G168" s="230"/>
      <c r="H168" s="441"/>
      <c r="I168" s="136"/>
      <c r="J168" s="573"/>
    </row>
    <row r="169" spans="1:10" s="940" customFormat="1" x14ac:dyDescent="0.2">
      <c r="A169" s="135"/>
      <c r="B169" s="110"/>
      <c r="C169" s="110"/>
      <c r="D169" s="579"/>
      <c r="E169" s="579"/>
      <c r="F169" s="579"/>
      <c r="G169" s="230"/>
      <c r="H169" s="441"/>
      <c r="I169" s="136"/>
      <c r="J169" s="573"/>
    </row>
    <row r="170" spans="1:10" s="940" customFormat="1" x14ac:dyDescent="0.2">
      <c r="A170" s="135"/>
      <c r="B170" s="110"/>
      <c r="C170" s="110"/>
      <c r="D170" s="579"/>
      <c r="E170" s="579"/>
      <c r="F170" s="579"/>
      <c r="G170" s="230"/>
      <c r="H170" s="441"/>
      <c r="I170" s="136"/>
      <c r="J170" s="573"/>
    </row>
    <row r="171" spans="1:10" s="940" customFormat="1" x14ac:dyDescent="0.2">
      <c r="A171" s="135"/>
      <c r="B171" s="110"/>
      <c r="C171" s="110"/>
      <c r="D171" s="579"/>
      <c r="E171" s="579"/>
      <c r="F171" s="579"/>
      <c r="G171" s="230"/>
      <c r="H171" s="441"/>
      <c r="I171" s="136"/>
      <c r="J171" s="573"/>
    </row>
    <row r="172" spans="1:10" s="940" customFormat="1" x14ac:dyDescent="0.2">
      <c r="A172" s="135"/>
      <c r="B172" s="110"/>
      <c r="C172" s="110"/>
      <c r="D172" s="579"/>
      <c r="E172" s="579"/>
      <c r="F172" s="579"/>
      <c r="G172" s="230"/>
      <c r="H172" s="441"/>
      <c r="I172" s="136"/>
      <c r="J172" s="573"/>
    </row>
    <row r="173" spans="1:10" s="940" customFormat="1" x14ac:dyDescent="0.2">
      <c r="A173" s="135"/>
      <c r="B173" s="110"/>
      <c r="C173" s="110"/>
      <c r="D173" s="579"/>
      <c r="E173" s="579"/>
      <c r="F173" s="579"/>
      <c r="G173" s="230"/>
      <c r="H173" s="441"/>
      <c r="I173" s="136"/>
      <c r="J173" s="573"/>
    </row>
    <row r="174" spans="1:10" s="940" customFormat="1" x14ac:dyDescent="0.2">
      <c r="A174" s="135"/>
      <c r="B174" s="110"/>
      <c r="C174" s="110"/>
      <c r="D174" s="579"/>
      <c r="E174" s="579"/>
      <c r="F174" s="579"/>
      <c r="G174" s="230"/>
      <c r="H174" s="441"/>
      <c r="I174" s="136"/>
      <c r="J174" s="573"/>
    </row>
    <row r="175" spans="1:10" s="940" customFormat="1" x14ac:dyDescent="0.2">
      <c r="A175" s="135"/>
      <c r="B175" s="110"/>
      <c r="C175" s="110"/>
      <c r="D175" s="579"/>
      <c r="E175" s="579"/>
      <c r="F175" s="579"/>
      <c r="G175" s="230"/>
      <c r="H175" s="441"/>
      <c r="I175" s="136"/>
      <c r="J175" s="573"/>
    </row>
    <row r="176" spans="1:10" s="940" customFormat="1" x14ac:dyDescent="0.2">
      <c r="A176" s="135"/>
      <c r="B176" s="110"/>
      <c r="C176" s="110"/>
      <c r="D176" s="579"/>
      <c r="E176" s="579"/>
      <c r="F176" s="579"/>
      <c r="G176" s="230"/>
      <c r="H176" s="441"/>
      <c r="I176" s="136"/>
      <c r="J176" s="573"/>
    </row>
    <row r="177" spans="1:10" s="940" customFormat="1" x14ac:dyDescent="0.2">
      <c r="A177" s="135"/>
      <c r="B177" s="110"/>
      <c r="C177" s="110"/>
      <c r="D177" s="579"/>
      <c r="E177" s="579"/>
      <c r="F177" s="579"/>
      <c r="G177" s="230"/>
      <c r="H177" s="441"/>
      <c r="I177" s="136"/>
      <c r="J177" s="573"/>
    </row>
    <row r="178" spans="1:10" s="940" customFormat="1" x14ac:dyDescent="0.2">
      <c r="A178" s="135"/>
      <c r="B178" s="110"/>
      <c r="C178" s="110"/>
      <c r="D178" s="579"/>
      <c r="E178" s="579"/>
      <c r="F178" s="579"/>
      <c r="G178" s="230"/>
      <c r="H178" s="441"/>
      <c r="I178" s="136"/>
      <c r="J178" s="573"/>
    </row>
    <row r="179" spans="1:10" s="940" customFormat="1" x14ac:dyDescent="0.2">
      <c r="A179" s="135"/>
      <c r="B179" s="110"/>
      <c r="C179" s="110"/>
      <c r="D179" s="579"/>
      <c r="E179" s="579"/>
      <c r="F179" s="579"/>
      <c r="G179" s="230"/>
      <c r="H179" s="441"/>
      <c r="I179" s="136"/>
      <c r="J179" s="573"/>
    </row>
    <row r="180" spans="1:10" s="940" customFormat="1" x14ac:dyDescent="0.2">
      <c r="A180" s="135"/>
      <c r="B180" s="110"/>
      <c r="C180" s="110"/>
      <c r="D180" s="579"/>
      <c r="E180" s="579"/>
      <c r="F180" s="579"/>
      <c r="G180" s="230"/>
      <c r="H180" s="441"/>
      <c r="I180" s="136"/>
      <c r="J180" s="573"/>
    </row>
    <row r="181" spans="1:10" s="940" customFormat="1" x14ac:dyDescent="0.2">
      <c r="A181" s="135"/>
      <c r="B181" s="110"/>
      <c r="C181" s="110"/>
      <c r="D181" s="579"/>
      <c r="E181" s="579"/>
      <c r="F181" s="579"/>
      <c r="G181" s="230"/>
      <c r="H181" s="441"/>
      <c r="I181" s="136"/>
      <c r="J181" s="573"/>
    </row>
    <row r="182" spans="1:10" s="940" customFormat="1" x14ac:dyDescent="0.2">
      <c r="A182" s="135"/>
      <c r="B182" s="110"/>
      <c r="C182" s="110"/>
      <c r="D182" s="579"/>
      <c r="E182" s="579"/>
      <c r="F182" s="579"/>
      <c r="G182" s="230"/>
      <c r="H182" s="441"/>
      <c r="I182" s="136"/>
      <c r="J182" s="573"/>
    </row>
    <row r="183" spans="1:10" s="940" customFormat="1" x14ac:dyDescent="0.2">
      <c r="A183" s="135"/>
      <c r="B183" s="110"/>
      <c r="C183" s="110"/>
      <c r="D183" s="579"/>
      <c r="E183" s="579"/>
      <c r="F183" s="579"/>
      <c r="G183" s="230"/>
      <c r="H183" s="441"/>
      <c r="I183" s="136"/>
      <c r="J183" s="573"/>
    </row>
    <row r="184" spans="1:10" s="940" customFormat="1" x14ac:dyDescent="0.2">
      <c r="A184" s="135"/>
      <c r="B184" s="110"/>
      <c r="C184" s="110"/>
      <c r="D184" s="579"/>
      <c r="E184" s="579"/>
      <c r="F184" s="579"/>
      <c r="G184" s="230"/>
      <c r="H184" s="441"/>
      <c r="I184" s="136"/>
      <c r="J184" s="573"/>
    </row>
    <row r="185" spans="1:10" s="940" customFormat="1" x14ac:dyDescent="0.2">
      <c r="A185" s="135"/>
      <c r="B185" s="110"/>
      <c r="C185" s="110"/>
      <c r="D185" s="579"/>
      <c r="E185" s="579"/>
      <c r="F185" s="579"/>
      <c r="G185" s="230"/>
      <c r="H185" s="441"/>
      <c r="I185" s="136"/>
      <c r="J185" s="573"/>
    </row>
    <row r="186" spans="1:10" s="940" customFormat="1" x14ac:dyDescent="0.2">
      <c r="A186" s="135"/>
      <c r="B186" s="110"/>
      <c r="C186" s="110"/>
      <c r="D186" s="579"/>
      <c r="E186" s="579"/>
      <c r="F186" s="579"/>
      <c r="G186" s="230"/>
      <c r="H186" s="441"/>
      <c r="I186" s="136"/>
      <c r="J186" s="573"/>
    </row>
    <row r="187" spans="1:10" s="940" customFormat="1" x14ac:dyDescent="0.2">
      <c r="A187" s="135"/>
      <c r="B187" s="110"/>
      <c r="C187" s="110"/>
      <c r="D187" s="579"/>
      <c r="E187" s="579"/>
      <c r="F187" s="579"/>
      <c r="G187" s="230"/>
      <c r="H187" s="441"/>
      <c r="I187" s="136"/>
      <c r="J187" s="573"/>
    </row>
    <row r="188" spans="1:10" s="940" customFormat="1" x14ac:dyDescent="0.2">
      <c r="A188" s="135"/>
      <c r="B188" s="110"/>
      <c r="C188" s="110"/>
      <c r="D188" s="579"/>
      <c r="E188" s="579"/>
      <c r="F188" s="579"/>
      <c r="G188" s="230"/>
      <c r="H188" s="441"/>
      <c r="I188" s="136"/>
      <c r="J188" s="573"/>
    </row>
    <row r="189" spans="1:10" s="940" customFormat="1" x14ac:dyDescent="0.2">
      <c r="A189" s="135"/>
      <c r="B189" s="110"/>
      <c r="C189" s="110"/>
      <c r="D189" s="579"/>
      <c r="E189" s="579"/>
      <c r="F189" s="579"/>
      <c r="G189" s="230"/>
      <c r="H189" s="441"/>
      <c r="I189" s="136"/>
      <c r="J189" s="573"/>
    </row>
    <row r="190" spans="1:10" s="940" customFormat="1" x14ac:dyDescent="0.2">
      <c r="A190" s="135"/>
      <c r="B190" s="110"/>
      <c r="C190" s="110"/>
      <c r="D190" s="579"/>
      <c r="E190" s="579"/>
      <c r="F190" s="579"/>
      <c r="G190" s="230"/>
      <c r="H190" s="441"/>
      <c r="I190" s="136"/>
      <c r="J190" s="573"/>
    </row>
    <row r="191" spans="1:10" s="940" customFormat="1" x14ac:dyDescent="0.2">
      <c r="A191" s="135"/>
      <c r="B191" s="110"/>
      <c r="C191" s="110"/>
      <c r="D191" s="579"/>
      <c r="E191" s="579"/>
      <c r="F191" s="579"/>
      <c r="G191" s="230"/>
      <c r="H191" s="441"/>
      <c r="I191" s="136"/>
      <c r="J191" s="573"/>
    </row>
    <row r="192" spans="1:10" s="940" customFormat="1" x14ac:dyDescent="0.2">
      <c r="A192" s="135"/>
      <c r="B192" s="110"/>
      <c r="C192" s="110"/>
      <c r="D192" s="579"/>
      <c r="E192" s="579"/>
      <c r="F192" s="579"/>
      <c r="G192" s="230"/>
      <c r="H192" s="441"/>
      <c r="I192" s="136"/>
      <c r="J192" s="573"/>
    </row>
    <row r="193" spans="1:10" s="940" customFormat="1" x14ac:dyDescent="0.2">
      <c r="A193" s="135"/>
      <c r="B193" s="110"/>
      <c r="C193" s="110"/>
      <c r="D193" s="579"/>
      <c r="E193" s="579"/>
      <c r="F193" s="579"/>
      <c r="G193" s="230"/>
      <c r="H193" s="441"/>
      <c r="I193" s="136"/>
      <c r="J193" s="573"/>
    </row>
    <row r="194" spans="1:10" s="940" customFormat="1" x14ac:dyDescent="0.2">
      <c r="A194" s="135"/>
      <c r="B194" s="110"/>
      <c r="C194" s="110"/>
      <c r="D194" s="579"/>
      <c r="E194" s="579"/>
      <c r="F194" s="579"/>
      <c r="G194" s="230"/>
      <c r="H194" s="441"/>
      <c r="I194" s="136"/>
      <c r="J194" s="573"/>
    </row>
    <row r="195" spans="1:10" s="940" customFormat="1" x14ac:dyDescent="0.2">
      <c r="A195" s="135"/>
      <c r="B195" s="110"/>
      <c r="C195" s="110"/>
      <c r="D195" s="579"/>
      <c r="E195" s="579"/>
      <c r="F195" s="579"/>
      <c r="G195" s="230"/>
      <c r="H195" s="441"/>
      <c r="I195" s="136"/>
      <c r="J195" s="573"/>
    </row>
    <row r="196" spans="1:10" s="940" customFormat="1" x14ac:dyDescent="0.2">
      <c r="A196" s="135"/>
      <c r="B196" s="110"/>
      <c r="C196" s="110"/>
      <c r="D196" s="579"/>
      <c r="E196" s="579"/>
      <c r="F196" s="579"/>
      <c r="G196" s="230"/>
      <c r="H196" s="441"/>
      <c r="I196" s="136"/>
      <c r="J196" s="573"/>
    </row>
    <row r="197" spans="1:10" s="940" customFormat="1" x14ac:dyDescent="0.2">
      <c r="A197" s="135"/>
      <c r="B197" s="110"/>
      <c r="C197" s="110"/>
      <c r="D197" s="579"/>
      <c r="E197" s="579"/>
      <c r="F197" s="579"/>
      <c r="G197" s="230"/>
      <c r="H197" s="441"/>
      <c r="I197" s="136"/>
      <c r="J197" s="573"/>
    </row>
    <row r="198" spans="1:10" s="940" customFormat="1" x14ac:dyDescent="0.2">
      <c r="A198" s="135"/>
      <c r="B198" s="110"/>
      <c r="C198" s="110"/>
      <c r="D198" s="579"/>
      <c r="E198" s="579"/>
      <c r="F198" s="579"/>
      <c r="G198" s="230"/>
      <c r="H198" s="441"/>
      <c r="I198" s="136"/>
      <c r="J198" s="573"/>
    </row>
    <row r="199" spans="1:10" s="940" customFormat="1" x14ac:dyDescent="0.2">
      <c r="A199" s="135"/>
      <c r="B199" s="110"/>
      <c r="C199" s="110"/>
      <c r="D199" s="579"/>
      <c r="E199" s="579"/>
      <c r="F199" s="579"/>
      <c r="G199" s="230"/>
      <c r="H199" s="441"/>
      <c r="I199" s="136"/>
      <c r="J199" s="573"/>
    </row>
    <row r="200" spans="1:10" s="940" customFormat="1" x14ac:dyDescent="0.2">
      <c r="A200" s="135"/>
      <c r="B200" s="110"/>
      <c r="C200" s="110"/>
      <c r="D200" s="579"/>
      <c r="E200" s="579"/>
      <c r="F200" s="579"/>
      <c r="G200" s="230"/>
      <c r="H200" s="441"/>
      <c r="I200" s="136"/>
      <c r="J200" s="573"/>
    </row>
    <row r="201" spans="1:10" s="940" customFormat="1" x14ac:dyDescent="0.2">
      <c r="A201" s="135"/>
      <c r="B201" s="110"/>
      <c r="C201" s="110"/>
      <c r="D201" s="579"/>
      <c r="E201" s="579"/>
      <c r="F201" s="579"/>
      <c r="G201" s="230"/>
      <c r="H201" s="441"/>
      <c r="I201" s="136"/>
      <c r="J201" s="573"/>
    </row>
    <row r="202" spans="1:10" s="940" customFormat="1" x14ac:dyDescent="0.2">
      <c r="A202" s="135"/>
      <c r="B202" s="110"/>
      <c r="C202" s="110"/>
      <c r="D202" s="579"/>
      <c r="E202" s="579"/>
      <c r="F202" s="579"/>
      <c r="G202" s="230"/>
      <c r="H202" s="441"/>
      <c r="I202" s="136"/>
      <c r="J202" s="573"/>
    </row>
    <row r="203" spans="1:10" s="940" customFormat="1" x14ac:dyDescent="0.2">
      <c r="A203" s="135"/>
      <c r="B203" s="110"/>
      <c r="C203" s="110"/>
      <c r="D203" s="579"/>
      <c r="E203" s="579"/>
      <c r="F203" s="579"/>
      <c r="G203" s="230"/>
      <c r="H203" s="441"/>
      <c r="I203" s="136"/>
      <c r="J203" s="573"/>
    </row>
    <row r="204" spans="1:10" s="940" customFormat="1" x14ac:dyDescent="0.2">
      <c r="A204" s="135"/>
      <c r="B204" s="110"/>
      <c r="C204" s="110"/>
      <c r="D204" s="579"/>
      <c r="E204" s="579"/>
      <c r="F204" s="579"/>
      <c r="G204" s="230"/>
      <c r="H204" s="441"/>
      <c r="I204" s="136"/>
      <c r="J204" s="573"/>
    </row>
    <row r="205" spans="1:10" s="940" customFormat="1" x14ac:dyDescent="0.2">
      <c r="A205" s="135"/>
      <c r="B205" s="110"/>
      <c r="C205" s="110"/>
      <c r="D205" s="579"/>
      <c r="E205" s="579"/>
      <c r="F205" s="579"/>
      <c r="G205" s="230"/>
      <c r="H205" s="441"/>
      <c r="I205" s="136"/>
      <c r="J205" s="573"/>
    </row>
    <row r="206" spans="1:10" s="940" customFormat="1" x14ac:dyDescent="0.2">
      <c r="A206" s="135"/>
      <c r="B206" s="110"/>
      <c r="C206" s="110"/>
      <c r="D206" s="579"/>
      <c r="E206" s="579"/>
      <c r="F206" s="579"/>
      <c r="G206" s="230"/>
      <c r="H206" s="441"/>
      <c r="I206" s="136"/>
      <c r="J206" s="573"/>
    </row>
    <row r="207" spans="1:10" s="940" customFormat="1" x14ac:dyDescent="0.2">
      <c r="A207" s="135"/>
      <c r="B207" s="110"/>
      <c r="C207" s="110"/>
      <c r="D207" s="579"/>
      <c r="E207" s="579"/>
      <c r="F207" s="579"/>
      <c r="G207" s="230"/>
      <c r="H207" s="441"/>
      <c r="I207" s="136"/>
      <c r="J207" s="573"/>
    </row>
    <row r="208" spans="1:10" s="940" customFormat="1" x14ac:dyDescent="0.2">
      <c r="A208" s="135"/>
      <c r="B208" s="110"/>
      <c r="C208" s="110"/>
      <c r="D208" s="579"/>
      <c r="E208" s="579"/>
      <c r="F208" s="579"/>
      <c r="G208" s="230"/>
      <c r="H208" s="441"/>
      <c r="I208" s="136"/>
      <c r="J208" s="573"/>
    </row>
    <row r="209" spans="1:10" s="940" customFormat="1" x14ac:dyDescent="0.2">
      <c r="A209" s="135"/>
      <c r="B209" s="110"/>
      <c r="C209" s="110"/>
      <c r="D209" s="579"/>
      <c r="E209" s="579"/>
      <c r="F209" s="579"/>
      <c r="G209" s="230"/>
      <c r="H209" s="441"/>
      <c r="I209" s="136"/>
      <c r="J209" s="573"/>
    </row>
    <row r="210" spans="1:10" s="940" customFormat="1" x14ac:dyDescent="0.2">
      <c r="A210" s="135"/>
      <c r="B210" s="110"/>
      <c r="C210" s="110"/>
      <c r="D210" s="579"/>
      <c r="E210" s="579"/>
      <c r="F210" s="579"/>
      <c r="G210" s="230"/>
      <c r="H210" s="441"/>
      <c r="I210" s="136"/>
      <c r="J210" s="573"/>
    </row>
    <row r="211" spans="1:10" s="940" customFormat="1" x14ac:dyDescent="0.2">
      <c r="A211" s="135"/>
      <c r="B211" s="110"/>
      <c r="C211" s="110"/>
      <c r="D211" s="579"/>
      <c r="E211" s="579"/>
      <c r="F211" s="579"/>
      <c r="G211" s="230"/>
      <c r="H211" s="441"/>
      <c r="I211" s="136"/>
      <c r="J211" s="573"/>
    </row>
    <row r="212" spans="1:10" s="940" customFormat="1" x14ac:dyDescent="0.2">
      <c r="A212" s="135"/>
      <c r="B212" s="110"/>
      <c r="C212" s="110"/>
      <c r="D212" s="579"/>
      <c r="E212" s="579"/>
      <c r="F212" s="579"/>
      <c r="G212" s="230"/>
      <c r="H212" s="441"/>
      <c r="I212" s="136"/>
      <c r="J212" s="573"/>
    </row>
    <row r="213" spans="1:10" s="940" customFormat="1" x14ac:dyDescent="0.2">
      <c r="A213" s="135"/>
      <c r="B213" s="110"/>
      <c r="C213" s="110"/>
      <c r="D213" s="579"/>
      <c r="E213" s="579"/>
      <c r="F213" s="579"/>
      <c r="G213" s="230"/>
      <c r="H213" s="441"/>
      <c r="I213" s="136"/>
      <c r="J213" s="573"/>
    </row>
    <row r="214" spans="1:10" s="940" customFormat="1" x14ac:dyDescent="0.2">
      <c r="A214" s="135"/>
      <c r="B214" s="110"/>
      <c r="C214" s="6"/>
      <c r="D214" s="579"/>
      <c r="E214" s="579"/>
      <c r="F214" s="579"/>
      <c r="G214" s="230"/>
      <c r="H214" s="137"/>
      <c r="I214" s="136"/>
      <c r="J214" s="573"/>
    </row>
    <row r="215" spans="1:10" s="940" customFormat="1" x14ac:dyDescent="0.2">
      <c r="A215" s="135"/>
      <c r="B215" s="110"/>
      <c r="C215" s="6"/>
      <c r="D215" s="579"/>
      <c r="E215" s="579"/>
      <c r="F215" s="579"/>
      <c r="G215" s="230"/>
      <c r="H215" s="137"/>
      <c r="I215" s="25"/>
      <c r="J215" s="573"/>
    </row>
    <row r="216" spans="1:10" s="940" customFormat="1" x14ac:dyDescent="0.2">
      <c r="A216" s="135"/>
      <c r="B216" s="110"/>
      <c r="C216" s="6"/>
      <c r="D216" s="579"/>
      <c r="E216" s="579"/>
      <c r="F216" s="579"/>
      <c r="G216" s="230"/>
      <c r="H216" s="137"/>
      <c r="I216" s="25"/>
      <c r="J216" s="573"/>
    </row>
    <row r="217" spans="1:10" s="940" customFormat="1" x14ac:dyDescent="0.2">
      <c r="A217" s="135"/>
      <c r="B217" s="110"/>
      <c r="C217" s="6"/>
      <c r="D217" s="579"/>
      <c r="E217" s="579"/>
      <c r="F217" s="579"/>
      <c r="G217" s="230"/>
      <c r="H217" s="137"/>
      <c r="I217" s="25"/>
      <c r="J217" s="573"/>
    </row>
    <row r="218" spans="1:10" s="940" customFormat="1" x14ac:dyDescent="0.2">
      <c r="A218" s="135"/>
      <c r="B218" s="110"/>
      <c r="C218" s="6"/>
      <c r="D218" s="579"/>
      <c r="E218" s="579"/>
      <c r="F218" s="579"/>
      <c r="G218" s="230"/>
      <c r="H218" s="137"/>
      <c r="I218" s="25"/>
      <c r="J218" s="573"/>
    </row>
    <row r="219" spans="1:10" s="940" customFormat="1" x14ac:dyDescent="0.2">
      <c r="A219" s="135"/>
      <c r="B219" s="110"/>
      <c r="C219" s="6"/>
      <c r="D219" s="579"/>
      <c r="E219" s="579"/>
      <c r="F219" s="579"/>
      <c r="G219" s="230"/>
      <c r="H219" s="137"/>
      <c r="I219" s="25"/>
      <c r="J219" s="573"/>
    </row>
    <row r="220" spans="1:10" s="940" customFormat="1" x14ac:dyDescent="0.2">
      <c r="A220" s="135"/>
      <c r="B220" s="110"/>
      <c r="C220" s="6"/>
      <c r="D220" s="579"/>
      <c r="E220" s="579"/>
      <c r="F220" s="579"/>
      <c r="G220" s="230"/>
      <c r="H220" s="137"/>
      <c r="I220" s="25"/>
      <c r="J220" s="573"/>
    </row>
    <row r="221" spans="1:10" s="940" customFormat="1" x14ac:dyDescent="0.2">
      <c r="A221" s="135"/>
      <c r="B221" s="110"/>
      <c r="C221" s="6"/>
      <c r="D221" s="579"/>
      <c r="E221" s="579"/>
      <c r="F221" s="579"/>
      <c r="G221" s="230"/>
      <c r="H221" s="137"/>
      <c r="I221" s="25"/>
      <c r="J221" s="573"/>
    </row>
    <row r="222" spans="1:10" s="940" customFormat="1" x14ac:dyDescent="0.2">
      <c r="A222" s="135"/>
      <c r="B222" s="110"/>
      <c r="C222" s="6"/>
      <c r="D222" s="579"/>
      <c r="E222" s="579"/>
      <c r="F222" s="579"/>
      <c r="G222" s="230"/>
      <c r="H222" s="137"/>
      <c r="I222" s="25"/>
      <c r="J222" s="573"/>
    </row>
    <row r="223" spans="1:10" s="940" customFormat="1" x14ac:dyDescent="0.2">
      <c r="A223" s="135"/>
      <c r="B223" s="110"/>
      <c r="C223" s="6"/>
      <c r="D223" s="579"/>
      <c r="E223" s="579"/>
      <c r="F223" s="579"/>
      <c r="G223" s="230"/>
      <c r="H223" s="137"/>
      <c r="I223" s="25"/>
      <c r="J223" s="573"/>
    </row>
    <row r="224" spans="1:10" s="940" customFormat="1" x14ac:dyDescent="0.2">
      <c r="A224" s="135"/>
      <c r="B224" s="110"/>
      <c r="C224" s="6"/>
      <c r="D224" s="579"/>
      <c r="E224" s="579"/>
      <c r="F224" s="579"/>
      <c r="G224" s="230"/>
      <c r="H224" s="137"/>
      <c r="I224" s="25"/>
      <c r="J224" s="573"/>
    </row>
    <row r="225" spans="1:10" s="940" customFormat="1" x14ac:dyDescent="0.2">
      <c r="A225" s="135"/>
      <c r="B225" s="110"/>
      <c r="C225" s="6"/>
      <c r="D225" s="579"/>
      <c r="E225" s="579"/>
      <c r="F225" s="579"/>
      <c r="G225" s="230"/>
      <c r="H225" s="137"/>
      <c r="I225" s="25"/>
      <c r="J225" s="573"/>
    </row>
    <row r="226" spans="1:10" s="940" customFormat="1" x14ac:dyDescent="0.2">
      <c r="A226" s="135"/>
      <c r="B226" s="110"/>
      <c r="C226" s="6"/>
      <c r="D226" s="579"/>
      <c r="E226" s="579"/>
      <c r="F226" s="579"/>
      <c r="G226" s="230"/>
      <c r="H226" s="137"/>
      <c r="I226" s="25"/>
      <c r="J226" s="573"/>
    </row>
    <row r="227" spans="1:10" s="940" customFormat="1" x14ac:dyDescent="0.2">
      <c r="A227" s="135"/>
      <c r="B227" s="110"/>
      <c r="C227" s="6"/>
      <c r="D227" s="579"/>
      <c r="E227" s="579"/>
      <c r="F227" s="579"/>
      <c r="G227" s="230"/>
      <c r="H227" s="137"/>
      <c r="I227" s="25"/>
      <c r="J227" s="573"/>
    </row>
    <row r="228" spans="1:10" s="940" customFormat="1" x14ac:dyDescent="0.2">
      <c r="A228" s="135"/>
      <c r="B228" s="110"/>
      <c r="C228" s="6"/>
      <c r="D228" s="579"/>
      <c r="E228" s="579"/>
      <c r="F228" s="579"/>
      <c r="G228" s="230"/>
      <c r="H228" s="137"/>
      <c r="I228" s="25"/>
      <c r="J228" s="573"/>
    </row>
    <row r="229" spans="1:10" s="940" customFormat="1" x14ac:dyDescent="0.2">
      <c r="A229" s="135"/>
      <c r="B229" s="110"/>
      <c r="C229" s="6"/>
      <c r="D229" s="579"/>
      <c r="E229" s="579"/>
      <c r="F229" s="579"/>
      <c r="G229" s="230"/>
      <c r="H229" s="137"/>
      <c r="I229" s="25"/>
      <c r="J229" s="573"/>
    </row>
    <row r="230" spans="1:10" s="940" customFormat="1" x14ac:dyDescent="0.2">
      <c r="A230" s="135"/>
      <c r="B230" s="110"/>
      <c r="C230" s="6"/>
      <c r="D230" s="579"/>
      <c r="E230" s="579"/>
      <c r="F230" s="579"/>
      <c r="G230" s="230"/>
      <c r="H230" s="137"/>
      <c r="I230" s="25"/>
      <c r="J230" s="573"/>
    </row>
    <row r="231" spans="1:10" s="940" customFormat="1" x14ac:dyDescent="0.2">
      <c r="A231" s="19"/>
      <c r="B231" s="6"/>
      <c r="C231" s="6"/>
      <c r="D231" s="577"/>
      <c r="E231" s="577"/>
      <c r="F231" s="577"/>
      <c r="G231" s="179"/>
      <c r="H231" s="137"/>
      <c r="I231" s="25"/>
      <c r="J231" s="573"/>
    </row>
  </sheetData>
  <sheetProtection password="C4B9" sheet="1" objects="1" scenarios="1" formatCells="0" formatColumns="0" formatRows="0" insertColumns="0" insertRows="0" insertHyperlinks="0" deleteColumns="0" deleteRows="0" sort="0" autoFilter="0" pivotTables="0"/>
  <sortState ref="A3:BR8">
    <sortCondition ref="H3:H8"/>
  </sortState>
  <customSheetViews>
    <customSheetView guid="{B8E02330-2419-4DE6-AD01-7ACC7A5D18DD}" scale="75" topLeftCell="A171">
      <selection activeCell="A2" sqref="A2:H175"/>
      <pageMargins left="0.75" right="0.75" top="1" bottom="1" header="0.5" footer="0.5"/>
      <pageSetup orientation="portrait" r:id="rId1"/>
      <headerFooter alignWithMargins="0"/>
    </customSheetView>
  </customSheetViews>
  <mergeCells count="67">
    <mergeCell ref="B90:B94"/>
    <mergeCell ref="A90:A94"/>
    <mergeCell ref="I90:I94"/>
    <mergeCell ref="H90:H94"/>
    <mergeCell ref="A112:A113"/>
    <mergeCell ref="A1:B1"/>
    <mergeCell ref="A54:A59"/>
    <mergeCell ref="B28:B33"/>
    <mergeCell ref="I16:I21"/>
    <mergeCell ref="A22:A27"/>
    <mergeCell ref="B16:B21"/>
    <mergeCell ref="I28:I33"/>
    <mergeCell ref="I22:I27"/>
    <mergeCell ref="B22:B27"/>
    <mergeCell ref="A28:A33"/>
    <mergeCell ref="E1:H1"/>
    <mergeCell ref="H22:H27"/>
    <mergeCell ref="H28:H33"/>
    <mergeCell ref="H54:H59"/>
    <mergeCell ref="A16:A21"/>
    <mergeCell ref="I41:I47"/>
    <mergeCell ref="I60:I63"/>
    <mergeCell ref="B85:B89"/>
    <mergeCell ref="A85:A89"/>
    <mergeCell ref="I85:I89"/>
    <mergeCell ref="H85:H89"/>
    <mergeCell ref="A60:A63"/>
    <mergeCell ref="B76:B79"/>
    <mergeCell ref="B70:B75"/>
    <mergeCell ref="A70:A75"/>
    <mergeCell ref="A76:A79"/>
    <mergeCell ref="H76:H79"/>
    <mergeCell ref="I80:I84"/>
    <mergeCell ref="I76:I79"/>
    <mergeCell ref="I70:I75"/>
    <mergeCell ref="I7:I11"/>
    <mergeCell ref="A64:A69"/>
    <mergeCell ref="A7:A11"/>
    <mergeCell ref="B7:B11"/>
    <mergeCell ref="H7:H11"/>
    <mergeCell ref="H12:H15"/>
    <mergeCell ref="B48:B53"/>
    <mergeCell ref="A41:A47"/>
    <mergeCell ref="H16:H21"/>
    <mergeCell ref="H48:H53"/>
    <mergeCell ref="I64:I69"/>
    <mergeCell ref="B12:B15"/>
    <mergeCell ref="A12:A15"/>
    <mergeCell ref="B64:B69"/>
    <mergeCell ref="I34:I40"/>
    <mergeCell ref="B60:B63"/>
    <mergeCell ref="I12:I15"/>
    <mergeCell ref="A80:A84"/>
    <mergeCell ref="B80:B84"/>
    <mergeCell ref="H80:H84"/>
    <mergeCell ref="H34:H40"/>
    <mergeCell ref="H41:H47"/>
    <mergeCell ref="H60:H63"/>
    <mergeCell ref="H64:H69"/>
    <mergeCell ref="H70:H75"/>
    <mergeCell ref="A34:A40"/>
    <mergeCell ref="A48:A53"/>
    <mergeCell ref="I54:I59"/>
    <mergeCell ref="B41:B47"/>
    <mergeCell ref="B34:B40"/>
    <mergeCell ref="B54:B59"/>
    <mergeCell ref="I48:I53"/>
  </mergeCells>
  <phoneticPr fontId="12" type="noConversion"/>
  <conditionalFormatting sqref="D105 D101:D102 D95:D96 D98:D99 D9:D14 D62:D68 D70:D73 D75:D76 D78:D80 D82:D84 D7 D16:D60">
    <cfRule type="cellIs" dxfId="9" priority="1" operator="greaterThan">
      <formula>0</formula>
    </cfRule>
  </conditionalFormatting>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36"/>
  <sheetViews>
    <sheetView zoomScaleNormal="100" workbookViewId="0">
      <selection activeCell="A15" sqref="A15:A19"/>
    </sheetView>
  </sheetViews>
  <sheetFormatPr defaultColWidth="9.33203125" defaultRowHeight="16.5" x14ac:dyDescent="0.2"/>
  <cols>
    <col min="1" max="1" width="5.83203125" style="5" customWidth="1"/>
    <col min="2" max="2" width="18.83203125" style="25" customWidth="1"/>
    <col min="3" max="3" width="69.83203125" style="5" customWidth="1"/>
    <col min="4" max="4" width="6.83203125" style="577" customWidth="1"/>
    <col min="5" max="5" width="10" style="577" customWidth="1"/>
    <col min="6" max="6" width="6.83203125" style="577" customWidth="1"/>
    <col min="7" max="7" width="15" style="179" customWidth="1"/>
    <col min="8" max="8" width="14.5" style="25" customWidth="1"/>
    <col min="9" max="9" width="67.83203125" style="25" customWidth="1"/>
    <col min="10" max="10" width="9.33203125" style="130"/>
    <col min="11" max="12" width="9.33203125" style="5"/>
    <col min="13" max="13" width="49.5" style="5" customWidth="1"/>
    <col min="14" max="16384" width="9.33203125" style="5"/>
  </cols>
  <sheetData>
    <row r="1" spans="1:11" s="62" customFormat="1" ht="84" customHeight="1" thickBot="1" x14ac:dyDescent="0.25">
      <c r="A1" s="2033" t="s">
        <v>509</v>
      </c>
      <c r="B1" s="2096"/>
      <c r="C1" s="60" t="s">
        <v>875</v>
      </c>
      <c r="D1" s="72" t="s">
        <v>510</v>
      </c>
      <c r="E1" s="2083"/>
      <c r="F1" s="2084"/>
      <c r="G1" s="2084"/>
      <c r="H1" s="2085"/>
      <c r="I1" s="1411" t="s">
        <v>883</v>
      </c>
      <c r="J1" s="130"/>
    </row>
    <row r="2" spans="1:11" s="109" customFormat="1" ht="50.25" thickBot="1" x14ac:dyDescent="0.35">
      <c r="A2" s="1008" t="s">
        <v>78</v>
      </c>
      <c r="B2" s="1009" t="s">
        <v>701</v>
      </c>
      <c r="C2" s="1010" t="s">
        <v>866</v>
      </c>
      <c r="D2" s="1008"/>
      <c r="E2" s="1011"/>
      <c r="F2" s="1012"/>
      <c r="G2" s="1013" t="s">
        <v>710</v>
      </c>
      <c r="H2" s="1009" t="s">
        <v>2029</v>
      </c>
      <c r="I2" s="1009" t="s">
        <v>255</v>
      </c>
      <c r="J2" s="170"/>
    </row>
    <row r="3" spans="1:11" s="108" customFormat="1" ht="30" customHeight="1" thickBot="1" x14ac:dyDescent="0.25">
      <c r="A3" s="418" t="str">
        <f>OF!A4</f>
        <v>OF3</v>
      </c>
      <c r="B3" s="323" t="str">
        <f>OF!C4</f>
        <v>Channel Connection</v>
      </c>
      <c r="C3" s="419"/>
      <c r="D3" s="324"/>
      <c r="E3" s="325"/>
      <c r="F3" s="325"/>
      <c r="G3" s="345" t="str">
        <f>IF((ChannConn=""),"",ChannConn)</f>
        <v/>
      </c>
      <c r="H3" s="422" t="s">
        <v>845</v>
      </c>
      <c r="I3" s="1383" t="s">
        <v>851</v>
      </c>
      <c r="J3" s="171"/>
    </row>
    <row r="4" spans="1:11" s="1325" customFormat="1" ht="60" customHeight="1" thickBot="1" x14ac:dyDescent="0.25">
      <c r="A4" s="317" t="str">
        <f>OF!A24</f>
        <v>OF23</v>
      </c>
      <c r="B4" s="318" t="str">
        <f>OF!C24</f>
        <v>% of AA that is Open Water (macro scale)</v>
      </c>
      <c r="C4" s="425" t="s">
        <v>867</v>
      </c>
      <c r="D4" s="320"/>
      <c r="E4" s="321"/>
      <c r="F4" s="321"/>
      <c r="G4" s="330" t="str">
        <f>IF((OWpct=""),"", OWpct)</f>
        <v/>
      </c>
      <c r="H4" s="423" t="s">
        <v>787</v>
      </c>
      <c r="I4" s="831" t="s">
        <v>1012</v>
      </c>
      <c r="J4" s="1600"/>
      <c r="K4" s="1332"/>
    </row>
    <row r="5" spans="1:11" s="1325" customFormat="1" ht="30" customHeight="1" thickBot="1" x14ac:dyDescent="0.25">
      <c r="A5" s="317" t="str">
        <f>OF!A37</f>
        <v>OF36</v>
      </c>
      <c r="B5" s="864" t="str">
        <f>OF!C37</f>
        <v>Subzero Days</v>
      </c>
      <c r="C5" s="871" t="s">
        <v>867</v>
      </c>
      <c r="D5" s="764"/>
      <c r="E5" s="765"/>
      <c r="F5" s="765"/>
      <c r="G5" s="809" t="str">
        <f>IF((Sub0Days=""),"",Sub0Days)</f>
        <v/>
      </c>
      <c r="H5" s="872" t="s">
        <v>689</v>
      </c>
      <c r="I5" s="831" t="s">
        <v>1013</v>
      </c>
      <c r="J5" s="1600"/>
      <c r="K5" s="1192"/>
    </row>
    <row r="6" spans="1:11" s="1325" customFormat="1" ht="30" customHeight="1" thickBot="1" x14ac:dyDescent="0.25">
      <c r="A6" s="418" t="str">
        <f>OF!A50</f>
        <v>OF49</v>
      </c>
      <c r="B6" s="323" t="str">
        <f>OF!C50</f>
        <v>Wetland Vegetated Area (in hectares)</v>
      </c>
      <c r="C6" s="420"/>
      <c r="D6" s="324"/>
      <c r="E6" s="325"/>
      <c r="F6" s="325"/>
      <c r="G6" s="345" t="str">
        <f>IF((WetVegArea=""),"",WetVegArea)</f>
        <v/>
      </c>
      <c r="H6" s="351" t="s">
        <v>656</v>
      </c>
      <c r="I6" s="1383" t="s">
        <v>1014</v>
      </c>
      <c r="J6" s="1600"/>
      <c r="K6" s="1332"/>
    </row>
    <row r="7" spans="1:11" s="1007" customFormat="1" ht="66.75" thickBot="1" x14ac:dyDescent="0.35">
      <c r="A7" s="997" t="s">
        <v>78</v>
      </c>
      <c r="B7" s="1017" t="s">
        <v>709</v>
      </c>
      <c r="C7" s="999" t="s">
        <v>708</v>
      </c>
      <c r="D7" s="1000" t="s">
        <v>33</v>
      </c>
      <c r="E7" s="1018" t="s">
        <v>1131</v>
      </c>
      <c r="F7" s="1002" t="s">
        <v>1130</v>
      </c>
      <c r="G7" s="1003" t="s">
        <v>710</v>
      </c>
      <c r="H7" s="1019" t="s">
        <v>2030</v>
      </c>
      <c r="I7" s="1005" t="s">
        <v>917</v>
      </c>
      <c r="J7" s="1006"/>
    </row>
    <row r="8" spans="1:11" ht="21" customHeight="1" thickBot="1" x14ac:dyDescent="0.25">
      <c r="A8" s="1979" t="str">
        <f>F!A5</f>
        <v>F1</v>
      </c>
      <c r="B8" s="1984" t="str">
        <f>F!B5</f>
        <v>Wetland Type - Predominant</v>
      </c>
      <c r="C8" s="452" t="str">
        <f>F!C5</f>
        <v>Follow the key below and mark the ONE row that best describes MOST of the AA:</v>
      </c>
      <c r="D8" s="777"/>
      <c r="E8" s="376"/>
      <c r="F8" s="376"/>
      <c r="G8" s="225">
        <f>MAX(F9:F14)/MAX(E9:E14)</f>
        <v>0</v>
      </c>
      <c r="H8" s="2000" t="s">
        <v>1715</v>
      </c>
      <c r="I8" s="1984" t="s">
        <v>2428</v>
      </c>
    </row>
    <row r="9" spans="1:11" ht="42" customHeight="1" thickBot="1" x14ac:dyDescent="0.25">
      <c r="A9" s="1980"/>
      <c r="B9" s="1985"/>
      <c r="C9" s="1440" t="str">
        <f>F!C6</f>
        <v>A. Moss and/or lichen cover more than 25% of the ground. Substrate is mostly undecomposed peat. Choose between A1 and A2 and mark the choice with a 1 in their adjoining column. Otherwise go to B below.</v>
      </c>
      <c r="D9" s="1441"/>
      <c r="E9" s="775"/>
      <c r="F9" s="775"/>
      <c r="G9" s="775"/>
      <c r="H9" s="1989"/>
      <c r="I9" s="1985"/>
    </row>
    <row r="10" spans="1:11" ht="89.25" x14ac:dyDescent="0.2">
      <c r="A10" s="1980"/>
      <c r="B10" s="1985"/>
      <c r="C10" s="924"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0" s="186">
        <f>F!D7</f>
        <v>0</v>
      </c>
      <c r="E10" s="722">
        <v>2</v>
      </c>
      <c r="F10" s="722">
        <f t="shared" ref="F10:F14" si="0">D10*E10</f>
        <v>0</v>
      </c>
      <c r="G10" s="775"/>
      <c r="H10" s="1989"/>
      <c r="I10" s="1985"/>
    </row>
    <row r="11" spans="1:11" ht="64.5" thickBot="1" x14ac:dyDescent="0.25">
      <c r="A11" s="1980"/>
      <c r="B11" s="1985"/>
      <c r="C11" s="447"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1" s="186">
        <f>F!D8</f>
        <v>0</v>
      </c>
      <c r="E11" s="722">
        <v>2</v>
      </c>
      <c r="F11" s="722">
        <f t="shared" si="0"/>
        <v>0</v>
      </c>
      <c r="G11" s="775"/>
      <c r="H11" s="1989"/>
      <c r="I11" s="1985"/>
    </row>
    <row r="12" spans="1:11" ht="42.75" customHeight="1" thickBot="1" x14ac:dyDescent="0.25">
      <c r="A12" s="1980"/>
      <c r="B12" s="1985"/>
      <c r="C12" s="1440" t="str">
        <f>F!C9</f>
        <v>B. Moss and/or lichen cover less than 25% of the ground. Soil is mineral or decomposed organic (muck). Choose between B1 and B2 and mark the choice with a 1 in their adjoining column:</v>
      </c>
      <c r="D12" s="1441"/>
      <c r="E12" s="775"/>
      <c r="F12" s="775"/>
      <c r="G12" s="775"/>
      <c r="H12" s="1989"/>
      <c r="I12" s="1985"/>
    </row>
    <row r="13" spans="1:11" ht="51" x14ac:dyDescent="0.2">
      <c r="A13" s="1980"/>
      <c r="B13" s="1985"/>
      <c r="C13" s="924"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3" s="186">
        <f>F!D10</f>
        <v>0</v>
      </c>
      <c r="E13" s="722">
        <v>1</v>
      </c>
      <c r="F13" s="722">
        <f t="shared" si="0"/>
        <v>0</v>
      </c>
      <c r="G13" s="775"/>
      <c r="H13" s="1989"/>
      <c r="I13" s="1985"/>
    </row>
    <row r="14" spans="1:11" ht="77.25" thickBot="1" x14ac:dyDescent="0.25">
      <c r="A14" s="2021"/>
      <c r="B14" s="2005"/>
      <c r="C14" s="534"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4" s="1442">
        <f>F!D11</f>
        <v>0</v>
      </c>
      <c r="E14" s="244">
        <v>1</v>
      </c>
      <c r="F14" s="244">
        <f t="shared" si="0"/>
        <v>0</v>
      </c>
      <c r="G14" s="258"/>
      <c r="H14" s="1990"/>
      <c r="I14" s="2005"/>
    </row>
    <row r="15" spans="1:11" ht="39" thickBot="1" x14ac:dyDescent="0.25">
      <c r="A15" s="2035" t="str">
        <f>F!A63</f>
        <v>F11</v>
      </c>
      <c r="B15" s="1989" t="str">
        <f>F!B63</f>
        <v>% Bare Ground &amp; Thatch</v>
      </c>
      <c r="C15" s="1391" t="str">
        <f>F!C63</f>
        <v>Consider the parts of the AA that lack surface water at the driest time of the growing season.  Viewed from directly above the ground layer, the predominant condition in those areas at that time is:</v>
      </c>
      <c r="D15" s="437"/>
      <c r="E15" s="239"/>
      <c r="F15" s="259"/>
      <c r="G15" s="219">
        <f>MAX(F16:F19)/MAX(E16:E19)</f>
        <v>0</v>
      </c>
      <c r="H15" s="1989" t="s">
        <v>216</v>
      </c>
      <c r="I15" s="1911" t="s">
        <v>261</v>
      </c>
    </row>
    <row r="16" spans="1:11" ht="51" x14ac:dyDescent="0.2">
      <c r="A16" s="2035"/>
      <c r="B16" s="1989"/>
      <c r="C16" s="407" t="str">
        <f>F!C64</f>
        <v>Little or no (&lt;5%) bare ground is visible between erect stems or under canopy anywhere in the vegetated AA. Ground is extensively blanketed by dense thatch, moss, lichens, graminoids with great stem densities, or plants with ground-hugging foliage. </v>
      </c>
      <c r="D16" s="443">
        <f>F!D64</f>
        <v>0</v>
      </c>
      <c r="E16" s="241">
        <v>3</v>
      </c>
      <c r="F16" s="241">
        <f>D16*E16</f>
        <v>0</v>
      </c>
      <c r="G16" s="202"/>
      <c r="H16" s="1989"/>
      <c r="I16" s="1911"/>
    </row>
    <row r="17" spans="1:9" ht="27" customHeight="1" x14ac:dyDescent="0.2">
      <c r="A17" s="2035"/>
      <c r="B17" s="1989"/>
      <c r="C17" s="328" t="str">
        <f>F!C65</f>
        <v>Slightly bare ground (5-20% bare between plants) is visible in places, but those areas comprise less than 5% of the unflooded parts of the AA.</v>
      </c>
      <c r="D17" s="40">
        <f>F!D65</f>
        <v>0</v>
      </c>
      <c r="E17" s="241">
        <v>2</v>
      </c>
      <c r="F17" s="241">
        <f>D17*E17</f>
        <v>0</v>
      </c>
      <c r="G17" s="257"/>
      <c r="H17" s="1989"/>
      <c r="I17" s="1911"/>
    </row>
    <row r="18" spans="1:9" ht="27" customHeight="1" x14ac:dyDescent="0.2">
      <c r="A18" s="2035"/>
      <c r="B18" s="1989"/>
      <c r="C18" s="328" t="str">
        <f>F!C66</f>
        <v>Much bare ground (20-50% bare between plants) is visible in places, and those areas comprise more than 5% of the unflooded parts of the AA. </v>
      </c>
      <c r="D18" s="40">
        <f>F!D66</f>
        <v>0</v>
      </c>
      <c r="E18" s="241">
        <v>1</v>
      </c>
      <c r="F18" s="241">
        <f>D18*E18</f>
        <v>0</v>
      </c>
      <c r="G18" s="257"/>
      <c r="H18" s="1989"/>
      <c r="I18" s="1911"/>
    </row>
    <row r="19" spans="1:9" ht="15" customHeight="1" thickBot="1" x14ac:dyDescent="0.25">
      <c r="A19" s="2035"/>
      <c r="B19" s="1989"/>
      <c r="C19" s="366" t="str">
        <f>F!C67</f>
        <v>Other conditions.</v>
      </c>
      <c r="D19" s="356">
        <f>F!D67</f>
        <v>0</v>
      </c>
      <c r="E19" s="380">
        <v>0</v>
      </c>
      <c r="F19" s="380">
        <f>D19*E19</f>
        <v>0</v>
      </c>
      <c r="G19" s="433"/>
      <c r="H19" s="1989"/>
      <c r="I19" s="1911"/>
    </row>
    <row r="20" spans="1:9" ht="60" customHeight="1" thickBot="1" x14ac:dyDescent="0.25">
      <c r="A20" s="2036" t="str">
        <f>F!A69</f>
        <v>F12</v>
      </c>
      <c r="B20" s="2000" t="str">
        <f>F!B69</f>
        <v>Ground Irregularity</v>
      </c>
      <c r="C20" s="104"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20" s="372"/>
      <c r="E20" s="376"/>
      <c r="F20" s="262"/>
      <c r="G20" s="225">
        <f>MAX(F21:F23)/MAX(E21:E23)</f>
        <v>0</v>
      </c>
      <c r="H20" s="2000" t="s">
        <v>217</v>
      </c>
      <c r="I20" s="1867" t="s">
        <v>52</v>
      </c>
    </row>
    <row r="21" spans="1:9" ht="25.5" x14ac:dyDescent="0.2">
      <c r="A21" s="2035"/>
      <c r="B21" s="1989"/>
      <c r="C21" s="407" t="str">
        <f>F!C70</f>
        <v xml:space="preserve">Few or none (minimal microtopography; &lt;1% of the land has such features, or entire site is always water-covered). </v>
      </c>
      <c r="D21" s="359">
        <f>F!D70</f>
        <v>0</v>
      </c>
      <c r="E21" s="377">
        <v>0</v>
      </c>
      <c r="F21" s="377">
        <f>D21*E21</f>
        <v>0</v>
      </c>
      <c r="G21" s="202"/>
      <c r="H21" s="1989"/>
      <c r="I21" s="1911"/>
    </row>
    <row r="22" spans="1:9" ht="15" customHeight="1" x14ac:dyDescent="0.2">
      <c r="A22" s="2035"/>
      <c r="B22" s="1989"/>
      <c r="C22" s="328" t="str">
        <f>F!C71</f>
        <v>Intermediate.</v>
      </c>
      <c r="D22" s="359">
        <f>F!D71</f>
        <v>0</v>
      </c>
      <c r="E22" s="377">
        <v>1</v>
      </c>
      <c r="F22" s="377">
        <f>D22*E22</f>
        <v>0</v>
      </c>
      <c r="G22" s="257"/>
      <c r="H22" s="1989"/>
      <c r="I22" s="1911"/>
    </row>
    <row r="23" spans="1:9" ht="15" customHeight="1" thickBot="1" x14ac:dyDescent="0.25">
      <c r="A23" s="2037"/>
      <c r="B23" s="1990"/>
      <c r="C23" s="329" t="str">
        <f>F!C72</f>
        <v>Several (extensive micro-topography).</v>
      </c>
      <c r="D23" s="81">
        <f>F!D72</f>
        <v>0</v>
      </c>
      <c r="E23" s="244">
        <v>2</v>
      </c>
      <c r="F23" s="244">
        <f>D23*E23</f>
        <v>0</v>
      </c>
      <c r="G23" s="258"/>
      <c r="H23" s="1990"/>
      <c r="I23" s="1978"/>
    </row>
    <row r="24" spans="1:9" ht="45" customHeight="1" thickBot="1" x14ac:dyDescent="0.25">
      <c r="A24" s="2038" t="str">
        <f>F!A77</f>
        <v>F14</v>
      </c>
      <c r="B24" s="1989" t="str">
        <f>F!B77</f>
        <v>Soil Texture</v>
      </c>
      <c r="C24" s="877" t="str">
        <f>F!C77</f>
        <v>In parts of the AA that lack persistent water, the texture of soil in the uppermost layer is mostly:  [To determine this, use a trowel to check in at least 3 widely spaced locations, and use the soil texture key in Appendix A of the Manual].</v>
      </c>
      <c r="D24" s="238"/>
      <c r="E24" s="239"/>
      <c r="F24" s="259"/>
      <c r="G24" s="219">
        <f>MAX(F25:F30)/MAX(E25:E30)</f>
        <v>0</v>
      </c>
      <c r="H24" s="1989" t="s">
        <v>218</v>
      </c>
      <c r="I24" s="1911" t="s">
        <v>564</v>
      </c>
    </row>
    <row r="25" spans="1:9" ht="15" customHeight="1" x14ac:dyDescent="0.2">
      <c r="A25" s="2038"/>
      <c r="B25" s="1989"/>
      <c r="C25" s="426" t="str">
        <f>F!C78</f>
        <v>Loamy: includes loam, sandy loam.</v>
      </c>
      <c r="D25" s="91">
        <f>F!D78</f>
        <v>0</v>
      </c>
      <c r="E25" s="241">
        <v>2</v>
      </c>
      <c r="F25" s="241">
        <f t="shared" ref="F25:F30" si="1">D25*E25</f>
        <v>0</v>
      </c>
      <c r="G25" s="202"/>
      <c r="H25" s="1989"/>
      <c r="I25" s="1911"/>
    </row>
    <row r="26" spans="1:9" ht="27" customHeight="1" x14ac:dyDescent="0.2">
      <c r="A26" s="2038"/>
      <c r="B26" s="1989"/>
      <c r="C26" s="362" t="str">
        <f>F!C79</f>
        <v>Fines: includes silt, glacial flour, clay, clay loam, silty clay, silty clay loam, sandy clay, sandy clay loam.</v>
      </c>
      <c r="D26" s="91">
        <f>F!D79</f>
        <v>0</v>
      </c>
      <c r="E26" s="241">
        <v>3</v>
      </c>
      <c r="F26" s="241">
        <f t="shared" si="1"/>
        <v>0</v>
      </c>
      <c r="G26" s="257"/>
      <c r="H26" s="1989"/>
      <c r="I26" s="1911"/>
    </row>
    <row r="27" spans="1:9" ht="15" customHeight="1" x14ac:dyDescent="0.2">
      <c r="A27" s="2038"/>
      <c r="B27" s="1989"/>
      <c r="C27" s="362" t="str">
        <f>F!C80</f>
        <v>Peat, present to 40 cm depth or greater.</v>
      </c>
      <c r="D27" s="91">
        <f>F!D80</f>
        <v>0</v>
      </c>
      <c r="E27" s="241">
        <v>5</v>
      </c>
      <c r="F27" s="241">
        <f t="shared" si="1"/>
        <v>0</v>
      </c>
      <c r="G27" s="257"/>
      <c r="H27" s="1989"/>
      <c r="I27" s="1911"/>
    </row>
    <row r="28" spans="1:9" ht="15" customHeight="1" x14ac:dyDescent="0.2">
      <c r="A28" s="2038"/>
      <c r="B28" s="1989"/>
      <c r="C28" s="362" t="str">
        <f>F!C81</f>
        <v>Peat, but becomes mineral before reaching 40 cm depth.</v>
      </c>
      <c r="D28" s="91">
        <f>F!D81</f>
        <v>0</v>
      </c>
      <c r="E28" s="380">
        <v>4</v>
      </c>
      <c r="F28" s="380">
        <f t="shared" si="1"/>
        <v>0</v>
      </c>
      <c r="G28" s="721"/>
      <c r="H28" s="1989"/>
      <c r="I28" s="1911"/>
    </row>
    <row r="29" spans="1:9" ht="15" customHeight="1" x14ac:dyDescent="0.2">
      <c r="A29" s="2038"/>
      <c r="B29" s="1989"/>
      <c r="C29" s="362" t="str">
        <f>F!C82</f>
        <v>Organic or organic muck, but becomes mineral before reaching 40 cm depth.</v>
      </c>
      <c r="D29" s="91">
        <f>F!D82</f>
        <v>0</v>
      </c>
      <c r="E29" s="380">
        <v>4</v>
      </c>
      <c r="F29" s="380">
        <f t="shared" si="1"/>
        <v>0</v>
      </c>
      <c r="G29" s="721"/>
      <c r="H29" s="1989"/>
      <c r="I29" s="1911"/>
    </row>
    <row r="30" spans="1:9" ht="27" customHeight="1" thickBot="1" x14ac:dyDescent="0.25">
      <c r="A30" s="2038"/>
      <c r="B30" s="1989"/>
      <c r="C30" s="361" t="str">
        <f>F!C83</f>
        <v>Coarse: includes sand, loamy sand, gravel, cobble, stones, boulders, fluvents, fluvaquents, riverwash.</v>
      </c>
      <c r="D30" s="101">
        <f>F!D83</f>
        <v>0</v>
      </c>
      <c r="E30" s="242">
        <v>0</v>
      </c>
      <c r="F30" s="242">
        <f t="shared" si="1"/>
        <v>0</v>
      </c>
      <c r="G30" s="433"/>
      <c r="H30" s="1989"/>
      <c r="I30" s="1911"/>
    </row>
    <row r="31" spans="1:9" ht="39" thickBot="1" x14ac:dyDescent="0.25">
      <c r="A31" s="1979" t="str">
        <f>F!A121</f>
        <v>F22</v>
      </c>
      <c r="B31" s="1984" t="str">
        <f>F!B121</f>
        <v>% Never With Surface Water</v>
      </c>
      <c r="C31" s="1443" t="str">
        <f>F!C121</f>
        <v>The percentage of the AA that never contains surface water during an average year (that is, except perhaps for a few hours after snowmelt or rainstorms), but which is still a wetland, is:</v>
      </c>
      <c r="D31" s="282"/>
      <c r="E31" s="282"/>
      <c r="F31" s="256"/>
      <c r="G31" s="225">
        <f>MAX(F32:F36)/MAX(E32:E36)</f>
        <v>0</v>
      </c>
      <c r="H31" s="2000" t="s">
        <v>467</v>
      </c>
      <c r="I31" s="1867" t="s">
        <v>283</v>
      </c>
    </row>
    <row r="32" spans="1:9" ht="42" customHeight="1" x14ac:dyDescent="0.2">
      <c r="A32" s="1980"/>
      <c r="B32" s="1985"/>
      <c r="C32" s="1444" t="str">
        <f>F!C122</f>
        <v>&lt;0.01 hectare (about 10 m on a side) and &lt;1% of the AA never has surface water.  In other words, all or nearly all of the AA is covered by water permanently or at least seasonally.</v>
      </c>
      <c r="D32" s="778">
        <f>F!D122</f>
        <v>0</v>
      </c>
      <c r="E32" s="734">
        <v>0</v>
      </c>
      <c r="F32" s="722">
        <f>D32*E32</f>
        <v>0</v>
      </c>
      <c r="G32" s="775"/>
      <c r="H32" s="1989"/>
      <c r="I32" s="1911"/>
    </row>
    <row r="33" spans="1:9" ht="15" customHeight="1" x14ac:dyDescent="0.2">
      <c r="A33" s="1980"/>
      <c r="B33" s="1985"/>
      <c r="C33" s="1445" t="str">
        <f>F!C123</f>
        <v>1-25% of the AA never contains surface water.</v>
      </c>
      <c r="D33" s="778">
        <f>F!D123</f>
        <v>0</v>
      </c>
      <c r="E33" s="734">
        <v>1</v>
      </c>
      <c r="F33" s="722">
        <f>D33*E33</f>
        <v>0</v>
      </c>
      <c r="G33" s="775"/>
      <c r="H33" s="1989"/>
      <c r="I33" s="1911"/>
    </row>
    <row r="34" spans="1:9" ht="15" customHeight="1" x14ac:dyDescent="0.2">
      <c r="A34" s="1980"/>
      <c r="B34" s="1985"/>
      <c r="C34" s="1445" t="str">
        <f>F!C124</f>
        <v>25-50% of the AA never contains surface water.</v>
      </c>
      <c r="D34" s="778">
        <f>F!D124</f>
        <v>0</v>
      </c>
      <c r="E34" s="734">
        <v>2</v>
      </c>
      <c r="F34" s="722">
        <f>D34*E34</f>
        <v>0</v>
      </c>
      <c r="G34" s="775"/>
      <c r="H34" s="1989"/>
      <c r="I34" s="1911"/>
    </row>
    <row r="35" spans="1:9" ht="15" customHeight="1" x14ac:dyDescent="0.2">
      <c r="A35" s="1980"/>
      <c r="B35" s="1985"/>
      <c r="C35" s="1445" t="str">
        <f>F!C125</f>
        <v>50-99% of the AA never contains surface water.</v>
      </c>
      <c r="D35" s="778">
        <f>F!D125</f>
        <v>0</v>
      </c>
      <c r="E35" s="734">
        <v>3</v>
      </c>
      <c r="F35" s="722">
        <f>D35*E35</f>
        <v>0</v>
      </c>
      <c r="G35" s="775"/>
      <c r="H35" s="1989"/>
      <c r="I35" s="1911"/>
    </row>
    <row r="36" spans="1:9" ht="41.25" customHeight="1" thickBot="1" x14ac:dyDescent="0.25">
      <c r="A36" s="1980"/>
      <c r="B36" s="2005"/>
      <c r="C36" s="1446" t="str">
        <f>F!C126</f>
        <v>&gt;99% of the AA never contains surface water, except perhaps for water flowing in channels and/or in pools that occupy &lt;1% of the AA. SKIP to F48 (Channel Connection &amp; Outflow Duration).</v>
      </c>
      <c r="D36" s="778">
        <f>F!D126</f>
        <v>0</v>
      </c>
      <c r="E36" s="272">
        <v>4</v>
      </c>
      <c r="F36" s="244">
        <f>D36*E36</f>
        <v>0</v>
      </c>
      <c r="G36" s="258"/>
      <c r="H36" s="1990"/>
      <c r="I36" s="1911"/>
    </row>
    <row r="37" spans="1:9" ht="36" customHeight="1" thickBot="1" x14ac:dyDescent="0.25">
      <c r="A37" s="2036" t="str">
        <f>F!A127</f>
        <v>F23</v>
      </c>
      <c r="B37" s="2000" t="str">
        <f>F!B127</f>
        <v>% with Persistent Surface Water</v>
      </c>
      <c r="C37" s="104" t="str">
        <f>F!C127</f>
        <v>The percentage of the AA that has surface water (either ponded or flowing, either open or obscured by vegetation) during all of the growing season during most years is:</v>
      </c>
      <c r="D37" s="777"/>
      <c r="E37" s="376"/>
      <c r="F37" s="262"/>
      <c r="G37" s="225">
        <f>IF((AllSat1&gt;0),"",MAX(F38:F43)/MAX(E38:E43))</f>
        <v>0</v>
      </c>
      <c r="H37" s="2000" t="s">
        <v>209</v>
      </c>
      <c r="I37" s="1867" t="s">
        <v>1015</v>
      </c>
    </row>
    <row r="38" spans="1:9" ht="15" customHeight="1" x14ac:dyDescent="0.2">
      <c r="A38" s="2035"/>
      <c r="B38" s="1989"/>
      <c r="C38" s="995" t="str">
        <f>F!C128</f>
        <v>&lt;0.01 hectare and &lt;1% of the AA.  SKIP to F27 (% Flooded Only Seasonally).</v>
      </c>
      <c r="D38" s="443">
        <f>F!D128</f>
        <v>0</v>
      </c>
      <c r="E38" s="239">
        <v>5</v>
      </c>
      <c r="F38" s="722">
        <f t="shared" ref="F38:F43" si="2">D38*E38</f>
        <v>0</v>
      </c>
      <c r="G38" s="202"/>
      <c r="H38" s="1989"/>
      <c r="I38" s="1911"/>
    </row>
    <row r="39" spans="1:9" ht="15" customHeight="1" x14ac:dyDescent="0.2">
      <c r="A39" s="2035"/>
      <c r="B39" s="1989"/>
      <c r="C39" s="996" t="str">
        <f>F!C129</f>
        <v>1-5% of the AA.</v>
      </c>
      <c r="D39" s="737">
        <f>F!D129</f>
        <v>0</v>
      </c>
      <c r="E39" s="239">
        <v>4</v>
      </c>
      <c r="F39" s="722">
        <f t="shared" si="2"/>
        <v>0</v>
      </c>
      <c r="G39" s="202"/>
      <c r="H39" s="1989"/>
      <c r="I39" s="1911"/>
    </row>
    <row r="40" spans="1:9" ht="15" customHeight="1" x14ac:dyDescent="0.2">
      <c r="A40" s="2035"/>
      <c r="B40" s="1989"/>
      <c r="C40" s="996" t="str">
        <f>F!C130</f>
        <v>5-25% of the AA.</v>
      </c>
      <c r="D40" s="737">
        <f>F!D130</f>
        <v>0</v>
      </c>
      <c r="E40" s="722">
        <v>4</v>
      </c>
      <c r="F40" s="722">
        <f t="shared" si="2"/>
        <v>0</v>
      </c>
      <c r="G40" s="202"/>
      <c r="H40" s="1989"/>
      <c r="I40" s="1911"/>
    </row>
    <row r="41" spans="1:9" ht="15" customHeight="1" x14ac:dyDescent="0.2">
      <c r="A41" s="2035"/>
      <c r="B41" s="1989"/>
      <c r="C41" s="996" t="str">
        <f>F!C131</f>
        <v>25-50% of the AA.</v>
      </c>
      <c r="D41" s="737">
        <f>F!D131</f>
        <v>0</v>
      </c>
      <c r="E41" s="722">
        <v>3</v>
      </c>
      <c r="F41" s="722">
        <f t="shared" si="2"/>
        <v>0</v>
      </c>
      <c r="G41" s="775"/>
      <c r="H41" s="1989"/>
      <c r="I41" s="1911"/>
    </row>
    <row r="42" spans="1:9" ht="15" customHeight="1" x14ac:dyDescent="0.2">
      <c r="A42" s="2035"/>
      <c r="B42" s="1989"/>
      <c r="C42" s="996" t="str">
        <f>F!C132</f>
        <v>50-95% of the AA.</v>
      </c>
      <c r="D42" s="737">
        <f>F!D132</f>
        <v>0</v>
      </c>
      <c r="E42" s="722">
        <v>2</v>
      </c>
      <c r="F42" s="722">
        <f t="shared" si="2"/>
        <v>0</v>
      </c>
      <c r="G42" s="775"/>
      <c r="H42" s="1989"/>
      <c r="I42" s="1911"/>
    </row>
    <row r="43" spans="1:9" ht="21" customHeight="1" thickBot="1" x14ac:dyDescent="0.25">
      <c r="A43" s="2037"/>
      <c r="B43" s="1990"/>
      <c r="C43" s="329" t="str">
        <f>F!C133</f>
        <v>&gt;95% of the AA.</v>
      </c>
      <c r="D43" s="81">
        <f>F!D133</f>
        <v>0</v>
      </c>
      <c r="E43" s="244">
        <v>1</v>
      </c>
      <c r="F43" s="244">
        <f t="shared" si="2"/>
        <v>0</v>
      </c>
      <c r="G43" s="258"/>
      <c r="H43" s="1990"/>
      <c r="I43" s="1978"/>
    </row>
    <row r="44" spans="1:9" ht="60" customHeight="1" thickBot="1" x14ac:dyDescent="0.25">
      <c r="A44" s="462" t="str">
        <f>F!A141</f>
        <v>F26</v>
      </c>
      <c r="B44" s="333" t="str">
        <f>F!B141</f>
        <v>Lacustrine Wetland</v>
      </c>
      <c r="C44" s="1447" t="str">
        <f>F!C141</f>
        <v>The AA borders a body of ponded open water whose size -- not counting the vegetated AA -- exceeds 8 hectares (about 300 x 300 m) during most of the growing season.  Enter "1" if true, "0" if false.</v>
      </c>
      <c r="D44" s="1448">
        <f>F!D141</f>
        <v>0</v>
      </c>
      <c r="E44" s="269"/>
      <c r="F44" s="270"/>
      <c r="G44" s="225">
        <f>IF((AllSat1&gt;D298),"",IF((NoPersis=1),"",D44))</f>
        <v>0</v>
      </c>
      <c r="H44" s="77" t="s">
        <v>208</v>
      </c>
      <c r="I44" s="791" t="s">
        <v>1016</v>
      </c>
    </row>
    <row r="45" spans="1:9" ht="39" customHeight="1" thickBot="1" x14ac:dyDescent="0.25">
      <c r="A45" s="2052" t="str">
        <f>F!A148</f>
        <v>F28</v>
      </c>
      <c r="B45" s="1989" t="str">
        <f>F!B148</f>
        <v>Annual Water Fluctuation Range</v>
      </c>
      <c r="C45" s="1391" t="str">
        <f>F!C148</f>
        <v>The annual fluctuation in surface water level within most of the parts of the AA that contain surface water is:</v>
      </c>
      <c r="D45" s="238"/>
      <c r="E45" s="239"/>
      <c r="F45" s="259"/>
      <c r="G45" s="219">
        <f>IF((AllSat1&gt;0),"",IF((NoSeasonal=1),"",MAX(F46:F50)/MAX(E46:E50)))</f>
        <v>0</v>
      </c>
      <c r="H45" s="1989" t="s">
        <v>210</v>
      </c>
      <c r="I45" s="1911" t="s">
        <v>1017</v>
      </c>
    </row>
    <row r="46" spans="1:9" ht="18" customHeight="1" x14ac:dyDescent="0.2">
      <c r="A46" s="2052"/>
      <c r="B46" s="1989"/>
      <c r="C46" s="407" t="str">
        <f>F!C149</f>
        <v xml:space="preserve">&lt;10 cm change (stable or nearly so) </v>
      </c>
      <c r="D46" s="443">
        <f>F!D149</f>
        <v>0</v>
      </c>
      <c r="E46" s="241">
        <v>5</v>
      </c>
      <c r="F46" s="241">
        <f>D46*E46</f>
        <v>0</v>
      </c>
      <c r="G46" s="202"/>
      <c r="H46" s="1989"/>
      <c r="I46" s="1911"/>
    </row>
    <row r="47" spans="1:9" ht="18" customHeight="1" x14ac:dyDescent="0.2">
      <c r="A47" s="2052"/>
      <c r="B47" s="1989"/>
      <c r="C47" s="328" t="str">
        <f>F!C150</f>
        <v>10 cm - 50 cm change</v>
      </c>
      <c r="D47" s="40">
        <f>F!D150</f>
        <v>0</v>
      </c>
      <c r="E47" s="260">
        <v>4</v>
      </c>
      <c r="F47" s="241">
        <f>D47*E47</f>
        <v>0</v>
      </c>
      <c r="G47" s="257"/>
      <c r="H47" s="1989"/>
      <c r="I47" s="1911"/>
    </row>
    <row r="48" spans="1:9" ht="18" customHeight="1" x14ac:dyDescent="0.2">
      <c r="A48" s="2052"/>
      <c r="B48" s="1989"/>
      <c r="C48" s="328" t="str">
        <f>F!C151</f>
        <v>0.5 - 1 m change</v>
      </c>
      <c r="D48" s="40">
        <f>F!D151</f>
        <v>0</v>
      </c>
      <c r="E48" s="779">
        <v>3</v>
      </c>
      <c r="F48" s="241">
        <f>D48*E48</f>
        <v>0</v>
      </c>
      <c r="G48" s="775"/>
      <c r="H48" s="1989"/>
      <c r="I48" s="1911"/>
    </row>
    <row r="49" spans="1:10" ht="18" customHeight="1" x14ac:dyDescent="0.2">
      <c r="A49" s="2052"/>
      <c r="B49" s="1989"/>
      <c r="C49" s="328" t="str">
        <f>F!C152</f>
        <v>1-2 m change</v>
      </c>
      <c r="D49" s="40">
        <f>F!D152</f>
        <v>0</v>
      </c>
      <c r="E49" s="241">
        <v>2</v>
      </c>
      <c r="F49" s="241">
        <f>D49*E49</f>
        <v>0</v>
      </c>
      <c r="G49" s="257"/>
      <c r="H49" s="1989"/>
      <c r="I49" s="1911"/>
    </row>
    <row r="50" spans="1:10" ht="18" customHeight="1" thickBot="1" x14ac:dyDescent="0.25">
      <c r="A50" s="2052"/>
      <c r="B50" s="1989"/>
      <c r="C50" s="366" t="str">
        <f>F!C153</f>
        <v>&gt;2 m change</v>
      </c>
      <c r="D50" s="22">
        <f>F!D153</f>
        <v>0</v>
      </c>
      <c r="E50" s="242">
        <v>1</v>
      </c>
      <c r="F50" s="242">
        <f>D50*E50</f>
        <v>0</v>
      </c>
      <c r="G50" s="433"/>
      <c r="H50" s="1989"/>
      <c r="I50" s="1911"/>
    </row>
    <row r="51" spans="1:10" ht="51.75" thickBot="1" x14ac:dyDescent="0.25">
      <c r="A51" s="2103" t="str">
        <f>F!A155</f>
        <v>F29</v>
      </c>
      <c r="B51" s="2000" t="str">
        <f>F!B155</f>
        <v>Predominant Depth Class</v>
      </c>
      <c r="C51" s="104"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51" s="372"/>
      <c r="E51" s="376"/>
      <c r="F51" s="262"/>
      <c r="G51" s="225">
        <f>IF((AllSat1&gt;0),"", IF((SmallAA=1),"", MAX(F52:F56)/MAX(E52:E56)))</f>
        <v>0</v>
      </c>
      <c r="H51" s="2000" t="s">
        <v>211</v>
      </c>
      <c r="I51" s="1867" t="s">
        <v>1018</v>
      </c>
    </row>
    <row r="52" spans="1:10" ht="15" customHeight="1" x14ac:dyDescent="0.2">
      <c r="A52" s="2104"/>
      <c r="B52" s="1989"/>
      <c r="C52" s="407" t="str">
        <f>F!C156</f>
        <v>&lt;10 cm deep (but &gt;0).</v>
      </c>
      <c r="D52" s="359">
        <f>F!D156</f>
        <v>0</v>
      </c>
      <c r="E52" s="377">
        <v>1</v>
      </c>
      <c r="F52" s="377">
        <f>D52*E52</f>
        <v>0</v>
      </c>
      <c r="G52" s="202"/>
      <c r="H52" s="1989"/>
      <c r="I52" s="1911"/>
    </row>
    <row r="53" spans="1:10" ht="15" customHeight="1" x14ac:dyDescent="0.2">
      <c r="A53" s="2104"/>
      <c r="B53" s="1989"/>
      <c r="C53" s="328" t="str">
        <f>F!C157</f>
        <v>10 - 50 cm deep.</v>
      </c>
      <c r="D53" s="359">
        <f>F!D157</f>
        <v>0</v>
      </c>
      <c r="E53" s="377">
        <v>2</v>
      </c>
      <c r="F53" s="377">
        <f>D53*E53</f>
        <v>0</v>
      </c>
      <c r="G53" s="257"/>
      <c r="H53" s="1989"/>
      <c r="I53" s="1911"/>
    </row>
    <row r="54" spans="1:10" ht="15" customHeight="1" x14ac:dyDescent="0.2">
      <c r="A54" s="2104"/>
      <c r="B54" s="1989"/>
      <c r="C54" s="328" t="str">
        <f>F!C158</f>
        <v>0.5 - 1 m deep.</v>
      </c>
      <c r="D54" s="359">
        <f>F!D158</f>
        <v>0</v>
      </c>
      <c r="E54" s="377">
        <v>5</v>
      </c>
      <c r="F54" s="377">
        <f>D54*E54</f>
        <v>0</v>
      </c>
      <c r="G54" s="257"/>
      <c r="H54" s="1989"/>
      <c r="I54" s="1911"/>
    </row>
    <row r="55" spans="1:10" ht="15" customHeight="1" x14ac:dyDescent="0.2">
      <c r="A55" s="2104"/>
      <c r="B55" s="1989"/>
      <c r="C55" s="328" t="str">
        <f>F!C159</f>
        <v>1 - 2 m deep.</v>
      </c>
      <c r="D55" s="359">
        <f>F!D159</f>
        <v>0</v>
      </c>
      <c r="E55" s="377">
        <v>4</v>
      </c>
      <c r="F55" s="377">
        <f>D55*E55</f>
        <v>0</v>
      </c>
      <c r="G55" s="257"/>
      <c r="H55" s="1989"/>
      <c r="I55" s="1911"/>
    </row>
    <row r="56" spans="1:10" ht="15" customHeight="1" thickBot="1" x14ac:dyDescent="0.25">
      <c r="A56" s="2105"/>
      <c r="B56" s="1990"/>
      <c r="C56" s="329" t="str">
        <f>F!C160</f>
        <v>&gt;2 m deep.  True for many fringe wetlands.</v>
      </c>
      <c r="D56" s="81">
        <f>F!D160</f>
        <v>0</v>
      </c>
      <c r="E56" s="244">
        <v>3</v>
      </c>
      <c r="F56" s="244">
        <f>D56*E56</f>
        <v>0</v>
      </c>
      <c r="G56" s="258"/>
      <c r="H56" s="1990"/>
      <c r="I56" s="1978"/>
    </row>
    <row r="57" spans="1:10" ht="42" customHeight="1" thickBot="1" x14ac:dyDescent="0.25">
      <c r="A57" s="2078" t="str">
        <f>F!A173</f>
        <v>F33</v>
      </c>
      <c r="B57" s="2080" t="str">
        <f>F!B173</f>
        <v xml:space="preserve">% of Ponded Water That Is Open </v>
      </c>
      <c r="C57" s="471" t="str">
        <f>F!C173</f>
        <v>In ducks-eye aerial view, the percentage of the ponded water that is open (lacking emergent vegetation during most of the growing season, and unhidden by a forest or shrub canopy) is:</v>
      </c>
      <c r="D57" s="372"/>
      <c r="E57" s="376"/>
      <c r="F57" s="262"/>
      <c r="G57" s="225">
        <f>IF((AllSat1&gt;0),"",IF((NoPonded=1),"", IF((SmallAA=1),"", MAX(F58:F63)/MAX(E58:E63))))</f>
        <v>0</v>
      </c>
      <c r="H57" s="2000" t="s">
        <v>721</v>
      </c>
      <c r="I57" s="1867" t="s">
        <v>1048</v>
      </c>
    </row>
    <row r="58" spans="1:10" ht="27" customHeight="1" x14ac:dyDescent="0.2">
      <c r="A58" s="2039"/>
      <c r="B58" s="2081"/>
      <c r="C58" s="1449" t="str">
        <f>F!C174</f>
        <v>None, or &lt;1% of the AA and largest pool occupies &lt;0.01 hectares.  Enter "1" and SKIP to F41 (Floating Algae &amp; Duckweed).</v>
      </c>
      <c r="D58" s="1450">
        <f>F!D174</f>
        <v>0</v>
      </c>
      <c r="E58" s="377">
        <v>5</v>
      </c>
      <c r="F58" s="377">
        <f t="shared" ref="F58:F63" si="3">D58*E58</f>
        <v>0</v>
      </c>
      <c r="G58" s="202"/>
      <c r="H58" s="1989"/>
      <c r="I58" s="1911"/>
    </row>
    <row r="59" spans="1:10" ht="15" customHeight="1" x14ac:dyDescent="0.2">
      <c r="A59" s="2039"/>
      <c r="B59" s="2081"/>
      <c r="C59" s="1451" t="str">
        <f>F!C175</f>
        <v>1-5% of the ponded water.  Enter "1" and SKIP to F41.</v>
      </c>
      <c r="D59" s="434">
        <f>F!D175</f>
        <v>0</v>
      </c>
      <c r="E59" s="377">
        <v>4</v>
      </c>
      <c r="F59" s="377">
        <f t="shared" si="3"/>
        <v>0</v>
      </c>
      <c r="G59" s="257"/>
      <c r="H59" s="1989"/>
      <c r="I59" s="1911"/>
    </row>
    <row r="60" spans="1:10" ht="15" customHeight="1" x14ac:dyDescent="0.2">
      <c r="A60" s="2039"/>
      <c r="B60" s="2081"/>
      <c r="C60" s="1451" t="str">
        <f>F!C176</f>
        <v>5-30% of the ponded water.</v>
      </c>
      <c r="D60" s="434">
        <f>F!D176</f>
        <v>0</v>
      </c>
      <c r="E60" s="377">
        <v>3</v>
      </c>
      <c r="F60" s="377">
        <f t="shared" si="3"/>
        <v>0</v>
      </c>
      <c r="G60" s="257"/>
      <c r="H60" s="1989"/>
      <c r="I60" s="1911"/>
    </row>
    <row r="61" spans="1:10" ht="15" customHeight="1" x14ac:dyDescent="0.2">
      <c r="A61" s="2039"/>
      <c r="B61" s="2081"/>
      <c r="C61" s="1451" t="str">
        <f>F!C177</f>
        <v>30-70% of the ponded water.</v>
      </c>
      <c r="D61" s="434">
        <f>F!D177</f>
        <v>0</v>
      </c>
      <c r="E61" s="377">
        <v>2</v>
      </c>
      <c r="F61" s="377">
        <f t="shared" si="3"/>
        <v>0</v>
      </c>
      <c r="G61" s="257"/>
      <c r="H61" s="1989"/>
      <c r="I61" s="1911"/>
    </row>
    <row r="62" spans="1:10" ht="15" customHeight="1" x14ac:dyDescent="0.2">
      <c r="A62" s="2039"/>
      <c r="B62" s="2081"/>
      <c r="C62" s="1451" t="str">
        <f>F!C178</f>
        <v>70-99% of the ponded water.</v>
      </c>
      <c r="D62" s="434">
        <f>F!D178</f>
        <v>0</v>
      </c>
      <c r="E62" s="377">
        <v>1</v>
      </c>
      <c r="F62" s="377">
        <f t="shared" si="3"/>
        <v>0</v>
      </c>
      <c r="G62" s="257"/>
      <c r="H62" s="1989"/>
      <c r="I62" s="1911"/>
    </row>
    <row r="63" spans="1:10" ht="17.25" thickBot="1" x14ac:dyDescent="0.25">
      <c r="A63" s="2079"/>
      <c r="B63" s="2082"/>
      <c r="C63" s="315" t="str">
        <f>F!C179</f>
        <v xml:space="preserve">100% of the ponded water. </v>
      </c>
      <c r="D63" s="102">
        <f>F!D179</f>
        <v>0</v>
      </c>
      <c r="E63" s="244">
        <v>0</v>
      </c>
      <c r="F63" s="244">
        <f t="shared" si="3"/>
        <v>0</v>
      </c>
      <c r="G63" s="258"/>
      <c r="H63" s="1990"/>
      <c r="I63" s="1978"/>
    </row>
    <row r="64" spans="1:10" ht="39" thickBot="1" x14ac:dyDescent="0.25">
      <c r="A64" s="2101" t="str">
        <f>F!A180</f>
        <v>F34</v>
      </c>
      <c r="B64" s="2102" t="str">
        <f>F!B180</f>
        <v>Predominant Width of Vegetated Zone within Wetland</v>
      </c>
      <c r="C64" s="104" t="str">
        <f>F!C180</f>
        <v>At the time during the growing season when the AA's water level is lowest, the average width of vegetated area in the AA that separates adjoining uplands from open water within the AA is:</v>
      </c>
      <c r="D64" s="581"/>
      <c r="E64" s="376"/>
      <c r="F64" s="262"/>
      <c r="G64" s="225" t="str">
        <f>IF((AllSat1&gt;0),"",IF((OpenW=0),"",IF((SmallAA=1),"", MAX(F65:F70)/MAX(E65:E70))))</f>
        <v/>
      </c>
      <c r="H64" s="2000" t="s">
        <v>212</v>
      </c>
      <c r="I64" s="1867" t="s">
        <v>1149</v>
      </c>
      <c r="J64" s="149"/>
    </row>
    <row r="65" spans="1:9" ht="15" customHeight="1" x14ac:dyDescent="0.2">
      <c r="A65" s="2053"/>
      <c r="B65" s="2063"/>
      <c r="C65" s="407" t="str">
        <f>F!C181</f>
        <v>&lt;1 m</v>
      </c>
      <c r="D65" s="443">
        <f>F!D181</f>
        <v>0</v>
      </c>
      <c r="E65" s="377">
        <v>0</v>
      </c>
      <c r="F65" s="377">
        <f t="shared" ref="F65:F70" si="4">D65*E65</f>
        <v>0</v>
      </c>
      <c r="G65" s="202"/>
      <c r="H65" s="1989"/>
      <c r="I65" s="1911"/>
    </row>
    <row r="66" spans="1:9" ht="15" customHeight="1" x14ac:dyDescent="0.2">
      <c r="A66" s="2053"/>
      <c r="B66" s="2063"/>
      <c r="C66" s="407" t="str">
        <f>F!C182</f>
        <v>1 - 9 m</v>
      </c>
      <c r="D66" s="443">
        <f>F!D182</f>
        <v>0</v>
      </c>
      <c r="E66" s="377">
        <v>2</v>
      </c>
      <c r="F66" s="377">
        <f t="shared" si="4"/>
        <v>0</v>
      </c>
      <c r="G66" s="257"/>
      <c r="H66" s="1989"/>
      <c r="I66" s="1911"/>
    </row>
    <row r="67" spans="1:9" ht="15" customHeight="1" x14ac:dyDescent="0.2">
      <c r="A67" s="2053"/>
      <c r="B67" s="2063"/>
      <c r="C67" s="407" t="str">
        <f>F!C183</f>
        <v>10 - 29 m</v>
      </c>
      <c r="D67" s="443">
        <f>F!D183</f>
        <v>0</v>
      </c>
      <c r="E67" s="377">
        <v>3</v>
      </c>
      <c r="F67" s="377">
        <f t="shared" si="4"/>
        <v>0</v>
      </c>
      <c r="G67" s="257"/>
      <c r="H67" s="1989"/>
      <c r="I67" s="1911"/>
    </row>
    <row r="68" spans="1:9" ht="15" customHeight="1" x14ac:dyDescent="0.2">
      <c r="A68" s="2053"/>
      <c r="B68" s="2063"/>
      <c r="C68" s="407" t="str">
        <f>F!C184</f>
        <v>30 - 49 m</v>
      </c>
      <c r="D68" s="443">
        <f>F!D184</f>
        <v>0</v>
      </c>
      <c r="E68" s="377">
        <v>4</v>
      </c>
      <c r="F68" s="377">
        <f t="shared" si="4"/>
        <v>0</v>
      </c>
      <c r="G68" s="257"/>
      <c r="H68" s="1989"/>
      <c r="I68" s="1911"/>
    </row>
    <row r="69" spans="1:9" ht="15" customHeight="1" x14ac:dyDescent="0.2">
      <c r="A69" s="2053"/>
      <c r="B69" s="2063"/>
      <c r="C69" s="407" t="str">
        <f>F!C185</f>
        <v>50 - 100 m</v>
      </c>
      <c r="D69" s="443">
        <f>F!D185</f>
        <v>0</v>
      </c>
      <c r="E69" s="380">
        <v>5</v>
      </c>
      <c r="F69" s="380">
        <f t="shared" si="4"/>
        <v>0</v>
      </c>
      <c r="G69" s="721"/>
      <c r="H69" s="1989"/>
      <c r="I69" s="1911"/>
    </row>
    <row r="70" spans="1:9" ht="18.75" customHeight="1" thickBot="1" x14ac:dyDescent="0.25">
      <c r="A70" s="2074"/>
      <c r="B70" s="2042"/>
      <c r="C70" s="390" t="str">
        <f>F!C186</f>
        <v>&gt; 100 m</v>
      </c>
      <c r="D70" s="1452">
        <f>F!D186</f>
        <v>0</v>
      </c>
      <c r="E70" s="244">
        <v>6</v>
      </c>
      <c r="F70" s="244">
        <f t="shared" si="4"/>
        <v>0</v>
      </c>
      <c r="G70" s="258"/>
      <c r="H70" s="1990"/>
      <c r="I70" s="1978"/>
    </row>
    <row r="71" spans="1:9" ht="30" customHeight="1" thickBot="1" x14ac:dyDescent="0.25">
      <c r="A71" s="2100" t="str">
        <f>F!A199</f>
        <v>F37</v>
      </c>
      <c r="B71" s="2081" t="str">
        <f>F!B199</f>
        <v>Interspersion of Robust Emergents &amp; Open Water</v>
      </c>
      <c r="C71" s="1453" t="str">
        <f>F!C199</f>
        <v>During most of the part of the growing season when water is present, the spatial pattern of robust herbaceous vegetation (e.g., cattail, tall bulrush, buckbean) is mostly:</v>
      </c>
      <c r="D71" s="238"/>
      <c r="E71" s="239"/>
      <c r="F71" s="239"/>
      <c r="G71" s="219">
        <f>IF((AllSat1&gt;0),"",IF((NoPonded=1),"", IF((NoOpenPonded+ NoOpenPonded1&gt;0),"", IF((AllOpenPond=1),"", IF((SmallAA=1),"", MAX(F72:F74)/MAX(E72:E74))))))</f>
        <v>0</v>
      </c>
      <c r="H71" s="1989" t="s">
        <v>476</v>
      </c>
      <c r="I71" s="1911" t="s">
        <v>1150</v>
      </c>
    </row>
    <row r="72" spans="1:9" ht="27" customHeight="1" x14ac:dyDescent="0.2">
      <c r="A72" s="2100"/>
      <c r="B72" s="2081"/>
      <c r="C72" s="1454" t="str">
        <f>F!C200</f>
        <v>Scattered.  More than 30% of such vegetation forms small islands or corridors surrounded by water.</v>
      </c>
      <c r="D72" s="1455">
        <f>F!D200</f>
        <v>0</v>
      </c>
      <c r="E72" s="241">
        <v>2</v>
      </c>
      <c r="F72" s="242">
        <f>D72*E72</f>
        <v>0</v>
      </c>
      <c r="G72" s="257"/>
      <c r="H72" s="1989"/>
      <c r="I72" s="1911"/>
    </row>
    <row r="73" spans="1:9" ht="15" customHeight="1" x14ac:dyDescent="0.2">
      <c r="A73" s="2100"/>
      <c r="B73" s="2081"/>
      <c r="C73" s="1454" t="str">
        <f>F!C201</f>
        <v>Intermediate.</v>
      </c>
      <c r="D73" s="1455">
        <f>F!D201</f>
        <v>0</v>
      </c>
      <c r="E73" s="241">
        <v>1</v>
      </c>
      <c r="F73" s="242">
        <f>D73*E73</f>
        <v>0</v>
      </c>
      <c r="G73" s="257"/>
      <c r="H73" s="1989"/>
      <c r="I73" s="1911"/>
    </row>
    <row r="74" spans="1:9" ht="27" customHeight="1" thickBot="1" x14ac:dyDescent="0.25">
      <c r="A74" s="2100"/>
      <c r="B74" s="2081"/>
      <c r="C74" s="1454" t="str">
        <f>F!C202</f>
        <v>Clumped. More than 70% of such vegetation is in bands along the wetland perimeter or is clumped at one or a few sides of the surface water area.</v>
      </c>
      <c r="D74" s="1455">
        <f>F!D202</f>
        <v>0</v>
      </c>
      <c r="E74" s="242">
        <v>0</v>
      </c>
      <c r="F74" s="242">
        <f>D74*E74</f>
        <v>0</v>
      </c>
      <c r="G74" s="433"/>
      <c r="H74" s="1989"/>
      <c r="I74" s="1911"/>
    </row>
    <row r="75" spans="1:9" ht="96.75" customHeight="1" thickBot="1" x14ac:dyDescent="0.25">
      <c r="A75" s="541" t="str">
        <f>F!A209</f>
        <v>F41</v>
      </c>
      <c r="B75" s="77" t="str">
        <f>F!B209</f>
        <v>Floating Algae &amp; Duckweed</v>
      </c>
      <c r="C75" s="311" t="str">
        <f>F!C209</f>
        <v>At some time of the year, mats of algae and/or duckweed cover &gt;50% of the AA's otherwise-unshaded water surface, or blanket &gt;50% of the underwater substrate.  If true, enter "1" in next column.  If untrue or unlikely, enter "0".</v>
      </c>
      <c r="D75" s="1456">
        <f>F!D209</f>
        <v>0</v>
      </c>
      <c r="E75" s="269"/>
      <c r="F75" s="270"/>
      <c r="G75" s="225" t="str">
        <f>IF((AllSat1&gt;0),"", IF((NoPonded=1),"", IF((SmallAA=1),"", IF((D75=1),0,""))))</f>
        <v/>
      </c>
      <c r="H75" s="77" t="s">
        <v>477</v>
      </c>
      <c r="I75" s="769" t="s">
        <v>1151</v>
      </c>
    </row>
    <row r="76" spans="1:9" ht="21" customHeight="1" thickBot="1" x14ac:dyDescent="0.25">
      <c r="A76" s="2036" t="str">
        <f>F!A216</f>
        <v>F44</v>
      </c>
      <c r="B76" s="1992" t="str">
        <f>F!B216</f>
        <v>TDS and/or Conductivity</v>
      </c>
      <c r="C76" s="1457" t="str">
        <f>F!C216</f>
        <v>The Total Dissolved Solids (TDS) and/or Conductivity in most of the AA's surface water:</v>
      </c>
      <c r="D76" s="777"/>
      <c r="E76" s="376"/>
      <c r="F76" s="376"/>
      <c r="G76" s="358">
        <f xml:space="preserve"> IF((D77=1),"",IF((D78=1),1,MAX(D80,D81)))</f>
        <v>0</v>
      </c>
      <c r="H76" s="2000" t="s">
        <v>644</v>
      </c>
      <c r="I76" s="1867" t="s">
        <v>1984</v>
      </c>
    </row>
    <row r="77" spans="1:9" ht="27" customHeight="1" x14ac:dyDescent="0.2">
      <c r="A77" s="2035"/>
      <c r="B77" s="1991"/>
      <c r="C77" s="1458" t="str">
        <f>F!C217</f>
        <v>was not measured because no surface water could be found during this visit. Enter "1" in column to the right.</v>
      </c>
      <c r="D77" s="737">
        <f>F!D217</f>
        <v>0</v>
      </c>
      <c r="E77" s="722"/>
      <c r="F77" s="722"/>
      <c r="G77" s="775"/>
      <c r="H77" s="1989"/>
      <c r="I77" s="1911"/>
    </row>
    <row r="78" spans="1:9" ht="27" customHeight="1" x14ac:dyDescent="0.2">
      <c r="A78" s="2035"/>
      <c r="B78" s="1991"/>
      <c r="C78" s="1458" t="str">
        <f>F!C218</f>
        <v>was not measured, and plants that indicate saline conditions are absent or in trace amounts. Enter "1" in column to the right.</v>
      </c>
      <c r="D78" s="737">
        <f>F!D218</f>
        <v>0</v>
      </c>
      <c r="E78" s="722"/>
      <c r="F78" s="722"/>
      <c r="G78" s="775"/>
      <c r="H78" s="1989"/>
      <c r="I78" s="1911"/>
    </row>
    <row r="79" spans="1:9" ht="27" customHeight="1" thickBot="1" x14ac:dyDescent="0.25">
      <c r="A79" s="2035"/>
      <c r="B79" s="1991"/>
      <c r="C79" s="1458" t="str">
        <f>F!C219</f>
        <v>was not measured, but plants that indicate saline conditions are present. Enter "1" in column to the right.</v>
      </c>
      <c r="D79" s="737">
        <f>F!D219</f>
        <v>0</v>
      </c>
      <c r="E79" s="722"/>
      <c r="F79" s="722"/>
      <c r="G79" s="775"/>
      <c r="H79" s="1989"/>
      <c r="I79" s="1911"/>
    </row>
    <row r="80" spans="1:9" ht="27" customHeight="1" thickBot="1" x14ac:dyDescent="0.25">
      <c r="A80" s="2035"/>
      <c r="B80" s="1991"/>
      <c r="C80" s="860" t="str">
        <f>F!C220</f>
        <v>TDS is: [enter the reading in ppm or mg/L in the column to the right if measured, or answer next row]:</v>
      </c>
      <c r="D80" s="1459">
        <f>F!D220</f>
        <v>0</v>
      </c>
      <c r="E80" s="722"/>
      <c r="F80" s="722"/>
      <c r="G80" s="225">
        <f>IF((D80/1000&gt;1),1,D80/1000)</f>
        <v>0</v>
      </c>
      <c r="H80" s="1989"/>
      <c r="I80" s="1911"/>
    </row>
    <row r="81" spans="1:9" ht="15" customHeight="1" thickBot="1" x14ac:dyDescent="0.25">
      <c r="A81" s="2035"/>
      <c r="B81" s="1991"/>
      <c r="C81" s="1460" t="str">
        <f>F!C221</f>
        <v>Conductivity is  [enter the reading in µS/cm in the column to the right]:</v>
      </c>
      <c r="D81" s="94">
        <f>F!D221</f>
        <v>0</v>
      </c>
      <c r="E81" s="380"/>
      <c r="F81" s="380"/>
      <c r="G81" s="225">
        <f>IF((D81/1000&gt;1),1,D81/1000)</f>
        <v>0</v>
      </c>
      <c r="H81" s="1989"/>
      <c r="I81" s="1911"/>
    </row>
    <row r="82" spans="1:9" ht="36" customHeight="1" thickBot="1" x14ac:dyDescent="0.25">
      <c r="A82" s="2027" t="str">
        <f>F!A227</f>
        <v>F47</v>
      </c>
      <c r="B82" s="2000" t="str">
        <f>F!B227</f>
        <v>Through Flow Pattern</v>
      </c>
      <c r="C82" s="104" t="str">
        <f>F!C227</f>
        <v>During its travel through the AA at the time of peak annual flow, water arriving in channels: [select only the ONE encountered by most of the incoming water].</v>
      </c>
      <c r="D82" s="777"/>
      <c r="E82" s="376"/>
      <c r="F82" s="262"/>
      <c r="G82" s="225" t="str">
        <f>IF((AllSat1=1),"", IF((Inflows=0),"",MAX(F83:F87)/MAX(E83:E87)))</f>
        <v/>
      </c>
      <c r="H82" s="2000" t="s">
        <v>215</v>
      </c>
      <c r="I82" s="1867" t="s">
        <v>1152</v>
      </c>
    </row>
    <row r="83" spans="1:9" ht="42" customHeight="1" x14ac:dyDescent="0.2">
      <c r="A83" s="2028"/>
      <c r="B83" s="1989"/>
      <c r="C83" s="1461" t="str">
        <f>F!C228</f>
        <v>Does not bump into plant stems as it travels through the AA.  Nearly all the water continues to travel in unvegetated (often incised) channels that have minimal contact with wetland vegetation, or through a zone of open water such as an instream pond or lake.</v>
      </c>
      <c r="D83" s="1285">
        <f>F!D228</f>
        <v>0</v>
      </c>
      <c r="E83" s="722">
        <v>0</v>
      </c>
      <c r="F83" s="722">
        <f>D83*E83</f>
        <v>0</v>
      </c>
      <c r="G83" s="202"/>
      <c r="H83" s="1989"/>
      <c r="I83" s="1911"/>
    </row>
    <row r="84" spans="1:9" ht="18" customHeight="1" x14ac:dyDescent="0.2">
      <c r="A84" s="2028"/>
      <c r="B84" s="1989"/>
      <c r="C84" s="941" t="str">
        <f>F!C229</f>
        <v>bumps into herbaceous vegetation but mostly remains in fairly straight channels.</v>
      </c>
      <c r="D84" s="737">
        <f>F!D229</f>
        <v>0</v>
      </c>
      <c r="E84" s="722">
        <v>1</v>
      </c>
      <c r="F84" s="722">
        <f>D84*E84</f>
        <v>0</v>
      </c>
      <c r="G84" s="775"/>
      <c r="H84" s="1989"/>
      <c r="I84" s="1911"/>
    </row>
    <row r="85" spans="1:9" ht="27" customHeight="1" x14ac:dyDescent="0.2">
      <c r="A85" s="2028"/>
      <c r="B85" s="1989"/>
      <c r="C85" s="996" t="str">
        <f>F!C230</f>
        <v>bumps into herbaceous vegetation and mostly spreads throughout, or is in widely  meandering, multi-branched, or braided channels.</v>
      </c>
      <c r="D85" s="1285">
        <f>F!D230</f>
        <v>0</v>
      </c>
      <c r="E85" s="722">
        <v>2</v>
      </c>
      <c r="F85" s="722">
        <f>D85*E85</f>
        <v>0</v>
      </c>
      <c r="G85" s="775"/>
      <c r="H85" s="1989"/>
      <c r="I85" s="1911"/>
    </row>
    <row r="86" spans="1:9" ht="18" customHeight="1" x14ac:dyDescent="0.2">
      <c r="A86" s="2028"/>
      <c r="B86" s="1989"/>
      <c r="C86" s="996" t="str">
        <f>F!C231</f>
        <v>bumps into tree trunks and/or shrub stems but mostly remains in fairly straight channels.</v>
      </c>
      <c r="D86" s="1285">
        <f>F!D231</f>
        <v>0</v>
      </c>
      <c r="E86" s="722">
        <v>3</v>
      </c>
      <c r="F86" s="722">
        <f>D86*E86</f>
        <v>0</v>
      </c>
      <c r="G86" s="775"/>
      <c r="H86" s="1989"/>
      <c r="I86" s="1911"/>
    </row>
    <row r="87" spans="1:9" ht="29.25" customHeight="1" thickBot="1" x14ac:dyDescent="0.25">
      <c r="A87" s="2029"/>
      <c r="B87" s="1990"/>
      <c r="C87" s="329" t="str">
        <f>F!C232</f>
        <v>bumps into tree trunks and/or shrub stems and follows a fairly indirect path from entrance to exit (meandering, multi-branched, or braided).</v>
      </c>
      <c r="D87" s="1286">
        <f>F!D232</f>
        <v>0</v>
      </c>
      <c r="E87" s="244">
        <v>4</v>
      </c>
      <c r="F87" s="244">
        <f>D87*E87</f>
        <v>0</v>
      </c>
      <c r="G87" s="258"/>
      <c r="H87" s="1990"/>
      <c r="I87" s="1978"/>
    </row>
    <row r="88" spans="1:9" ht="77.25" thickBot="1" x14ac:dyDescent="0.25">
      <c r="A88" s="2097" t="str">
        <f>F!A233</f>
        <v>F48</v>
      </c>
      <c r="B88" s="2000" t="str">
        <f>F!B233</f>
        <v>Channel Connection &amp; Outflow Duration</v>
      </c>
      <c r="C88" s="104"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88" s="372"/>
      <c r="E88" s="376"/>
      <c r="F88" s="262"/>
      <c r="G88" s="225">
        <f>IF((AllSat1&gt;0),"",(MAX(F89:F93))/MAX(E89:E93))</f>
        <v>0</v>
      </c>
      <c r="H88" s="2000" t="s">
        <v>213</v>
      </c>
      <c r="I88" s="1867" t="s">
        <v>1153</v>
      </c>
    </row>
    <row r="89" spans="1:9" ht="15" customHeight="1" x14ac:dyDescent="0.2">
      <c r="A89" s="2098"/>
      <c r="B89" s="1989"/>
      <c r="C89" s="407" t="str">
        <f>F!C234</f>
        <v>persistent (&gt;9 months/year, including times when frozen).</v>
      </c>
      <c r="D89" s="359">
        <f>F!D234</f>
        <v>0</v>
      </c>
      <c r="E89" s="377">
        <v>1</v>
      </c>
      <c r="F89" s="377">
        <f>D89*E89</f>
        <v>0</v>
      </c>
      <c r="G89" s="202"/>
      <c r="H89" s="1989"/>
      <c r="I89" s="1911"/>
    </row>
    <row r="90" spans="1:9" ht="25.5" x14ac:dyDescent="0.2">
      <c r="A90" s="2098"/>
      <c r="B90" s="1989"/>
      <c r="C90" s="328" t="str">
        <f>F!C235</f>
        <v>seasonal (14 days to 9 months/year, not necessarily consecutive, including times when frozen).</v>
      </c>
      <c r="D90" s="359">
        <f>F!D235</f>
        <v>0</v>
      </c>
      <c r="E90" s="377">
        <v>2</v>
      </c>
      <c r="F90" s="377">
        <f>D90*E90</f>
        <v>0</v>
      </c>
      <c r="G90" s="257"/>
      <c r="H90" s="1989"/>
      <c r="I90" s="1911"/>
    </row>
    <row r="91" spans="1:9" ht="15" customHeight="1" x14ac:dyDescent="0.2">
      <c r="A91" s="2098"/>
      <c r="B91" s="1989"/>
      <c r="C91" s="328" t="str">
        <f>F!C236</f>
        <v>temporary (&lt;14 days, not necessarily consecutive, but must be unfrozen).</v>
      </c>
      <c r="D91" s="356">
        <f>F!D236</f>
        <v>0</v>
      </c>
      <c r="E91" s="377">
        <v>3</v>
      </c>
      <c r="F91" s="377">
        <f>D91*E91</f>
        <v>0</v>
      </c>
      <c r="G91" s="257"/>
      <c r="H91" s="1989"/>
      <c r="I91" s="1911"/>
    </row>
    <row r="92" spans="1:9" ht="38.25" x14ac:dyDescent="0.2">
      <c r="A92" s="2098"/>
      <c r="B92" s="1989"/>
      <c r="C92" s="328" t="str">
        <f>F!C237</f>
        <v xml:space="preserve">none -- but maps show a stream or other water body that is downslope from the AA and within a distance that is less than the AA's length.  If so, mark "1" here and SKIP TO F50 (Groundwater). </v>
      </c>
      <c r="D92" s="359">
        <f>F!D237</f>
        <v>0</v>
      </c>
      <c r="E92" s="381">
        <v>6</v>
      </c>
      <c r="F92" s="377">
        <f>D92*E92</f>
        <v>0</v>
      </c>
      <c r="G92" s="433"/>
      <c r="H92" s="1989"/>
      <c r="I92" s="1911"/>
    </row>
    <row r="93" spans="1:9" ht="42" customHeight="1" thickBot="1" x14ac:dyDescent="0.25">
      <c r="A93" s="2099"/>
      <c r="B93" s="1990"/>
      <c r="C93" s="329" t="str">
        <f>F!C238</f>
        <v xml:space="preserve">no surface water flows out of the wetland except possibly during extreme events (&lt;once per 10 years). Or, water flows only into a wetland, ditch, or lake that lacks an outlet.  If so, mark "1" here and SKIP TO F50 (Groundwater). </v>
      </c>
      <c r="D93" s="81">
        <f>F!D238</f>
        <v>0</v>
      </c>
      <c r="E93" s="272">
        <v>6</v>
      </c>
      <c r="F93" s="244">
        <f>D93*E93</f>
        <v>0</v>
      </c>
      <c r="G93" s="258"/>
      <c r="H93" s="1990"/>
      <c r="I93" s="1978"/>
    </row>
    <row r="94" spans="1:9" ht="30" customHeight="1" thickBot="1" x14ac:dyDescent="0.25">
      <c r="A94" s="2035" t="str">
        <f>F!A239</f>
        <v>F49</v>
      </c>
      <c r="B94" s="1989" t="str">
        <f>F!B239</f>
        <v>Outflow Confinement</v>
      </c>
      <c r="C94" s="1391" t="str">
        <f>F!C239</f>
        <v>During major runoff events, in the places where surface water exits the AA or connected waters nearby, it:</v>
      </c>
      <c r="D94" s="437"/>
      <c r="E94" s="239"/>
      <c r="F94" s="259"/>
      <c r="G94" s="219">
        <f>IF((OutNone + OutNone1&gt;0),"",(MAX(F95:F97)/MAX(E95:E97)))</f>
        <v>0</v>
      </c>
      <c r="H94" s="1989" t="s">
        <v>214</v>
      </c>
      <c r="I94" s="1911" t="s">
        <v>1154</v>
      </c>
    </row>
    <row r="95" spans="1:9" ht="42" customHeight="1" x14ac:dyDescent="0.2">
      <c r="A95" s="2035"/>
      <c r="B95" s="1989"/>
      <c r="C95" s="407" t="str">
        <f>F!C240</f>
        <v>mostly passes through a pipe, culvert, narrowly breached dike, berm, beaver dam, or other partial obstruction (other than natural topography) that does not appear to drain the wetland artificially during most of the growing season.</v>
      </c>
      <c r="D95" s="443">
        <f>F!D240</f>
        <v>0</v>
      </c>
      <c r="E95" s="241">
        <v>1</v>
      </c>
      <c r="F95" s="241">
        <f>D95*E95</f>
        <v>0</v>
      </c>
      <c r="G95" s="202"/>
      <c r="H95" s="1989"/>
      <c r="I95" s="1911"/>
    </row>
    <row r="96" spans="1:9" ht="27" customHeight="1" x14ac:dyDescent="0.2">
      <c r="A96" s="2035"/>
      <c r="B96" s="1989"/>
      <c r="C96" s="328" t="str">
        <f>F!C241</f>
        <v>leaves through natural exits (channels or diffuse outflow), not mainly through artificial or temporary features.</v>
      </c>
      <c r="D96" s="40">
        <f>F!D241</f>
        <v>0</v>
      </c>
      <c r="E96" s="241">
        <v>0</v>
      </c>
      <c r="F96" s="241">
        <f>D96*E96</f>
        <v>0</v>
      </c>
      <c r="G96" s="267"/>
      <c r="H96" s="1989"/>
      <c r="I96" s="1911"/>
    </row>
    <row r="97" spans="1:11" ht="39" thickBot="1" x14ac:dyDescent="0.25">
      <c r="A97" s="2035"/>
      <c r="B97" s="1989"/>
      <c r="C97" s="366" t="str">
        <f>F!C242</f>
        <v>is exported more quickly than usual due to ditches or pipes within the AA (or connected to its outlet or within 10 m of the AA's edge) which drain the wetland artificially, or water is pumped out of the AA.</v>
      </c>
      <c r="D97" s="356">
        <f>F!D242</f>
        <v>0</v>
      </c>
      <c r="E97" s="380">
        <v>0</v>
      </c>
      <c r="F97" s="380">
        <f>D97*E97</f>
        <v>0</v>
      </c>
      <c r="G97" s="433"/>
      <c r="H97" s="1989"/>
      <c r="I97" s="1911"/>
    </row>
    <row r="98" spans="1:11" ht="21" customHeight="1" thickBot="1" x14ac:dyDescent="0.25">
      <c r="A98" s="2109" t="str">
        <f>F!A247</f>
        <v>F51</v>
      </c>
      <c r="B98" s="2112" t="str">
        <f>F!B247</f>
        <v>Internal Gradient</v>
      </c>
      <c r="C98" s="104" t="str">
        <f>F!C247</f>
        <v>The gradient along most of the flow path within the AA is:</v>
      </c>
      <c r="D98" s="372"/>
      <c r="E98" s="376"/>
      <c r="F98" s="262"/>
      <c r="G98" s="225">
        <f>MAX(F99:F102)/MAX(E99:E102)</f>
        <v>0</v>
      </c>
      <c r="H98" s="2000" t="s">
        <v>219</v>
      </c>
      <c r="I98" s="1867" t="s">
        <v>274</v>
      </c>
    </row>
    <row r="99" spans="1:11" ht="27" customHeight="1" x14ac:dyDescent="0.2">
      <c r="A99" s="2110"/>
      <c r="B99" s="2113"/>
      <c r="C99" s="407" t="str">
        <f>F!C248</f>
        <v>&lt;2%, or, no slope is ever apparent (i.e., flat). Or, the wetland is in a depression or pond with no inlet and no outlet.</v>
      </c>
      <c r="D99" s="443">
        <f>F!D248</f>
        <v>0</v>
      </c>
      <c r="E99" s="377">
        <v>4</v>
      </c>
      <c r="F99" s="377">
        <f>D99*E99</f>
        <v>0</v>
      </c>
      <c r="G99" s="202"/>
      <c r="H99" s="1989"/>
      <c r="I99" s="1989"/>
    </row>
    <row r="100" spans="1:11" ht="15" customHeight="1" x14ac:dyDescent="0.2">
      <c r="A100" s="2110"/>
      <c r="B100" s="2113"/>
      <c r="C100" s="328" t="str">
        <f>F!C249</f>
        <v>2-5%</v>
      </c>
      <c r="D100" s="359">
        <f>F!D249</f>
        <v>0</v>
      </c>
      <c r="E100" s="377">
        <v>3</v>
      </c>
      <c r="F100" s="377">
        <f>D100*E100</f>
        <v>0</v>
      </c>
      <c r="G100" s="202"/>
      <c r="H100" s="1989"/>
      <c r="I100" s="1989"/>
    </row>
    <row r="101" spans="1:11" ht="15" customHeight="1" x14ac:dyDescent="0.2">
      <c r="A101" s="2110"/>
      <c r="B101" s="2113"/>
      <c r="C101" s="328" t="str">
        <f>F!C250</f>
        <v>6-10%</v>
      </c>
      <c r="D101" s="359">
        <f>F!D250</f>
        <v>0</v>
      </c>
      <c r="E101" s="377">
        <v>2</v>
      </c>
      <c r="F101" s="377">
        <f>D101*E101</f>
        <v>0</v>
      </c>
      <c r="G101" s="257"/>
      <c r="H101" s="1989"/>
      <c r="I101" s="1989"/>
    </row>
    <row r="102" spans="1:11" ht="15" customHeight="1" thickBot="1" x14ac:dyDescent="0.25">
      <c r="A102" s="2111"/>
      <c r="B102" s="2114"/>
      <c r="C102" s="780" t="str">
        <f>F!C251</f>
        <v>&gt;10%</v>
      </c>
      <c r="D102" s="356">
        <f>F!D251</f>
        <v>0</v>
      </c>
      <c r="E102" s="380">
        <v>0</v>
      </c>
      <c r="F102" s="380">
        <f>D102*E102</f>
        <v>0</v>
      </c>
      <c r="G102" s="721"/>
      <c r="H102" s="1989"/>
      <c r="I102" s="1989"/>
    </row>
    <row r="103" spans="1:11" ht="90" thickBot="1" x14ac:dyDescent="0.25">
      <c r="A103" s="2036" t="str">
        <f>F!A331</f>
        <v>F69</v>
      </c>
      <c r="B103" s="2000" t="str">
        <f>F!B331</f>
        <v>Wetland as a % of Its Contributing Area (Catchment)</v>
      </c>
      <c r="C103" s="1303" t="str">
        <f>F!C331</f>
        <v>Estimate the approximate boundaries of the wetland's catchment (CA) from a topographic map.Then adjust those boundaries if necessary based on your field observations of the surrounding terrain, and/or by using procedures described in the ABWRET Manual.  Divide the area of the wetland (not just the AA) by the approximate area of its catchment , excluding the area of the wetland itself.  When doing the calculation, if ponded water adjoins the wetland, include that in the wetland's area.  The result is:</v>
      </c>
      <c r="D103" s="777"/>
      <c r="E103" s="376"/>
      <c r="F103" s="376"/>
      <c r="G103" s="784">
        <f>MAX(F104:F107)/MAX(E104:E107)</f>
        <v>0</v>
      </c>
      <c r="H103" s="2106" t="s">
        <v>2257</v>
      </c>
      <c r="I103" s="2086" t="s">
        <v>2290</v>
      </c>
    </row>
    <row r="104" spans="1:11" ht="25.5" x14ac:dyDescent="0.2">
      <c r="A104" s="2035"/>
      <c r="B104" s="1989"/>
      <c r="C104" s="995" t="str">
        <f>F!C332</f>
        <v>&lt;1%, or catchment size unknown due to stormwater pipes that collect water from an indeterminate area.</v>
      </c>
      <c r="D104" s="737">
        <f>F!D332</f>
        <v>0</v>
      </c>
      <c r="E104" s="722">
        <v>1</v>
      </c>
      <c r="F104" s="377">
        <f t="shared" ref="F104:F107" si="5">D104*E104</f>
        <v>0</v>
      </c>
      <c r="G104" s="723"/>
      <c r="H104" s="2107"/>
      <c r="I104" s="2087"/>
    </row>
    <row r="105" spans="1:11" ht="15" customHeight="1" x14ac:dyDescent="0.2">
      <c r="A105" s="2035"/>
      <c r="B105" s="1989"/>
      <c r="C105" s="996" t="str">
        <f>F!C333</f>
        <v>1-10%</v>
      </c>
      <c r="D105" s="737">
        <f>F!D333</f>
        <v>0</v>
      </c>
      <c r="E105" s="722">
        <v>2</v>
      </c>
      <c r="F105" s="377">
        <f t="shared" si="5"/>
        <v>0</v>
      </c>
      <c r="G105" s="723"/>
      <c r="H105" s="2107"/>
      <c r="I105" s="2087"/>
    </row>
    <row r="106" spans="1:11" ht="15" customHeight="1" x14ac:dyDescent="0.2">
      <c r="A106" s="2035"/>
      <c r="B106" s="1989"/>
      <c r="C106" s="996" t="str">
        <f>F!C334</f>
        <v>10-100%</v>
      </c>
      <c r="D106" s="737">
        <f>F!D334</f>
        <v>0</v>
      </c>
      <c r="E106" s="722">
        <v>3</v>
      </c>
      <c r="F106" s="377">
        <f t="shared" si="5"/>
        <v>0</v>
      </c>
      <c r="G106" s="723"/>
      <c r="H106" s="2107"/>
      <c r="I106" s="2087"/>
    </row>
    <row r="107" spans="1:11" ht="26.25" thickBot="1" x14ac:dyDescent="0.25">
      <c r="A107" s="2037"/>
      <c r="B107" s="1990"/>
      <c r="C107" s="329" t="str">
        <f>F!C335</f>
        <v xml:space="preserve">&gt;100% (wetland is larger than its catchment (e.g., wetland is isolated by dikes with no input channels, is fed entirely by groundwater, or is a raised bog). </v>
      </c>
      <c r="D107" s="81">
        <f>F!D335</f>
        <v>0</v>
      </c>
      <c r="E107" s="244">
        <v>4</v>
      </c>
      <c r="F107" s="377">
        <f t="shared" si="5"/>
        <v>0</v>
      </c>
      <c r="G107" s="728"/>
      <c r="H107" s="2108"/>
      <c r="I107" s="2088"/>
    </row>
    <row r="108" spans="1:11" ht="45" customHeight="1" thickBot="1" x14ac:dyDescent="0.25">
      <c r="A108" s="1385" t="str">
        <f>S!A71</f>
        <v>S5</v>
      </c>
      <c r="B108" s="1398" t="str">
        <f>S!B71</f>
        <v>Soil or Sediment Alteration Within the Assessment Area</v>
      </c>
      <c r="C108" s="1462"/>
      <c r="D108" s="895">
        <f>S!F88</f>
        <v>0</v>
      </c>
      <c r="E108" s="276"/>
      <c r="F108" s="276"/>
      <c r="G108" s="219">
        <f>1-D108</f>
        <v>1</v>
      </c>
      <c r="H108" s="1380" t="s">
        <v>718</v>
      </c>
      <c r="I108" s="1376" t="s">
        <v>1084</v>
      </c>
    </row>
    <row r="109" spans="1:11" ht="21" customHeight="1" thickBot="1" x14ac:dyDescent="0.25">
      <c r="A109" s="827"/>
      <c r="B109" s="827"/>
      <c r="D109" s="609"/>
      <c r="E109" s="609"/>
      <c r="F109" s="609"/>
      <c r="G109" s="609"/>
      <c r="H109" s="827"/>
      <c r="I109" s="827"/>
    </row>
    <row r="110" spans="1:11" ht="21" customHeight="1" thickBot="1" x14ac:dyDescent="0.25">
      <c r="B110" s="940"/>
      <c r="C110" s="391" t="s">
        <v>719</v>
      </c>
      <c r="D110" s="610"/>
      <c r="E110" s="610"/>
      <c r="F110" s="610"/>
      <c r="G110" s="610"/>
      <c r="H110" s="5"/>
      <c r="I110" s="5"/>
      <c r="J110" s="574"/>
    </row>
    <row r="111" spans="1:11" ht="29.25" customHeight="1" thickBot="1" x14ac:dyDescent="0.25">
      <c r="A111" s="940"/>
      <c r="B111" s="1390"/>
      <c r="C111" s="1072" t="s">
        <v>2432</v>
      </c>
      <c r="D111" s="1264"/>
      <c r="E111" s="1264"/>
      <c r="F111" s="1264"/>
      <c r="G111" s="1025">
        <f>(AVERAGE(SoilTex3, Salin3) + AVERAGE(Wettype3,SatPct3, Algae3, Fluctu3, DomDepth3)) / 2</f>
        <v>0</v>
      </c>
      <c r="H111" s="5"/>
      <c r="I111" s="5"/>
      <c r="J111" s="140"/>
      <c r="K111" s="110"/>
    </row>
    <row r="112" spans="1:11" ht="21" customHeight="1" thickBot="1" x14ac:dyDescent="0.25">
      <c r="B112" s="940"/>
      <c r="D112" s="940"/>
      <c r="E112" s="940"/>
      <c r="F112" s="940"/>
      <c r="G112" s="940"/>
      <c r="H112" s="5"/>
      <c r="I112" s="5"/>
      <c r="J112" s="441"/>
    </row>
    <row r="113" spans="1:10" ht="21" customHeight="1" thickBot="1" x14ac:dyDescent="0.25">
      <c r="B113" s="940"/>
      <c r="C113" s="391" t="s">
        <v>720</v>
      </c>
      <c r="D113" s="940"/>
      <c r="E113" s="940"/>
      <c r="F113" s="940"/>
      <c r="G113" s="940"/>
      <c r="H113" s="5"/>
      <c r="I113" s="5"/>
      <c r="J113" s="441"/>
    </row>
    <row r="114" spans="1:10" ht="45" customHeight="1" thickBot="1" x14ac:dyDescent="0.25">
      <c r="B114" s="940"/>
      <c r="C114" s="1247" t="s">
        <v>2388</v>
      </c>
      <c r="D114" s="1264"/>
      <c r="E114" s="1264"/>
      <c r="F114" s="1264"/>
      <c r="G114" s="1248">
        <f>(AVERAGE(OpenWpct3, Interspers3, WetVegArea) + AVERAGE(1-Sub0Days, Persis3, Lake3, VegWabs3, ThruFlo3, Constric3, Gradient3, Gcover3, Girreg3, SoilAlt3) + WetPctCA3) / 3</f>
        <v>8.3333333333333329E-2</v>
      </c>
      <c r="H114" s="5"/>
      <c r="I114" s="5"/>
      <c r="J114" s="441"/>
    </row>
    <row r="115" spans="1:10" ht="21" customHeight="1" thickBot="1" x14ac:dyDescent="0.25">
      <c r="B115" s="940"/>
      <c r="D115" s="940"/>
      <c r="E115" s="940"/>
      <c r="F115" s="940"/>
      <c r="G115" s="940"/>
      <c r="H115" s="5"/>
      <c r="I115" s="5"/>
      <c r="J115" s="441"/>
    </row>
    <row r="116" spans="1:10" ht="21" customHeight="1" thickBot="1" x14ac:dyDescent="0.25">
      <c r="B116" s="5"/>
      <c r="C116" s="391" t="s">
        <v>715</v>
      </c>
      <c r="D116" s="1027"/>
      <c r="E116" s="1027"/>
      <c r="F116" s="1027"/>
      <c r="G116" s="1027"/>
      <c r="H116" s="5"/>
      <c r="I116" s="5"/>
      <c r="J116" s="441"/>
    </row>
    <row r="117" spans="1:10" ht="21" customHeight="1" thickBot="1" x14ac:dyDescent="0.25">
      <c r="B117" s="5"/>
      <c r="C117" s="83" t="s">
        <v>213</v>
      </c>
      <c r="D117" s="507"/>
      <c r="E117" s="507"/>
      <c r="F117" s="507"/>
      <c r="G117" s="285">
        <f>OutDura3</f>
        <v>0</v>
      </c>
      <c r="H117" s="5"/>
      <c r="I117" s="5"/>
      <c r="J117" s="441"/>
    </row>
    <row r="118" spans="1:10" ht="21" customHeight="1" thickBot="1" x14ac:dyDescent="0.25">
      <c r="B118" s="5"/>
      <c r="D118" s="827"/>
      <c r="E118" s="827"/>
      <c r="F118" s="827"/>
      <c r="G118" s="827"/>
      <c r="H118" s="5"/>
      <c r="I118" s="5"/>
      <c r="J118" s="441"/>
    </row>
    <row r="119" spans="1:10" ht="21" customHeight="1" thickBot="1" x14ac:dyDescent="0.25">
      <c r="B119" s="5"/>
      <c r="C119" s="640" t="s">
        <v>846</v>
      </c>
      <c r="D119" s="5"/>
      <c r="E119" s="5"/>
      <c r="F119" s="5"/>
      <c r="G119" s="5"/>
      <c r="H119" s="5"/>
      <c r="I119" s="5"/>
      <c r="J119" s="441"/>
    </row>
    <row r="120" spans="1:10" ht="21" customHeight="1" thickBot="1" x14ac:dyDescent="0.25">
      <c r="B120" s="5"/>
      <c r="C120" s="409" t="s">
        <v>509</v>
      </c>
      <c r="D120" s="1027"/>
      <c r="E120" s="1027"/>
      <c r="F120" s="1027"/>
      <c r="G120" s="1027"/>
      <c r="H120" s="5"/>
      <c r="I120" s="5"/>
      <c r="J120" s="441"/>
    </row>
    <row r="121" spans="1:10" ht="21" customHeight="1" thickBot="1" x14ac:dyDescent="0.25">
      <c r="B121" s="5"/>
      <c r="C121" s="83" t="s">
        <v>2433</v>
      </c>
      <c r="D121" s="507"/>
      <c r="E121" s="507"/>
      <c r="F121" s="507"/>
      <c r="G121" s="582">
        <f>IF((OutNone + OutNone1&gt;0),10, 10*AVERAGE(ADSORB1A, SEDTRAP1A, OutDura3))</f>
        <v>0.27777777777777779</v>
      </c>
      <c r="H121" s="5"/>
      <c r="I121" s="1027"/>
      <c r="J121" s="441"/>
    </row>
    <row r="122" spans="1:10" s="6" customFormat="1" ht="21" customHeight="1" thickBot="1" x14ac:dyDescent="0.25">
      <c r="A122" s="5"/>
      <c r="B122" s="5"/>
      <c r="C122" s="110"/>
      <c r="D122" s="1262"/>
      <c r="E122" s="1262"/>
      <c r="F122" s="1262"/>
      <c r="G122" s="1262"/>
      <c r="H122" s="1549"/>
      <c r="I122" s="825" t="s">
        <v>293</v>
      </c>
      <c r="J122" s="441"/>
    </row>
    <row r="123" spans="1:10" s="110" customFormat="1" ht="42" customHeight="1" x14ac:dyDescent="0.2">
      <c r="A123" s="1463"/>
      <c r="B123" s="1463"/>
      <c r="C123" s="1464"/>
      <c r="D123" s="1465"/>
      <c r="E123" s="1262"/>
      <c r="F123" s="1262"/>
      <c r="G123" s="1262"/>
      <c r="H123" s="1549"/>
      <c r="I123" s="826" t="s">
        <v>310</v>
      </c>
      <c r="J123" s="441"/>
    </row>
    <row r="124" spans="1:10" ht="38.25" x14ac:dyDescent="0.2">
      <c r="A124" s="1463"/>
      <c r="B124" s="1466"/>
      <c r="C124" s="1467"/>
      <c r="D124" s="1468"/>
      <c r="E124" s="597"/>
      <c r="F124" s="597"/>
      <c r="G124" s="597"/>
      <c r="H124" s="598"/>
      <c r="I124" s="823" t="s">
        <v>311</v>
      </c>
      <c r="J124" s="141"/>
    </row>
    <row r="125" spans="1:10" ht="39.75" customHeight="1" x14ac:dyDescent="0.2">
      <c r="A125" s="1463"/>
      <c r="B125" s="1466"/>
      <c r="C125" s="1467"/>
      <c r="D125" s="1469"/>
      <c r="E125" s="597"/>
      <c r="F125" s="597"/>
      <c r="G125" s="597"/>
      <c r="H125" s="598"/>
      <c r="I125" s="823" t="s">
        <v>303</v>
      </c>
      <c r="J125" s="141"/>
    </row>
    <row r="126" spans="1:10" ht="42" customHeight="1" x14ac:dyDescent="0.2">
      <c r="A126" s="1463"/>
      <c r="B126" s="1466"/>
      <c r="C126" s="1467"/>
      <c r="D126" s="1469"/>
      <c r="E126" s="597"/>
      <c r="F126" s="597"/>
      <c r="G126" s="597"/>
      <c r="H126" s="598"/>
      <c r="I126" s="823" t="s">
        <v>318</v>
      </c>
      <c r="J126" s="141"/>
    </row>
    <row r="127" spans="1:10" ht="42" customHeight="1" x14ac:dyDescent="0.2">
      <c r="A127" s="1463"/>
      <c r="B127" s="1466"/>
      <c r="C127" s="1467"/>
      <c r="D127" s="1469"/>
      <c r="E127" s="597"/>
      <c r="F127" s="597"/>
      <c r="G127" s="597"/>
      <c r="H127" s="598"/>
      <c r="I127" s="823" t="s">
        <v>312</v>
      </c>
      <c r="J127" s="141"/>
    </row>
    <row r="128" spans="1:10" ht="42" customHeight="1" x14ac:dyDescent="0.2">
      <c r="A128" s="1463"/>
      <c r="B128" s="1467"/>
      <c r="C128" s="1467"/>
      <c r="D128" s="1469"/>
      <c r="E128" s="597"/>
      <c r="F128" s="597"/>
      <c r="G128" s="597"/>
      <c r="H128" s="598"/>
      <c r="I128" s="823" t="s">
        <v>313</v>
      </c>
      <c r="J128" s="141"/>
    </row>
    <row r="129" spans="1:10" s="110" customFormat="1" ht="42" customHeight="1" x14ac:dyDescent="0.2">
      <c r="A129" s="1463"/>
      <c r="B129" s="1470"/>
      <c r="C129" s="1471"/>
      <c r="D129" s="1469"/>
      <c r="E129" s="597"/>
      <c r="F129" s="597"/>
      <c r="G129" s="597"/>
      <c r="H129" s="598"/>
      <c r="I129" s="823" t="s">
        <v>314</v>
      </c>
      <c r="J129" s="141"/>
    </row>
    <row r="130" spans="1:10" s="110" customFormat="1" ht="42" customHeight="1" x14ac:dyDescent="0.2">
      <c r="A130" s="1463"/>
      <c r="B130" s="1470"/>
      <c r="C130" s="588"/>
      <c r="D130" s="1469"/>
      <c r="E130" s="597"/>
      <c r="F130" s="597"/>
      <c r="G130" s="597"/>
      <c r="H130" s="598"/>
      <c r="I130" s="823" t="s">
        <v>306</v>
      </c>
      <c r="J130" s="141"/>
    </row>
    <row r="131" spans="1:10" s="110" customFormat="1" ht="69" customHeight="1" x14ac:dyDescent="0.2">
      <c r="A131" s="1463"/>
      <c r="B131" s="1466"/>
      <c r="C131" s="1467"/>
      <c r="D131" s="1468"/>
      <c r="E131" s="597"/>
      <c r="F131" s="597"/>
      <c r="G131" s="597"/>
      <c r="H131" s="598"/>
      <c r="I131" s="823" t="s">
        <v>1806</v>
      </c>
      <c r="J131" s="141"/>
    </row>
    <row r="132" spans="1:10" s="110" customFormat="1" ht="51" x14ac:dyDescent="0.2">
      <c r="A132" s="1463"/>
      <c r="B132" s="1466"/>
      <c r="C132" s="1467"/>
      <c r="D132" s="1469"/>
      <c r="E132" s="597"/>
      <c r="F132" s="597"/>
      <c r="G132" s="597"/>
      <c r="H132" s="598"/>
      <c r="I132" s="823" t="s">
        <v>315</v>
      </c>
      <c r="J132" s="141"/>
    </row>
    <row r="133" spans="1:10" s="110" customFormat="1" ht="29.25" customHeight="1" x14ac:dyDescent="0.2">
      <c r="A133" s="1463"/>
      <c r="B133" s="1466"/>
      <c r="C133" s="1467"/>
      <c r="D133" s="1469"/>
      <c r="E133" s="597"/>
      <c r="F133" s="597"/>
      <c r="G133" s="597"/>
      <c r="H133" s="598"/>
      <c r="I133" s="823" t="s">
        <v>1807</v>
      </c>
      <c r="J133" s="141"/>
    </row>
    <row r="134" spans="1:10" s="110" customFormat="1" ht="51" x14ac:dyDescent="0.2">
      <c r="A134" s="1463"/>
      <c r="B134" s="1466"/>
      <c r="C134" s="1467"/>
      <c r="D134" s="1469"/>
      <c r="E134" s="597"/>
      <c r="F134" s="597"/>
      <c r="G134" s="597"/>
      <c r="H134" s="598"/>
      <c r="I134" s="823" t="s">
        <v>316</v>
      </c>
      <c r="J134" s="141"/>
    </row>
    <row r="135" spans="1:10" s="110" customFormat="1" ht="42.75" customHeight="1" x14ac:dyDescent="0.2">
      <c r="A135" s="1463"/>
      <c r="B135" s="1467"/>
      <c r="C135" s="1467"/>
      <c r="D135" s="1469"/>
      <c r="E135" s="597"/>
      <c r="F135" s="597"/>
      <c r="G135" s="597"/>
      <c r="H135" s="598"/>
      <c r="I135" s="823" t="s">
        <v>317</v>
      </c>
      <c r="J135" s="141"/>
    </row>
    <row r="136" spans="1:10" s="110" customFormat="1" ht="42" customHeight="1" thickBot="1" x14ac:dyDescent="0.25">
      <c r="H136" s="1389"/>
      <c r="I136" s="571" t="s">
        <v>309</v>
      </c>
      <c r="J136" s="141"/>
    </row>
  </sheetData>
  <sheetProtection password="C4B9" sheet="1" objects="1" scenarios="1"/>
  <sortState ref="A3:K10">
    <sortCondition ref="H3:H10"/>
  </sortState>
  <customSheetViews>
    <customSheetView guid="{B8E02330-2419-4DE6-AD01-7ACC7A5D18DD}" scale="75">
      <selection activeCell="H167" sqref="A2:H167"/>
      <pageMargins left="0.75" right="0.75" top="1" bottom="1" header="0.5" footer="0.5"/>
      <pageSetup orientation="portrait" r:id="rId1"/>
      <headerFooter alignWithMargins="0"/>
    </customSheetView>
  </customSheetViews>
  <mergeCells count="70">
    <mergeCell ref="I103:I107"/>
    <mergeCell ref="B103:B107"/>
    <mergeCell ref="A103:A107"/>
    <mergeCell ref="H103:H107"/>
    <mergeCell ref="A82:A87"/>
    <mergeCell ref="A98:A102"/>
    <mergeCell ref="B98:B102"/>
    <mergeCell ref="I94:I97"/>
    <mergeCell ref="I88:I93"/>
    <mergeCell ref="I98:I102"/>
    <mergeCell ref="A94:A97"/>
    <mergeCell ref="H88:H93"/>
    <mergeCell ref="H98:H102"/>
    <mergeCell ref="B94:B97"/>
    <mergeCell ref="H94:H97"/>
    <mergeCell ref="I45:I50"/>
    <mergeCell ref="B31:B36"/>
    <mergeCell ref="A51:A56"/>
    <mergeCell ref="I82:I87"/>
    <mergeCell ref="H82:H87"/>
    <mergeCell ref="I51:I56"/>
    <mergeCell ref="I71:I74"/>
    <mergeCell ref="H76:H81"/>
    <mergeCell ref="I76:I81"/>
    <mergeCell ref="H45:H50"/>
    <mergeCell ref="H51:H56"/>
    <mergeCell ref="I64:I70"/>
    <mergeCell ref="H64:H70"/>
    <mergeCell ref="H57:H63"/>
    <mergeCell ref="I57:I63"/>
    <mergeCell ref="I31:I36"/>
    <mergeCell ref="A8:A14"/>
    <mergeCell ref="I37:I43"/>
    <mergeCell ref="I24:I30"/>
    <mergeCell ref="H24:H30"/>
    <mergeCell ref="H8:H14"/>
    <mergeCell ref="H15:H19"/>
    <mergeCell ref="I15:I19"/>
    <mergeCell ref="I20:I23"/>
    <mergeCell ref="H31:H36"/>
    <mergeCell ref="I8:I14"/>
    <mergeCell ref="H20:H23"/>
    <mergeCell ref="H37:H43"/>
    <mergeCell ref="B76:B81"/>
    <mergeCell ref="A24:A30"/>
    <mergeCell ref="A15:A19"/>
    <mergeCell ref="A20:A23"/>
    <mergeCell ref="A76:A81"/>
    <mergeCell ref="B24:B30"/>
    <mergeCell ref="B20:B23"/>
    <mergeCell ref="B15:B19"/>
    <mergeCell ref="A64:A70"/>
    <mergeCell ref="B64:B70"/>
    <mergeCell ref="B51:B56"/>
    <mergeCell ref="H71:H74"/>
    <mergeCell ref="E1:H1"/>
    <mergeCell ref="A1:B1"/>
    <mergeCell ref="A88:A93"/>
    <mergeCell ref="B88:B93"/>
    <mergeCell ref="B82:B87"/>
    <mergeCell ref="A31:A36"/>
    <mergeCell ref="B37:B43"/>
    <mergeCell ref="B45:B50"/>
    <mergeCell ref="A37:A43"/>
    <mergeCell ref="A45:A50"/>
    <mergeCell ref="A57:A63"/>
    <mergeCell ref="B57:B63"/>
    <mergeCell ref="A71:A74"/>
    <mergeCell ref="B71:B74"/>
    <mergeCell ref="B8:B14"/>
  </mergeCells>
  <phoneticPr fontId="12" type="noConversion"/>
  <conditionalFormatting sqref="D117:D118 D121:D122 D114:D115 D111:D112 D30:D37 D17:D22 D24:D26 D88:D91 D93:D94 D96:D98 D73:D76 D15 D71 D78:D86 D39:D43 D45 D55:D57 D100:D102 D104:D109 D47:D53 D59:D69">
    <cfRule type="cellIs" dxfId="8" priority="2" operator="greaterThan">
      <formula>0</formula>
    </cfRule>
  </conditionalFormatting>
  <pageMargins left="0.75" right="0.75" top="1" bottom="1" header="0.5" footer="0.5"/>
  <pageSetup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217"/>
  <sheetViews>
    <sheetView zoomScaleNormal="100" workbookViewId="0">
      <selection activeCell="C7" sqref="C7"/>
    </sheetView>
  </sheetViews>
  <sheetFormatPr defaultColWidth="9.33203125" defaultRowHeight="12.75" x14ac:dyDescent="0.2"/>
  <cols>
    <col min="1" max="1" width="5.83203125" style="25" customWidth="1"/>
    <col min="2" max="2" width="20.6640625" style="5" customWidth="1"/>
    <col min="3" max="3" width="69.83203125" style="5" customWidth="1"/>
    <col min="4" max="6" width="6.83203125" style="577" customWidth="1"/>
    <col min="7" max="7" width="10.83203125" style="179" customWidth="1"/>
    <col min="8" max="8" width="15.1640625" style="113" customWidth="1"/>
    <col min="9" max="9" width="67.83203125" style="25" customWidth="1"/>
    <col min="10" max="10" width="9.33203125" style="574"/>
    <col min="11" max="11" width="52.1640625" style="5" customWidth="1"/>
    <col min="12" max="12" width="9.33203125" style="5"/>
    <col min="13" max="13" width="49.33203125" style="5" customWidth="1"/>
    <col min="14" max="16384" width="9.33203125" style="5"/>
  </cols>
  <sheetData>
    <row r="1" spans="1:11" s="62" customFormat="1" ht="78.75" customHeight="1" thickBot="1" x14ac:dyDescent="0.25">
      <c r="A1" s="2076" t="s">
        <v>2258</v>
      </c>
      <c r="B1" s="2077"/>
      <c r="C1" s="60" t="s">
        <v>1049</v>
      </c>
      <c r="D1" s="75" t="s">
        <v>511</v>
      </c>
      <c r="E1" s="2115"/>
      <c r="F1" s="2116"/>
      <c r="G1" s="2116"/>
      <c r="H1" s="2116"/>
      <c r="I1" s="1377" t="s">
        <v>886</v>
      </c>
      <c r="J1" s="147"/>
    </row>
    <row r="2" spans="1:11" s="109" customFormat="1" ht="50.25" thickBot="1" x14ac:dyDescent="0.35">
      <c r="A2" s="1020" t="s">
        <v>78</v>
      </c>
      <c r="B2" s="1009" t="s">
        <v>701</v>
      </c>
      <c r="C2" s="1010" t="s">
        <v>866</v>
      </c>
      <c r="D2" s="1008"/>
      <c r="E2" s="1011"/>
      <c r="F2" s="1012"/>
      <c r="G2" s="1013" t="s">
        <v>710</v>
      </c>
      <c r="H2" s="1009" t="s">
        <v>2028</v>
      </c>
      <c r="I2" s="1009" t="s">
        <v>255</v>
      </c>
      <c r="J2" s="170"/>
    </row>
    <row r="3" spans="1:11" s="1325" customFormat="1" ht="51.75" thickBot="1" x14ac:dyDescent="0.25">
      <c r="A3" s="322" t="str">
        <f>OF!A2</f>
        <v>OF1</v>
      </c>
      <c r="B3" s="398" t="str">
        <f>OF!C2</f>
        <v>Aspect of the AA's 100m Upslope Buffer</v>
      </c>
      <c r="C3" s="410"/>
      <c r="D3" s="413"/>
      <c r="E3" s="325"/>
      <c r="F3" s="325"/>
      <c r="G3" s="345" t="str">
        <f>IF((Aspect=""),"",Aspect)</f>
        <v/>
      </c>
      <c r="H3" s="1427" t="s">
        <v>827</v>
      </c>
      <c r="I3" s="439" t="s">
        <v>1042</v>
      </c>
      <c r="J3" s="1600"/>
    </row>
    <row r="4" spans="1:11" s="1325" customFormat="1" ht="30" customHeight="1" thickBot="1" x14ac:dyDescent="0.25">
      <c r="A4" s="317" t="str">
        <f>OF!A4</f>
        <v>OF3</v>
      </c>
      <c r="B4" s="864" t="str">
        <f>OF!C4</f>
        <v>Channel Connection</v>
      </c>
      <c r="C4" s="1102"/>
      <c r="D4" s="414"/>
      <c r="E4" s="321"/>
      <c r="F4" s="321"/>
      <c r="G4" s="330" t="str">
        <f>IF((ChannConn=""),"",ChannConn)</f>
        <v/>
      </c>
      <c r="H4" s="331" t="s">
        <v>845</v>
      </c>
      <c r="I4" s="319" t="s">
        <v>850</v>
      </c>
      <c r="J4" s="1600"/>
    </row>
    <row r="5" spans="1:11" s="1325" customFormat="1" ht="30" customHeight="1" thickBot="1" x14ac:dyDescent="0.25">
      <c r="A5" s="322" t="str">
        <f>OF!A16</f>
        <v>OF15</v>
      </c>
      <c r="B5" s="323" t="str">
        <f>OF!C16</f>
        <v>Growing Degree Days</v>
      </c>
      <c r="C5" s="1104"/>
      <c r="D5" s="413"/>
      <c r="E5" s="325"/>
      <c r="F5" s="325"/>
      <c r="G5" s="345" t="str">
        <f>IF((GrowDD=""),"",GrowDD)</f>
        <v/>
      </c>
      <c r="H5" s="1360" t="s">
        <v>698</v>
      </c>
      <c r="I5" s="439" t="s">
        <v>1043</v>
      </c>
      <c r="J5" s="1620"/>
    </row>
    <row r="6" spans="1:11" s="1325" customFormat="1" ht="84" customHeight="1" thickBot="1" x14ac:dyDescent="0.25">
      <c r="A6" s="317" t="str">
        <f>OF!A24</f>
        <v>OF23</v>
      </c>
      <c r="B6" s="864" t="str">
        <f>OF!C24</f>
        <v>% of AA that is Open Water (macro scale)</v>
      </c>
      <c r="C6" s="870"/>
      <c r="D6" s="414"/>
      <c r="E6" s="321"/>
      <c r="F6" s="321"/>
      <c r="G6" s="330" t="str">
        <f>IF((OWpct=""),"", OWpct)</f>
        <v/>
      </c>
      <c r="H6" s="332" t="s">
        <v>787</v>
      </c>
      <c r="I6" s="399" t="s">
        <v>1155</v>
      </c>
      <c r="J6" s="1600"/>
      <c r="K6" s="1332"/>
    </row>
    <row r="7" spans="1:11" s="1325" customFormat="1" ht="31.5" customHeight="1" thickBot="1" x14ac:dyDescent="0.25">
      <c r="A7" s="322" t="str">
        <f>OF!A37</f>
        <v>OF36</v>
      </c>
      <c r="B7" s="323" t="str">
        <f>OF!C37</f>
        <v>Subzero Days</v>
      </c>
      <c r="C7" s="1104"/>
      <c r="D7" s="413"/>
      <c r="E7" s="325"/>
      <c r="F7" s="325"/>
      <c r="G7" s="345" t="str">
        <f>IF((Sub0Days=""),"",Sub0Days)</f>
        <v/>
      </c>
      <c r="H7" s="1360" t="s">
        <v>689</v>
      </c>
      <c r="I7" s="439" t="s">
        <v>1808</v>
      </c>
      <c r="J7" s="1620"/>
    </row>
    <row r="8" spans="1:11" s="1325" customFormat="1" ht="41.25" customHeight="1" thickBot="1" x14ac:dyDescent="0.25">
      <c r="A8" s="317" t="str">
        <f>OF!A38</f>
        <v>OF37</v>
      </c>
      <c r="B8" s="864" t="str">
        <f>OF!C38</f>
        <v>SwampMarsh</v>
      </c>
      <c r="C8" s="870"/>
      <c r="D8" s="414"/>
      <c r="E8" s="321"/>
      <c r="F8" s="321"/>
      <c r="G8" s="330" t="str">
        <f>IF((SwampMarshPct=""),"",SwampMarshPct)</f>
        <v/>
      </c>
      <c r="H8" s="332" t="s">
        <v>824</v>
      </c>
      <c r="I8" s="399" t="s">
        <v>1044</v>
      </c>
      <c r="J8" s="1600"/>
      <c r="K8" s="1332"/>
    </row>
    <row r="9" spans="1:11" s="1325" customFormat="1" ht="57" customHeight="1" thickBot="1" x14ac:dyDescent="0.25">
      <c r="A9" s="313" t="str">
        <f>OF!A49</f>
        <v>OF48</v>
      </c>
      <c r="B9" s="316" t="str">
        <f>OF!C49</f>
        <v>Upland Edge Index</v>
      </c>
      <c r="C9" s="1105"/>
      <c r="D9" s="413"/>
      <c r="E9" s="325"/>
      <c r="F9" s="325"/>
      <c r="G9" s="345" t="str">
        <f>IF((WetPerim2Area=""),"",WetPerim2Area)</f>
        <v/>
      </c>
      <c r="H9" s="1360" t="s">
        <v>657</v>
      </c>
      <c r="I9" s="439" t="s">
        <v>1045</v>
      </c>
      <c r="J9" s="1620"/>
    </row>
    <row r="10" spans="1:11" s="1007" customFormat="1" ht="66.75" thickBot="1" x14ac:dyDescent="0.35">
      <c r="A10" s="997" t="s">
        <v>78</v>
      </c>
      <c r="B10" s="1017" t="s">
        <v>709</v>
      </c>
      <c r="C10" s="1021" t="s">
        <v>708</v>
      </c>
      <c r="D10" s="1000" t="s">
        <v>33</v>
      </c>
      <c r="E10" s="1001" t="s">
        <v>1131</v>
      </c>
      <c r="F10" s="1002" t="s">
        <v>1130</v>
      </c>
      <c r="G10" s="1003" t="s">
        <v>710</v>
      </c>
      <c r="H10" s="1004" t="s">
        <v>2028</v>
      </c>
      <c r="I10" s="1005" t="s">
        <v>917</v>
      </c>
      <c r="J10" s="1006"/>
    </row>
    <row r="11" spans="1:11" s="6" customFormat="1" ht="22.15" customHeight="1" thickBot="1" x14ac:dyDescent="0.25">
      <c r="A11" s="1991" t="str">
        <f>F!A5</f>
        <v>F1</v>
      </c>
      <c r="B11" s="1867" t="str">
        <f>F!B5</f>
        <v>Wetland Type - Predominant</v>
      </c>
      <c r="C11" s="794" t="str">
        <f>F!C5</f>
        <v>Follow the key below and mark the ONE row that best describes MOST of the AA:</v>
      </c>
      <c r="D11" s="730"/>
      <c r="E11" s="252"/>
      <c r="F11" s="253"/>
      <c r="G11" s="219">
        <f>MAX(F12:F17)/MAX(E12:E17)</f>
        <v>0</v>
      </c>
      <c r="H11" s="1867" t="s">
        <v>220</v>
      </c>
      <c r="I11" s="1987" t="s">
        <v>2429</v>
      </c>
      <c r="J11" s="137"/>
    </row>
    <row r="12" spans="1:11" s="6" customFormat="1" ht="41.25" customHeight="1" x14ac:dyDescent="0.2">
      <c r="A12" s="1991"/>
      <c r="B12" s="1911"/>
      <c r="C12" s="888" t="str">
        <f>F!C6</f>
        <v>A. Moss and/or lichen cover more than 25% of the ground. Substrate is mostly undecomposed peat. Choose between A1 and A2 and mark the choice with a 1 in their adjoining column. Otherwise go to B below.</v>
      </c>
      <c r="D12" s="223"/>
      <c r="E12" s="223"/>
      <c r="F12" s="223"/>
      <c r="G12" s="222"/>
      <c r="H12" s="1911"/>
      <c r="I12" s="1987"/>
      <c r="J12" s="137"/>
    </row>
    <row r="13" spans="1:11" s="6" customFormat="1" ht="82.5" customHeight="1" x14ac:dyDescent="0.2">
      <c r="A13" s="1991"/>
      <c r="B13" s="1911"/>
      <c r="C13" s="889"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3" s="733">
        <f>F!D7</f>
        <v>0</v>
      </c>
      <c r="E13" s="254">
        <v>2</v>
      </c>
      <c r="F13" s="241">
        <f>D13*E13</f>
        <v>0</v>
      </c>
      <c r="G13" s="223"/>
      <c r="H13" s="1911"/>
      <c r="I13" s="1987"/>
      <c r="J13" s="137"/>
    </row>
    <row r="14" spans="1:11" s="6" customFormat="1" ht="69" customHeight="1" x14ac:dyDescent="0.2">
      <c r="A14" s="1991"/>
      <c r="B14" s="1911"/>
      <c r="C14" s="889"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4" s="733">
        <f>F!D8</f>
        <v>0</v>
      </c>
      <c r="E14" s="254">
        <v>2</v>
      </c>
      <c r="F14" s="241">
        <f>D14*E14</f>
        <v>0</v>
      </c>
      <c r="G14" s="223"/>
      <c r="H14" s="1911"/>
      <c r="I14" s="1987"/>
      <c r="J14" s="137"/>
    </row>
    <row r="15" spans="1:11" s="6" customFormat="1" ht="41.25" customHeight="1" x14ac:dyDescent="0.2">
      <c r="A15" s="1991"/>
      <c r="B15" s="1911"/>
      <c r="C15" s="889" t="str">
        <f>F!C9</f>
        <v>B. Moss and/or lichen cover less than 25% of the ground. Soil is mineral or decomposed organic (muck). Choose between B1 and B2 and mark the choice with a 1 in their adjoining column:</v>
      </c>
      <c r="D15" s="223"/>
      <c r="E15" s="223"/>
      <c r="F15" s="223"/>
      <c r="G15" s="729"/>
      <c r="H15" s="1911"/>
      <c r="I15" s="1987"/>
      <c r="J15" s="137"/>
    </row>
    <row r="16" spans="1:11" s="6" customFormat="1" ht="51" x14ac:dyDescent="0.2">
      <c r="A16" s="1991"/>
      <c r="B16" s="1911"/>
      <c r="C16" s="889"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6" s="733">
        <f>F!D10</f>
        <v>0</v>
      </c>
      <c r="E16" s="430">
        <v>3</v>
      </c>
      <c r="F16" s="241">
        <f t="shared" ref="F16:F17" si="0">D16*E16</f>
        <v>0</v>
      </c>
      <c r="G16" s="729"/>
      <c r="H16" s="1911"/>
      <c r="I16" s="1987"/>
      <c r="J16" s="137"/>
    </row>
    <row r="17" spans="1:11" s="6" customFormat="1" ht="77.25" thickBot="1" x14ac:dyDescent="0.25">
      <c r="A17" s="1991"/>
      <c r="B17" s="1911"/>
      <c r="C17" s="889"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7" s="733">
        <f>F!D11</f>
        <v>0</v>
      </c>
      <c r="E17" s="430">
        <v>1</v>
      </c>
      <c r="F17" s="241">
        <f t="shared" si="0"/>
        <v>0</v>
      </c>
      <c r="G17" s="729"/>
      <c r="H17" s="1911"/>
      <c r="I17" s="1987"/>
      <c r="J17" s="137"/>
    </row>
    <row r="18" spans="1:11" ht="45.75" customHeight="1" thickBot="1" x14ac:dyDescent="0.25">
      <c r="A18" s="2036" t="str">
        <f>F!A18</f>
        <v>F3</v>
      </c>
      <c r="B18" s="2000" t="str">
        <f>F!B18</f>
        <v>Woody Cover by Height</v>
      </c>
      <c r="C18" s="1303" t="str">
        <f>F!C18</f>
        <v>Following EACH row below, indicate with a number code the percentage of the of the living vegetation in the AA occupied by that feature (5 if &gt;75%,   4 if 50-75%,   3 if 25-50%,   2 if 5-25%,   1 if &lt;5%, 0 if none).  If the AA has no trees or shrubs, SKIP to F8.</v>
      </c>
      <c r="D18" s="1311"/>
      <c r="E18" s="1312"/>
      <c r="F18" s="1313"/>
      <c r="G18" s="225">
        <f>IF((D19&gt;3),0, IF((D21&gt;3),0, IF((D23&gt;3),0,1)))</f>
        <v>1</v>
      </c>
      <c r="H18" s="2000" t="s">
        <v>794</v>
      </c>
      <c r="I18" s="2124" t="s">
        <v>2261</v>
      </c>
      <c r="K18" s="1325"/>
    </row>
    <row r="19" spans="1:11" ht="15" customHeight="1" x14ac:dyDescent="0.2">
      <c r="A19" s="2035"/>
      <c r="B19" s="1989"/>
      <c r="C19" s="995" t="str">
        <f>F!C19</f>
        <v>coniferous trees (including tamarack) taller than 3 m.</v>
      </c>
      <c r="D19" s="778">
        <f>F!D19</f>
        <v>0</v>
      </c>
      <c r="E19" s="722">
        <v>0</v>
      </c>
      <c r="F19" s="380">
        <f t="shared" ref="F19:F24" si="1">D19*E19</f>
        <v>0</v>
      </c>
      <c r="G19" s="1314"/>
      <c r="H19" s="1989"/>
      <c r="I19" s="2014"/>
    </row>
    <row r="20" spans="1:11" ht="15" customHeight="1" x14ac:dyDescent="0.2">
      <c r="A20" s="2035"/>
      <c r="B20" s="1989"/>
      <c r="C20" s="996" t="str">
        <f>F!C20</f>
        <v>deciduous trees taller than 3 m.</v>
      </c>
      <c r="D20" s="778">
        <f>F!D20</f>
        <v>0</v>
      </c>
      <c r="E20" s="722">
        <v>1</v>
      </c>
      <c r="F20" s="380">
        <f t="shared" si="1"/>
        <v>0</v>
      </c>
      <c r="G20" s="1315"/>
      <c r="H20" s="1989"/>
      <c r="I20" s="2014"/>
    </row>
    <row r="21" spans="1:11" ht="18.75" customHeight="1" x14ac:dyDescent="0.2">
      <c r="A21" s="2035"/>
      <c r="B21" s="1989"/>
      <c r="C21" s="996" t="str">
        <f>F!C21</f>
        <v>coniferous or ericaceous shrubs or trees 1-3 m tall not directly below the canopy of trees.</v>
      </c>
      <c r="D21" s="778">
        <f>F!D21</f>
        <v>0</v>
      </c>
      <c r="E21" s="722">
        <v>0</v>
      </c>
      <c r="F21" s="380">
        <f t="shared" si="1"/>
        <v>0</v>
      </c>
      <c r="G21" s="1315"/>
      <c r="H21" s="1989"/>
      <c r="I21" s="2014"/>
    </row>
    <row r="22" spans="1:11" ht="27" customHeight="1" x14ac:dyDescent="0.2">
      <c r="A22" s="2035"/>
      <c r="B22" s="1989"/>
      <c r="C22" s="996" t="str">
        <f>F!C22</f>
        <v>deciduous shrubs or trees 1-3 m tall not directly below the canopy of trees &gt;3 m (e.g., deciduous saplings).</v>
      </c>
      <c r="D22" s="778">
        <f>F!D22</f>
        <v>0</v>
      </c>
      <c r="E22" s="722">
        <v>1</v>
      </c>
      <c r="F22" s="380">
        <f t="shared" si="1"/>
        <v>0</v>
      </c>
      <c r="G22" s="1315"/>
      <c r="H22" s="1989"/>
      <c r="I22" s="2014"/>
    </row>
    <row r="23" spans="1:11" ht="25.5" x14ac:dyDescent="0.2">
      <c r="A23" s="2035"/>
      <c r="B23" s="1989"/>
      <c r="C23" s="996" t="str">
        <f>F!C23</f>
        <v>coniferous or ericaceous shrubs or trees &lt;1 m tall not directly below the canopy of taller vegetation.</v>
      </c>
      <c r="D23" s="778">
        <f>F!D23</f>
        <v>0</v>
      </c>
      <c r="E23" s="722">
        <v>0</v>
      </c>
      <c r="F23" s="380">
        <f t="shared" si="1"/>
        <v>0</v>
      </c>
      <c r="G23" s="1315"/>
      <c r="H23" s="1989"/>
      <c r="I23" s="2014"/>
    </row>
    <row r="24" spans="1:11" ht="15" customHeight="1" thickBot="1" x14ac:dyDescent="0.25">
      <c r="A24" s="2037"/>
      <c r="B24" s="2037"/>
      <c r="C24" s="1316" t="str">
        <f>F!C24</f>
        <v>deciduous shrubs or trees &lt;1 m tall (e.g., deciduous seedlings).</v>
      </c>
      <c r="D24" s="102">
        <f>F!D24</f>
        <v>0</v>
      </c>
      <c r="E24" s="244">
        <v>1</v>
      </c>
      <c r="F24" s="244">
        <f t="shared" si="1"/>
        <v>0</v>
      </c>
      <c r="G24" s="1317"/>
      <c r="H24" s="1990"/>
      <c r="I24" s="2015"/>
    </row>
    <row r="25" spans="1:11" ht="21" customHeight="1" thickBot="1" x14ac:dyDescent="0.25">
      <c r="A25" s="2035" t="str">
        <f>F!A34</f>
        <v>F5</v>
      </c>
      <c r="B25" s="1989" t="str">
        <f>F!B34</f>
        <v>Interspersion of Tall and Short Vegetation</v>
      </c>
      <c r="C25" s="1395" t="str">
        <f>F!C34</f>
        <v>Follow the key below and mark the ONE row that best describes MOST of the AA:</v>
      </c>
      <c r="D25" s="1257"/>
      <c r="E25" s="271"/>
      <c r="F25" s="279"/>
      <c r="G25" s="761">
        <f>MAX(F26:F31)/MAX(E26:E31)</f>
        <v>0</v>
      </c>
      <c r="H25" s="2063" t="s">
        <v>2259</v>
      </c>
      <c r="I25" s="2009" t="s">
        <v>2260</v>
      </c>
    </row>
    <row r="26" spans="1:11" ht="51" x14ac:dyDescent="0.2">
      <c r="A26" s="2035"/>
      <c r="B26" s="1989"/>
      <c r="C26" s="995" t="str">
        <f>F!C35</f>
        <v>A. Neither the vegetation taller than 1m nor the vegetation shorter than that comprise &gt;70% of the vegetated part of the AA. They each comprise 30-70%.  If false, go to B below.  Otherwise choose between A1 and A2 and mark the choice with a 1 in the adjoining column:</v>
      </c>
      <c r="D26" s="722"/>
      <c r="E26" s="722"/>
      <c r="F26" s="722"/>
      <c r="G26" s="723"/>
      <c r="H26" s="2063"/>
      <c r="I26" s="2125"/>
    </row>
    <row r="27" spans="1:11" ht="15.75" customHeight="1" x14ac:dyDescent="0.2">
      <c r="A27" s="2035"/>
      <c r="B27" s="1989"/>
      <c r="C27" s="996" t="str">
        <f>F!C36</f>
        <v xml:space="preserve">   A1. The two height classes are mostly scattered and intermixed throughout the AA.</v>
      </c>
      <c r="D27" s="1285">
        <f>F!D36</f>
        <v>0</v>
      </c>
      <c r="E27" s="722">
        <v>3</v>
      </c>
      <c r="F27" s="722">
        <f t="shared" ref="F27:F31" si="2">D27*E27</f>
        <v>0</v>
      </c>
      <c r="G27" s="723"/>
      <c r="H27" s="2063"/>
      <c r="I27" s="2125"/>
    </row>
    <row r="28" spans="1:11" ht="29.25" customHeight="1" x14ac:dyDescent="0.2">
      <c r="A28" s="2035"/>
      <c r="B28" s="1989"/>
      <c r="C28" s="996" t="str">
        <f>F!C37</f>
        <v xml:space="preserve">   A2. Not A1.  The two height classes are mostly in separate zones or bands, or in proportionately large clumps.</v>
      </c>
      <c r="D28" s="1285">
        <f>F!D37</f>
        <v>0</v>
      </c>
      <c r="E28" s="722">
        <v>1</v>
      </c>
      <c r="F28" s="722">
        <f t="shared" si="2"/>
        <v>0</v>
      </c>
      <c r="G28" s="723"/>
      <c r="H28" s="2063"/>
      <c r="I28" s="2125"/>
    </row>
    <row r="29" spans="1:11" ht="38.25" x14ac:dyDescent="0.2">
      <c r="A29" s="2035"/>
      <c r="B29" s="1989"/>
      <c r="C29" s="996" t="str">
        <f>F!C38</f>
        <v>B. Either the vegetation taller than 1m or the vegetation shorter than 1m comprise &gt;70% of the vegetated part of the AA.  One size class might even be totally absent.  Choose between B1 and B2 and mark the choice with a 1 in the adjoining column:</v>
      </c>
      <c r="D29" s="722"/>
      <c r="E29" s="722"/>
      <c r="F29" s="722">
        <f t="shared" si="2"/>
        <v>0</v>
      </c>
      <c r="G29" s="723"/>
      <c r="H29" s="2063"/>
      <c r="I29" s="2125"/>
    </row>
    <row r="30" spans="1:11" ht="27" customHeight="1" x14ac:dyDescent="0.2">
      <c r="A30" s="2035"/>
      <c r="B30" s="1989"/>
      <c r="C30" s="996" t="str">
        <f>F!C39</f>
        <v xml:space="preserve">   B1. The less prevalent height class is mostly scattered and intermixed within the prevalent one.</v>
      </c>
      <c r="D30" s="1285">
        <f>F!D39</f>
        <v>0</v>
      </c>
      <c r="E30" s="722">
        <v>2</v>
      </c>
      <c r="F30" s="722">
        <f t="shared" si="2"/>
        <v>0</v>
      </c>
      <c r="G30" s="723"/>
      <c r="H30" s="2063"/>
      <c r="I30" s="2125"/>
    </row>
    <row r="31" spans="1:11" ht="26.25" customHeight="1" thickBot="1" x14ac:dyDescent="0.25">
      <c r="A31" s="2037"/>
      <c r="B31" s="1990"/>
      <c r="C31" s="329" t="str">
        <f>F!C40</f>
        <v xml:space="preserve">   B2. Not B1.  The less prevalent height class is mostly located apart from the prevalent one, in separate zones or clumps, or is completely absent</v>
      </c>
      <c r="D31" s="1286">
        <f>F!D40</f>
        <v>0</v>
      </c>
      <c r="E31" s="276">
        <v>0</v>
      </c>
      <c r="F31" s="244">
        <f t="shared" si="2"/>
        <v>0</v>
      </c>
      <c r="G31" s="728"/>
      <c r="H31" s="2042"/>
      <c r="I31" s="2126"/>
    </row>
    <row r="32" spans="1:11" ht="39" thickBot="1" x14ac:dyDescent="0.25">
      <c r="A32" s="2103" t="str">
        <f>F!A63</f>
        <v>F11</v>
      </c>
      <c r="B32" s="2027" t="str">
        <f>F!B63</f>
        <v>% Bare Ground &amp; Thatch</v>
      </c>
      <c r="C32" s="104" t="str">
        <f>F!C63</f>
        <v>Consider the parts of the AA that lack surface water at the driest time of the growing season.  Viewed from directly above the ground layer, the predominant condition in those areas at that time is:</v>
      </c>
      <c r="D32" s="777"/>
      <c r="E32" s="376"/>
      <c r="F32" s="262"/>
      <c r="G32" s="225">
        <f>MAX(F33:F36)/MAX(E33:E36)</f>
        <v>0</v>
      </c>
      <c r="H32" s="2000" t="s">
        <v>228</v>
      </c>
      <c r="I32" s="2120" t="s">
        <v>1337</v>
      </c>
    </row>
    <row r="33" spans="1:9" ht="41.25" customHeight="1" x14ac:dyDescent="0.2">
      <c r="A33" s="2104"/>
      <c r="B33" s="2028"/>
      <c r="C33" s="995" t="str">
        <f>F!C64</f>
        <v>Little or no (&lt;5%) bare ground is visible between erect stems or under canopy anywhere in the vegetated AA. Ground is extensively blanketed by dense thatch, moss, lichens, graminoids with great stem densities, or plants with ground-hugging foliage. </v>
      </c>
      <c r="D33" s="303">
        <f>F!D64</f>
        <v>0</v>
      </c>
      <c r="E33" s="722">
        <v>3</v>
      </c>
      <c r="F33" s="722">
        <f>D33*E33</f>
        <v>0</v>
      </c>
      <c r="G33" s="202"/>
      <c r="H33" s="1989"/>
      <c r="I33" s="1987"/>
    </row>
    <row r="34" spans="1:9" ht="27" customHeight="1" x14ac:dyDescent="0.2">
      <c r="A34" s="2104"/>
      <c r="B34" s="2028"/>
      <c r="C34" s="996" t="str">
        <f>F!C65</f>
        <v>Slightly bare ground (5-20% bare between plants) is visible in places, but those areas comprise less than 5% of the unflooded parts of the AA.</v>
      </c>
      <c r="D34" s="778">
        <f>F!D65</f>
        <v>0</v>
      </c>
      <c r="E34" s="722">
        <v>2</v>
      </c>
      <c r="F34" s="722">
        <f>D34*E34</f>
        <v>0</v>
      </c>
      <c r="G34" s="775"/>
      <c r="H34" s="1989"/>
      <c r="I34" s="1987"/>
    </row>
    <row r="35" spans="1:9" ht="27" customHeight="1" x14ac:dyDescent="0.2">
      <c r="A35" s="2104"/>
      <c r="B35" s="2028"/>
      <c r="C35" s="996" t="str">
        <f>F!C66</f>
        <v>Much bare ground (20-50% bare between plants) is visible in places, and those areas comprise more than 5% of the unflooded parts of the AA. </v>
      </c>
      <c r="D35" s="778">
        <f>F!D66</f>
        <v>0</v>
      </c>
      <c r="E35" s="722">
        <v>1</v>
      </c>
      <c r="F35" s="722">
        <f>D35*E35</f>
        <v>0</v>
      </c>
      <c r="G35" s="775"/>
      <c r="H35" s="1989"/>
      <c r="I35" s="1987"/>
    </row>
    <row r="36" spans="1:9" ht="15" customHeight="1" thickBot="1" x14ac:dyDescent="0.25">
      <c r="A36" s="2105"/>
      <c r="B36" s="2029"/>
      <c r="C36" s="329" t="str">
        <f>F!C67</f>
        <v>Other conditions.</v>
      </c>
      <c r="D36" s="102">
        <f>F!D67</f>
        <v>0</v>
      </c>
      <c r="E36" s="244">
        <v>0</v>
      </c>
      <c r="F36" s="244">
        <f>D36*E36</f>
        <v>0</v>
      </c>
      <c r="G36" s="258"/>
      <c r="H36" s="1990"/>
      <c r="I36" s="1988"/>
    </row>
    <row r="37" spans="1:9" ht="60" customHeight="1" thickBot="1" x14ac:dyDescent="0.25">
      <c r="A37" s="2104" t="str">
        <f>F!A69</f>
        <v>F12</v>
      </c>
      <c r="B37" s="2028" t="str">
        <f>F!B69</f>
        <v>Ground Irregularity</v>
      </c>
      <c r="C37" s="1391"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37" s="736"/>
      <c r="E37" s="239"/>
      <c r="F37" s="259"/>
      <c r="G37" s="219">
        <f>MAX(F38:F40)/MAX(E38:E40)</f>
        <v>0</v>
      </c>
      <c r="H37" s="1989" t="s">
        <v>229</v>
      </c>
      <c r="I37" s="1987" t="s">
        <v>270</v>
      </c>
    </row>
    <row r="38" spans="1:9" ht="25.5" x14ac:dyDescent="0.2">
      <c r="A38" s="2104"/>
      <c r="B38" s="2028"/>
      <c r="C38" s="995" t="str">
        <f>F!C70</f>
        <v xml:space="preserve">Few or none (minimal microtopography; &lt;1% of the land has such features, or entire site is always water-covered). </v>
      </c>
      <c r="D38" s="778">
        <f>F!D70</f>
        <v>0</v>
      </c>
      <c r="E38" s="722">
        <v>0</v>
      </c>
      <c r="F38" s="722">
        <f>D38*E38</f>
        <v>0</v>
      </c>
      <c r="G38" s="202"/>
      <c r="H38" s="1989"/>
      <c r="I38" s="1987"/>
    </row>
    <row r="39" spans="1:9" ht="15" customHeight="1" x14ac:dyDescent="0.2">
      <c r="A39" s="2104"/>
      <c r="B39" s="2028"/>
      <c r="C39" s="996" t="str">
        <f>F!C71</f>
        <v>Intermediate.</v>
      </c>
      <c r="D39" s="778">
        <f>F!D71</f>
        <v>0</v>
      </c>
      <c r="E39" s="722">
        <v>2</v>
      </c>
      <c r="F39" s="722">
        <f>D39*E39</f>
        <v>0</v>
      </c>
      <c r="G39" s="775"/>
      <c r="H39" s="1989"/>
      <c r="I39" s="1987"/>
    </row>
    <row r="40" spans="1:9" ht="15" customHeight="1" thickBot="1" x14ac:dyDescent="0.25">
      <c r="A40" s="2105"/>
      <c r="B40" s="2029"/>
      <c r="C40" s="329" t="str">
        <f>F!C72</f>
        <v>Several (extensive micro-topography).</v>
      </c>
      <c r="D40" s="102">
        <f>F!D72</f>
        <v>0</v>
      </c>
      <c r="E40" s="244">
        <v>3</v>
      </c>
      <c r="F40" s="244">
        <f>D40*E40</f>
        <v>0</v>
      </c>
      <c r="G40" s="258"/>
      <c r="H40" s="1990"/>
      <c r="I40" s="1988"/>
    </row>
    <row r="41" spans="1:9" ht="21" customHeight="1" thickBot="1" x14ac:dyDescent="0.25">
      <c r="A41" s="2097" t="str">
        <f>F!A73</f>
        <v>F13</v>
      </c>
      <c r="B41" s="2073" t="str">
        <f>F!B73</f>
        <v>Upland Inclusions</v>
      </c>
      <c r="C41" s="90" t="str">
        <f>F!C73</f>
        <v>Within the AA, inclusions of upland that individually are &gt;100 sq.m. are:</v>
      </c>
      <c r="D41" s="372"/>
      <c r="E41" s="376"/>
      <c r="F41" s="262"/>
      <c r="G41" s="225">
        <f>IF((D42=1),"", MAX(F42:F44)/MAX(E42:E44))</f>
        <v>0</v>
      </c>
      <c r="H41" s="2000" t="s">
        <v>230</v>
      </c>
      <c r="I41" s="2120" t="s">
        <v>271</v>
      </c>
    </row>
    <row r="42" spans="1:9" ht="15" customHeight="1" x14ac:dyDescent="0.2">
      <c r="A42" s="2104"/>
      <c r="B42" s="2028"/>
      <c r="C42" s="888" t="str">
        <f>F!C74</f>
        <v>Few or none.</v>
      </c>
      <c r="D42" s="382">
        <f>F!D74</f>
        <v>0</v>
      </c>
      <c r="E42" s="377">
        <v>0</v>
      </c>
      <c r="F42" s="377">
        <f>D42*E42</f>
        <v>0</v>
      </c>
      <c r="G42" s="202"/>
      <c r="H42" s="1989"/>
      <c r="I42" s="1987"/>
    </row>
    <row r="43" spans="1:9" ht="15" customHeight="1" x14ac:dyDescent="0.2">
      <c r="A43" s="2104"/>
      <c r="B43" s="2028"/>
      <c r="C43" s="889" t="str">
        <f>F!C75</f>
        <v>Intermediate (1 - 10% of vegetated part of the AA).</v>
      </c>
      <c r="D43" s="382">
        <f>F!D75</f>
        <v>0</v>
      </c>
      <c r="E43" s="377">
        <v>1</v>
      </c>
      <c r="F43" s="377">
        <f>D43*E43</f>
        <v>0</v>
      </c>
      <c r="G43" s="267"/>
      <c r="H43" s="1989"/>
      <c r="I43" s="1987"/>
    </row>
    <row r="44" spans="1:9" ht="15" customHeight="1" thickBot="1" x14ac:dyDescent="0.25">
      <c r="A44" s="2105"/>
      <c r="B44" s="2029"/>
      <c r="C44" s="82" t="str">
        <f>F!C76</f>
        <v>Many (e.g., wetland-upland "mosaic", &gt;10% of the vegetated AA).</v>
      </c>
      <c r="D44" s="191">
        <f>F!D76</f>
        <v>0</v>
      </c>
      <c r="E44" s="244">
        <v>2</v>
      </c>
      <c r="F44" s="244">
        <f>D44*E44</f>
        <v>0</v>
      </c>
      <c r="G44" s="258"/>
      <c r="H44" s="1990"/>
      <c r="I44" s="1988"/>
    </row>
    <row r="45" spans="1:9" ht="45" customHeight="1" thickBot="1" x14ac:dyDescent="0.25">
      <c r="A45" s="2104" t="str">
        <f>F!A77</f>
        <v>F14</v>
      </c>
      <c r="B45" s="2028" t="str">
        <f>F!B77</f>
        <v>Soil Texture</v>
      </c>
      <c r="C45" s="1391" t="str">
        <f>F!C77</f>
        <v>In parts of the AA that lack persistent water, the texture of soil in the uppermost layer is mostly:  [To determine this, use a trowel to check in at least 3 widely spaced locations, and use the soil texture key in Appendix A of the Manual].</v>
      </c>
      <c r="D45" s="437"/>
      <c r="E45" s="239"/>
      <c r="F45" s="259"/>
      <c r="G45" s="219">
        <f>MAX(F46:F51)/MAX(E46:E51)</f>
        <v>0</v>
      </c>
      <c r="H45" s="2000" t="s">
        <v>231</v>
      </c>
      <c r="I45" s="1987" t="s">
        <v>1011</v>
      </c>
    </row>
    <row r="46" spans="1:9" ht="15" customHeight="1" x14ac:dyDescent="0.2">
      <c r="A46" s="2104"/>
      <c r="B46" s="2028"/>
      <c r="C46" s="995" t="str">
        <f>F!C78</f>
        <v>Loamy: includes loam, sandy loam.</v>
      </c>
      <c r="D46" s="92">
        <f>F!D78</f>
        <v>0</v>
      </c>
      <c r="E46" s="241">
        <v>1</v>
      </c>
      <c r="F46" s="241">
        <f t="shared" ref="F46:F51" si="3">D46*E46</f>
        <v>0</v>
      </c>
      <c r="G46" s="202"/>
      <c r="H46" s="1989"/>
      <c r="I46" s="1987"/>
    </row>
    <row r="47" spans="1:9" ht="27" customHeight="1" x14ac:dyDescent="0.2">
      <c r="A47" s="2104"/>
      <c r="B47" s="2028"/>
      <c r="C47" s="996" t="str">
        <f>F!C79</f>
        <v>Fines: includes silt, glacial flour, clay, clay loam, silty clay, silty clay loam, sandy clay, sandy clay loam.</v>
      </c>
      <c r="D47" s="92">
        <f>F!D79</f>
        <v>0</v>
      </c>
      <c r="E47" s="241">
        <v>2</v>
      </c>
      <c r="F47" s="241">
        <f t="shared" si="3"/>
        <v>0</v>
      </c>
      <c r="G47" s="257"/>
      <c r="H47" s="1989"/>
      <c r="I47" s="1987"/>
    </row>
    <row r="48" spans="1:9" ht="15" customHeight="1" x14ac:dyDescent="0.2">
      <c r="A48" s="2104"/>
      <c r="B48" s="2028"/>
      <c r="C48" s="996" t="str">
        <f>F!C80</f>
        <v>Peat, present to 40 cm depth or greater.</v>
      </c>
      <c r="D48" s="92">
        <f>F!D80</f>
        <v>0</v>
      </c>
      <c r="E48" s="241">
        <v>4</v>
      </c>
      <c r="F48" s="241">
        <f t="shared" si="3"/>
        <v>0</v>
      </c>
      <c r="G48" s="257"/>
      <c r="H48" s="1989"/>
      <c r="I48" s="1987"/>
    </row>
    <row r="49" spans="1:10" ht="15" customHeight="1" x14ac:dyDescent="0.2">
      <c r="A49" s="2104"/>
      <c r="B49" s="2028"/>
      <c r="C49" s="996" t="str">
        <f>F!C81</f>
        <v>Peat, but becomes mineral before reaching 40 cm depth.</v>
      </c>
      <c r="D49" s="92">
        <f>F!D81</f>
        <v>0</v>
      </c>
      <c r="E49" s="380">
        <v>3</v>
      </c>
      <c r="F49" s="380">
        <f t="shared" si="3"/>
        <v>0</v>
      </c>
      <c r="G49" s="721"/>
      <c r="H49" s="1989"/>
      <c r="I49" s="1987"/>
    </row>
    <row r="50" spans="1:10" ht="15" customHeight="1" x14ac:dyDescent="0.2">
      <c r="A50" s="2104"/>
      <c r="B50" s="2028"/>
      <c r="C50" s="996" t="str">
        <f>F!C82</f>
        <v>Organic or organic muck, but becomes mineral before reaching 40 cm depth.</v>
      </c>
      <c r="D50" s="92">
        <f>F!D82</f>
        <v>0</v>
      </c>
      <c r="E50" s="380">
        <v>3</v>
      </c>
      <c r="F50" s="380">
        <f t="shared" si="3"/>
        <v>0</v>
      </c>
      <c r="G50" s="721"/>
      <c r="H50" s="1989"/>
      <c r="I50" s="1987"/>
    </row>
    <row r="51" spans="1:10" ht="27" customHeight="1" thickBot="1" x14ac:dyDescent="0.25">
      <c r="A51" s="2104"/>
      <c r="B51" s="2028"/>
      <c r="C51" s="780" t="str">
        <f>F!C83</f>
        <v>Coarse: includes sand, loamy sand, gravel, cobble, stones, boulders, fluvents, fluvaquents, riverwash.</v>
      </c>
      <c r="D51" s="190">
        <f>F!D83</f>
        <v>0</v>
      </c>
      <c r="E51" s="242">
        <v>0</v>
      </c>
      <c r="F51" s="242">
        <f t="shared" si="3"/>
        <v>0</v>
      </c>
      <c r="G51" s="433"/>
      <c r="H51" s="1990"/>
      <c r="I51" s="1987"/>
    </row>
    <row r="52" spans="1:10" s="6" customFormat="1" ht="39" thickBot="1" x14ac:dyDescent="0.25">
      <c r="A52" s="2000" t="str">
        <f>F!A121</f>
        <v>F22</v>
      </c>
      <c r="B52" s="2000" t="str">
        <f>F!B121</f>
        <v>% Never With Surface Water</v>
      </c>
      <c r="C52" s="1023" t="str">
        <f>F!C121</f>
        <v>The percentage of the AA that never contains surface water during an average year (that is, except perhaps for a few hours after snowmelt or rainstorms), but which is still a wetland, is:</v>
      </c>
      <c r="D52" s="774"/>
      <c r="E52" s="255"/>
      <c r="F52" s="256"/>
      <c r="G52" s="225">
        <f>MAX(F53:F57)/MAX(E53:E57)</f>
        <v>0</v>
      </c>
      <c r="H52" s="1867" t="s">
        <v>468</v>
      </c>
      <c r="I52" s="2008" t="s">
        <v>290</v>
      </c>
      <c r="J52" s="137"/>
    </row>
    <row r="53" spans="1:10" s="6" customFormat="1" ht="38.25" x14ac:dyDescent="0.2">
      <c r="A53" s="1989"/>
      <c r="B53" s="1989"/>
      <c r="C53" s="995" t="str">
        <f>F!C122</f>
        <v>&lt;0.01 hectare (about 10 m on a side) and &lt;1% of the AA never has surface water.  In other words, all or nearly all of the AA is covered by water permanently or at least seasonally.</v>
      </c>
      <c r="D53" s="773">
        <f>F!D122</f>
        <v>0</v>
      </c>
      <c r="E53" s="748">
        <v>4</v>
      </c>
      <c r="F53" s="722">
        <f>D53*E53</f>
        <v>0</v>
      </c>
      <c r="G53" s="775"/>
      <c r="H53" s="1911"/>
      <c r="I53" s="2009"/>
      <c r="J53" s="137"/>
    </row>
    <row r="54" spans="1:10" s="6" customFormat="1" ht="15" customHeight="1" x14ac:dyDescent="0.2">
      <c r="A54" s="1989"/>
      <c r="B54" s="1989"/>
      <c r="C54" s="996" t="str">
        <f>F!C123</f>
        <v>1-25% of the AA never contains surface water.</v>
      </c>
      <c r="D54" s="773">
        <f>F!D123</f>
        <v>0</v>
      </c>
      <c r="E54" s="748">
        <v>5</v>
      </c>
      <c r="F54" s="722">
        <f>D54*E54</f>
        <v>0</v>
      </c>
      <c r="G54" s="775"/>
      <c r="H54" s="1911"/>
      <c r="I54" s="2009"/>
      <c r="J54" s="137"/>
    </row>
    <row r="55" spans="1:10" s="6" customFormat="1" ht="15" customHeight="1" x14ac:dyDescent="0.2">
      <c r="A55" s="1989"/>
      <c r="B55" s="1989"/>
      <c r="C55" s="996" t="str">
        <f>F!C124</f>
        <v>25-50% of the AA never contains surface water.</v>
      </c>
      <c r="D55" s="773">
        <f>F!D124</f>
        <v>0</v>
      </c>
      <c r="E55" s="748">
        <v>3</v>
      </c>
      <c r="F55" s="722">
        <f>D55*E55</f>
        <v>0</v>
      </c>
      <c r="G55" s="775"/>
      <c r="H55" s="1911"/>
      <c r="I55" s="2009"/>
      <c r="J55" s="137"/>
    </row>
    <row r="56" spans="1:10" s="6" customFormat="1" ht="15" customHeight="1" x14ac:dyDescent="0.2">
      <c r="A56" s="1989"/>
      <c r="B56" s="1989"/>
      <c r="C56" s="996" t="str">
        <f>F!C125</f>
        <v>50-99% of the AA never contains surface water.</v>
      </c>
      <c r="D56" s="773">
        <f>F!D125</f>
        <v>0</v>
      </c>
      <c r="E56" s="748">
        <v>2</v>
      </c>
      <c r="F56" s="722">
        <f>D56*E56</f>
        <v>0</v>
      </c>
      <c r="G56" s="775"/>
      <c r="H56" s="1911"/>
      <c r="I56" s="2009"/>
      <c r="J56" s="137"/>
    </row>
    <row r="57" spans="1:10" s="6" customFormat="1" ht="39" thickBot="1" x14ac:dyDescent="0.25">
      <c r="A57" s="1990"/>
      <c r="B57" s="1990"/>
      <c r="C57" s="329" t="str">
        <f>F!C126</f>
        <v>&gt;99% of the AA never contains surface water, except perhaps for water flowing in channels and/or in pools that occupy &lt;1% of the AA. SKIP to F48 (Channel Connection &amp; Outflow Duration).</v>
      </c>
      <c r="D57" s="776">
        <f>F!D126</f>
        <v>0</v>
      </c>
      <c r="E57" s="205">
        <v>1</v>
      </c>
      <c r="F57" s="244">
        <f>D57*E57</f>
        <v>0</v>
      </c>
      <c r="G57" s="258"/>
      <c r="H57" s="1978"/>
      <c r="I57" s="2010"/>
      <c r="J57" s="137"/>
    </row>
    <row r="58" spans="1:10" ht="30" customHeight="1" thickBot="1" x14ac:dyDescent="0.25">
      <c r="A58" s="1991" t="str">
        <f>F!A127</f>
        <v>F23</v>
      </c>
      <c r="B58" s="1911" t="str">
        <f>F!B127</f>
        <v>% with Persistent Surface Water</v>
      </c>
      <c r="C58" s="877" t="str">
        <f>F!C127</f>
        <v>The percentage of the AA that has surface water (either ponded or flowing, either open or obscured by vegetation) during all of the growing season during most years is:</v>
      </c>
      <c r="D58" s="736"/>
      <c r="E58" s="239"/>
      <c r="F58" s="259"/>
      <c r="G58" s="219">
        <f>IF((AllSat1&gt;0),"", MAX(F59:F64)/MAX(E59:E64))</f>
        <v>0</v>
      </c>
      <c r="H58" s="1989" t="s">
        <v>222</v>
      </c>
      <c r="I58" s="1987" t="s">
        <v>1810</v>
      </c>
    </row>
    <row r="59" spans="1:10" ht="15" customHeight="1" x14ac:dyDescent="0.2">
      <c r="A59" s="1991"/>
      <c r="B59" s="1911"/>
      <c r="C59" s="360" t="str">
        <f>F!C128</f>
        <v>&lt;0.01 hectare and &lt;1% of the AA.  SKIP to F27 (% Flooded Only Seasonally).</v>
      </c>
      <c r="D59" s="247">
        <f>F!D128</f>
        <v>0</v>
      </c>
      <c r="E59" s="241">
        <v>0</v>
      </c>
      <c r="F59" s="241">
        <f t="shared" ref="F59:F64" si="4">D59*E59</f>
        <v>0</v>
      </c>
      <c r="G59" s="257"/>
      <c r="H59" s="1989"/>
      <c r="I59" s="1987"/>
    </row>
    <row r="60" spans="1:10" ht="15" customHeight="1" x14ac:dyDescent="0.2">
      <c r="A60" s="1991"/>
      <c r="B60" s="1911"/>
      <c r="C60" s="747" t="str">
        <f>F!C129</f>
        <v>1-5% of the AA.</v>
      </c>
      <c r="D60" s="247">
        <f>F!D129</f>
        <v>0</v>
      </c>
      <c r="E60" s="260">
        <v>1</v>
      </c>
      <c r="F60" s="241">
        <f t="shared" si="4"/>
        <v>0</v>
      </c>
      <c r="G60" s="202"/>
      <c r="H60" s="1989"/>
      <c r="I60" s="1987"/>
    </row>
    <row r="61" spans="1:10" ht="15" customHeight="1" x14ac:dyDescent="0.2">
      <c r="A61" s="1991"/>
      <c r="B61" s="1911"/>
      <c r="C61" s="747" t="str">
        <f>F!C130</f>
        <v>5-25% of the AA.</v>
      </c>
      <c r="D61" s="247">
        <f>F!D130</f>
        <v>0</v>
      </c>
      <c r="E61" s="260">
        <v>1</v>
      </c>
      <c r="F61" s="241">
        <f t="shared" si="4"/>
        <v>0</v>
      </c>
      <c r="G61" s="202"/>
      <c r="H61" s="1989"/>
      <c r="I61" s="1987"/>
    </row>
    <row r="62" spans="1:10" ht="15" customHeight="1" x14ac:dyDescent="0.2">
      <c r="A62" s="1991"/>
      <c r="B62" s="1911"/>
      <c r="C62" s="747" t="str">
        <f>F!C131</f>
        <v>25-50% of the AA.</v>
      </c>
      <c r="D62" s="247">
        <f>F!D131</f>
        <v>0</v>
      </c>
      <c r="E62" s="260">
        <v>2</v>
      </c>
      <c r="F62" s="241">
        <f t="shared" si="4"/>
        <v>0</v>
      </c>
      <c r="G62" s="257"/>
      <c r="H62" s="1989"/>
      <c r="I62" s="1987"/>
    </row>
    <row r="63" spans="1:10" ht="15" customHeight="1" x14ac:dyDescent="0.2">
      <c r="A63" s="1991"/>
      <c r="B63" s="1911"/>
      <c r="C63" s="747" t="str">
        <f>F!C132</f>
        <v>50-95% of the AA.</v>
      </c>
      <c r="D63" s="247">
        <f>F!D132</f>
        <v>0</v>
      </c>
      <c r="E63" s="260">
        <v>3</v>
      </c>
      <c r="F63" s="241">
        <f t="shared" si="4"/>
        <v>0</v>
      </c>
      <c r="G63" s="257"/>
      <c r="H63" s="1989"/>
      <c r="I63" s="1987"/>
    </row>
    <row r="64" spans="1:10" ht="15" customHeight="1" thickBot="1" x14ac:dyDescent="0.25">
      <c r="A64" s="1991"/>
      <c r="B64" s="1911"/>
      <c r="C64" s="747" t="str">
        <f>F!C133</f>
        <v>&gt;95% of the AA.</v>
      </c>
      <c r="D64" s="383">
        <f>F!D133</f>
        <v>0</v>
      </c>
      <c r="E64" s="432">
        <v>2</v>
      </c>
      <c r="F64" s="380">
        <f t="shared" si="4"/>
        <v>0</v>
      </c>
      <c r="G64" s="433"/>
      <c r="H64" s="1990"/>
      <c r="I64" s="1987"/>
    </row>
    <row r="65" spans="1:10" s="6" customFormat="1" ht="30" customHeight="1" thickBot="1" x14ac:dyDescent="0.25">
      <c r="A65" s="2036" t="str">
        <f>F!A142</f>
        <v>F27</v>
      </c>
      <c r="B65" s="2000" t="str">
        <f>F!B142</f>
        <v>% Flooded Only Seasonally</v>
      </c>
      <c r="C65" s="104" t="str">
        <f>F!C142</f>
        <v>The percentage of the AA that is covered by unfrozen surface water only during the wettest time of the year is:</v>
      </c>
      <c r="D65" s="372"/>
      <c r="E65" s="376"/>
      <c r="F65" s="262"/>
      <c r="G65" s="225">
        <f>IF((AllSat1&gt;0),"",MAX(F66:F70)/MAX(E66:E70))</f>
        <v>0</v>
      </c>
      <c r="H65" s="1867" t="s">
        <v>221</v>
      </c>
      <c r="I65" s="2120" t="s">
        <v>1809</v>
      </c>
      <c r="J65" s="137"/>
    </row>
    <row r="66" spans="1:10" s="6" customFormat="1" ht="15" customHeight="1" x14ac:dyDescent="0.2">
      <c r="A66" s="2035"/>
      <c r="B66" s="1989"/>
      <c r="C66" s="360" t="str">
        <f>F!C143</f>
        <v xml:space="preserve">None, or &lt;0.01 hectare and &lt;1% of the AA. </v>
      </c>
      <c r="D66" s="434">
        <f>F!D143</f>
        <v>0</v>
      </c>
      <c r="E66" s="435">
        <v>0</v>
      </c>
      <c r="F66" s="377">
        <f>D66*E66</f>
        <v>0</v>
      </c>
      <c r="G66" s="202"/>
      <c r="H66" s="1911"/>
      <c r="I66" s="1987"/>
      <c r="J66" s="137"/>
    </row>
    <row r="67" spans="1:10" s="6" customFormat="1" ht="15" customHeight="1" x14ac:dyDescent="0.2">
      <c r="A67" s="2035"/>
      <c r="B67" s="1989"/>
      <c r="C67" s="747" t="str">
        <f>F!C144</f>
        <v xml:space="preserve">1-25% </v>
      </c>
      <c r="D67" s="434">
        <f>F!D144</f>
        <v>0</v>
      </c>
      <c r="E67" s="435">
        <v>1</v>
      </c>
      <c r="F67" s="377">
        <f>D67*E67</f>
        <v>0</v>
      </c>
      <c r="G67" s="257"/>
      <c r="H67" s="1911"/>
      <c r="I67" s="1987"/>
      <c r="J67" s="137"/>
    </row>
    <row r="68" spans="1:10" s="6" customFormat="1" ht="15" customHeight="1" x14ac:dyDescent="0.2">
      <c r="A68" s="2035"/>
      <c r="B68" s="1989"/>
      <c r="C68" s="747" t="str">
        <f>F!C145</f>
        <v xml:space="preserve">25-50% </v>
      </c>
      <c r="D68" s="434">
        <f>F!D145</f>
        <v>0</v>
      </c>
      <c r="E68" s="435">
        <v>2</v>
      </c>
      <c r="F68" s="377">
        <f>D68*E68</f>
        <v>0</v>
      </c>
      <c r="G68" s="257"/>
      <c r="H68" s="1911"/>
      <c r="I68" s="1987"/>
      <c r="J68" s="137"/>
    </row>
    <row r="69" spans="1:10" s="6" customFormat="1" ht="15" customHeight="1" x14ac:dyDescent="0.2">
      <c r="A69" s="2035"/>
      <c r="B69" s="1989"/>
      <c r="C69" s="747" t="str">
        <f>F!C146</f>
        <v xml:space="preserve">50-95% </v>
      </c>
      <c r="D69" s="434">
        <f>F!D146</f>
        <v>0</v>
      </c>
      <c r="E69" s="435">
        <v>3</v>
      </c>
      <c r="F69" s="377">
        <f>D69*E69</f>
        <v>0</v>
      </c>
      <c r="G69" s="257"/>
      <c r="H69" s="1911"/>
      <c r="I69" s="1987"/>
      <c r="J69" s="137"/>
    </row>
    <row r="70" spans="1:10" ht="15" customHeight="1" thickBot="1" x14ac:dyDescent="0.25">
      <c r="A70" s="2037"/>
      <c r="B70" s="1990"/>
      <c r="C70" s="82" t="str">
        <f>F!C147</f>
        <v xml:space="preserve">&gt;95% </v>
      </c>
      <c r="D70" s="191">
        <f>F!D147</f>
        <v>0</v>
      </c>
      <c r="E70" s="263">
        <v>4</v>
      </c>
      <c r="F70" s="244">
        <f>D70*E70</f>
        <v>0</v>
      </c>
      <c r="G70" s="258"/>
      <c r="H70" s="1978"/>
      <c r="I70" s="1988"/>
    </row>
    <row r="71" spans="1:10" s="6" customFormat="1" ht="30" customHeight="1" thickBot="1" x14ac:dyDescent="0.25">
      <c r="A71" s="2129" t="str">
        <f>F!A148</f>
        <v>F28</v>
      </c>
      <c r="B71" s="2016" t="str">
        <f>F!B148</f>
        <v>Annual Water Fluctuation Range</v>
      </c>
      <c r="C71" s="1391" t="str">
        <f>F!C148</f>
        <v>The annual fluctuation in surface water level within most of the parts of the AA that contain surface water is:</v>
      </c>
      <c r="D71" s="238"/>
      <c r="E71" s="239"/>
      <c r="F71" s="259"/>
      <c r="G71" s="264">
        <f>IF((AllSat1&gt;0),"", IF((NoSeasonal=1),"",MAX(F72:F75)/MAX(E72:E75)))</f>
        <v>0</v>
      </c>
      <c r="H71" s="1867" t="s">
        <v>223</v>
      </c>
      <c r="I71" s="1987" t="s">
        <v>1072</v>
      </c>
      <c r="J71" s="137"/>
    </row>
    <row r="72" spans="1:10" s="6" customFormat="1" ht="15" customHeight="1" x14ac:dyDescent="0.2">
      <c r="A72" s="2110"/>
      <c r="B72" s="2131"/>
      <c r="C72" s="995" t="str">
        <f>F!C149</f>
        <v xml:space="preserve">&lt;10 cm change (stable or nearly so) </v>
      </c>
      <c r="D72" s="92">
        <f>F!D149</f>
        <v>0</v>
      </c>
      <c r="E72" s="260">
        <v>0</v>
      </c>
      <c r="F72" s="241">
        <f>D72*E72</f>
        <v>0</v>
      </c>
      <c r="G72" s="202"/>
      <c r="H72" s="1911"/>
      <c r="I72" s="1987"/>
      <c r="J72" s="137"/>
    </row>
    <row r="73" spans="1:10" s="6" customFormat="1" ht="15" customHeight="1" x14ac:dyDescent="0.2">
      <c r="A73" s="2110"/>
      <c r="B73" s="2131"/>
      <c r="C73" s="996" t="str">
        <f>F!C150</f>
        <v>10 cm - 50 cm change</v>
      </c>
      <c r="D73" s="92">
        <f>F!D150</f>
        <v>0</v>
      </c>
      <c r="E73" s="260">
        <v>2</v>
      </c>
      <c r="F73" s="241">
        <f>D73*E73</f>
        <v>0</v>
      </c>
      <c r="G73" s="257"/>
      <c r="H73" s="1911"/>
      <c r="I73" s="1987"/>
      <c r="J73" s="137"/>
    </row>
    <row r="74" spans="1:10" s="6" customFormat="1" ht="15" customHeight="1" x14ac:dyDescent="0.2">
      <c r="A74" s="2110"/>
      <c r="B74" s="2131"/>
      <c r="C74" s="996" t="str">
        <f>F!C152</f>
        <v>1-2 m change</v>
      </c>
      <c r="D74" s="92">
        <f>F!D152</f>
        <v>0</v>
      </c>
      <c r="E74" s="260">
        <v>3</v>
      </c>
      <c r="F74" s="241">
        <f>D74*E74</f>
        <v>0</v>
      </c>
      <c r="G74" s="257"/>
      <c r="H74" s="1911"/>
      <c r="I74" s="1987"/>
      <c r="J74" s="137"/>
    </row>
    <row r="75" spans="1:10" s="6" customFormat="1" ht="15" customHeight="1" thickBot="1" x14ac:dyDescent="0.25">
      <c r="A75" s="2130"/>
      <c r="B75" s="2114"/>
      <c r="C75" s="780" t="str">
        <f>F!C153</f>
        <v>&gt;2 m change</v>
      </c>
      <c r="D75" s="190">
        <f>F!D153</f>
        <v>0</v>
      </c>
      <c r="E75" s="261">
        <v>4</v>
      </c>
      <c r="F75" s="242">
        <f>D75*E75</f>
        <v>0</v>
      </c>
      <c r="G75" s="433"/>
      <c r="H75" s="1978"/>
      <c r="I75" s="1987"/>
      <c r="J75" s="137"/>
    </row>
    <row r="76" spans="1:10" ht="45" customHeight="1" thickBot="1" x14ac:dyDescent="0.25">
      <c r="A76" s="1992" t="str">
        <f>F!A165</f>
        <v>F31</v>
      </c>
      <c r="B76" s="1867" t="str">
        <f>F!B165</f>
        <v xml:space="preserve">% of Water Ponded vs. Flowing </v>
      </c>
      <c r="C76" s="1023" t="str">
        <f>F!C165</f>
        <v>The percentage of the AA's surface water that is ponded (stagnant, or flows so slowly that fine sediment is not held in suspension) during most of the time it is present during the growing season, and which is either open or shaded by emergent vegetation, is:</v>
      </c>
      <c r="D76" s="777"/>
      <c r="E76" s="440"/>
      <c r="F76" s="262"/>
      <c r="G76" s="225">
        <f>IF((AllSat1&gt;0),"", IF((SmallAA=1),"", MAX(F77:F82)/MAX(E77:E82)))</f>
        <v>0</v>
      </c>
      <c r="H76" s="2000" t="s">
        <v>503</v>
      </c>
      <c r="I76" s="2008" t="s">
        <v>1074</v>
      </c>
    </row>
    <row r="77" spans="1:10" ht="27" customHeight="1" x14ac:dyDescent="0.2">
      <c r="A77" s="1991"/>
      <c r="B77" s="1911"/>
      <c r="C77" s="995" t="str">
        <f>F!C166</f>
        <v>None, or &lt;0.01 hectare and &lt;1% of the AA. Nearly all water is flowing.  Enter "1" and SKIP to F43 (pH measurement).</v>
      </c>
      <c r="D77" s="737">
        <f>F!D166</f>
        <v>0</v>
      </c>
      <c r="E77" s="779">
        <v>0</v>
      </c>
      <c r="F77" s="722">
        <f t="shared" ref="F77:F82" si="5">D77*E77</f>
        <v>0</v>
      </c>
      <c r="G77" s="775"/>
      <c r="H77" s="1989"/>
      <c r="I77" s="2009"/>
    </row>
    <row r="78" spans="1:10" ht="15" customHeight="1" x14ac:dyDescent="0.2">
      <c r="A78" s="1991"/>
      <c r="B78" s="1911"/>
      <c r="C78" s="996" t="str">
        <f>F!C167</f>
        <v>1-5% of the water.  The rest is flowing.</v>
      </c>
      <c r="D78" s="737">
        <f>F!D167</f>
        <v>0</v>
      </c>
      <c r="E78" s="779">
        <v>1</v>
      </c>
      <c r="F78" s="722">
        <f t="shared" si="5"/>
        <v>0</v>
      </c>
      <c r="G78" s="775"/>
      <c r="H78" s="1989"/>
      <c r="I78" s="2009"/>
    </row>
    <row r="79" spans="1:10" ht="15" customHeight="1" x14ac:dyDescent="0.2">
      <c r="A79" s="1991"/>
      <c r="B79" s="1911"/>
      <c r="C79" s="996" t="str">
        <f>F!C168</f>
        <v>5-30% of the water.</v>
      </c>
      <c r="D79" s="737">
        <f>F!D168</f>
        <v>0</v>
      </c>
      <c r="E79" s="779">
        <v>1</v>
      </c>
      <c r="F79" s="722">
        <f t="shared" si="5"/>
        <v>0</v>
      </c>
      <c r="G79" s="775"/>
      <c r="H79" s="1989"/>
      <c r="I79" s="2009"/>
    </row>
    <row r="80" spans="1:10" ht="15" customHeight="1" x14ac:dyDescent="0.2">
      <c r="A80" s="1991"/>
      <c r="B80" s="1911"/>
      <c r="C80" s="996" t="str">
        <f>F!C169</f>
        <v>30-70% of the water.</v>
      </c>
      <c r="D80" s="737">
        <f>F!D169</f>
        <v>0</v>
      </c>
      <c r="E80" s="779">
        <v>2</v>
      </c>
      <c r="F80" s="722">
        <f t="shared" si="5"/>
        <v>0</v>
      </c>
      <c r="G80" s="775"/>
      <c r="H80" s="1989"/>
      <c r="I80" s="2009"/>
    </row>
    <row r="81" spans="1:9" ht="15" customHeight="1" x14ac:dyDescent="0.2">
      <c r="A81" s="1991"/>
      <c r="B81" s="1911"/>
      <c r="C81" s="996" t="str">
        <f>F!C170</f>
        <v>70-99% of the water.</v>
      </c>
      <c r="D81" s="737">
        <f>F!D170</f>
        <v>0</v>
      </c>
      <c r="E81" s="779">
        <v>3</v>
      </c>
      <c r="F81" s="722">
        <f t="shared" si="5"/>
        <v>0</v>
      </c>
      <c r="G81" s="775"/>
      <c r="H81" s="1989"/>
      <c r="I81" s="2009"/>
    </row>
    <row r="82" spans="1:9" ht="15" customHeight="1" thickBot="1" x14ac:dyDescent="0.25">
      <c r="A82" s="1991"/>
      <c r="B82" s="1978"/>
      <c r="C82" s="329" t="str">
        <f>F!C171</f>
        <v>&gt;99% of the water.  Little or no visibly flowing water within the AA.</v>
      </c>
      <c r="D82" s="81">
        <f>F!D171</f>
        <v>0</v>
      </c>
      <c r="E82" s="263">
        <v>4</v>
      </c>
      <c r="F82" s="244">
        <f t="shared" si="5"/>
        <v>0</v>
      </c>
      <c r="G82" s="258"/>
      <c r="H82" s="1990"/>
      <c r="I82" s="2010"/>
    </row>
    <row r="83" spans="1:9" ht="39" thickBot="1" x14ac:dyDescent="0.25">
      <c r="A83" s="2080" t="str">
        <f>F!A173</f>
        <v>F33</v>
      </c>
      <c r="B83" s="2081" t="str">
        <f>F!B173</f>
        <v xml:space="preserve">% of Ponded Water That Is Open </v>
      </c>
      <c r="C83" s="1391" t="str">
        <f>F!C173</f>
        <v>In ducks-eye aerial view, the percentage of the ponded water that is open (lacking emergent vegetation during most of the growing season, and unhidden by a forest or shrub canopy) is:</v>
      </c>
      <c r="D83" s="736"/>
      <c r="E83" s="239"/>
      <c r="F83" s="259"/>
      <c r="G83" s="219">
        <f>IF((AllSat1&gt;0),"", IF((NoPonded=1),"", IF((SmallAA=1),"", MAX(F84:F89)/MAX(E84:E89))))</f>
        <v>0</v>
      </c>
      <c r="H83" s="1989" t="s">
        <v>795</v>
      </c>
      <c r="I83" s="1987" t="s">
        <v>1075</v>
      </c>
    </row>
    <row r="84" spans="1:9" ht="27" customHeight="1" x14ac:dyDescent="0.2">
      <c r="A84" s="2081"/>
      <c r="B84" s="2081"/>
      <c r="C84" s="995" t="str">
        <f>F!C174</f>
        <v>None, or &lt;1% of the AA and largest pool occupies &lt;0.01 hectares.  Enter "1" and SKIP to F41 (Floating Algae &amp; Duckweed).</v>
      </c>
      <c r="D84" s="303">
        <f>F!D174</f>
        <v>0</v>
      </c>
      <c r="E84" s="241">
        <v>5</v>
      </c>
      <c r="F84" s="241">
        <f t="shared" ref="F84:F89" si="6">D84*E84</f>
        <v>0</v>
      </c>
      <c r="G84" s="202"/>
      <c r="H84" s="1989"/>
      <c r="I84" s="1987"/>
    </row>
    <row r="85" spans="1:9" ht="15" customHeight="1" x14ac:dyDescent="0.2">
      <c r="A85" s="2081"/>
      <c r="B85" s="2081"/>
      <c r="C85" s="996" t="str">
        <f>F!C175</f>
        <v>1-5% of the ponded water.  Enter "1" and SKIP to F41.</v>
      </c>
      <c r="D85" s="92">
        <f>F!D175</f>
        <v>0</v>
      </c>
      <c r="E85" s="241">
        <v>4</v>
      </c>
      <c r="F85" s="241">
        <f t="shared" si="6"/>
        <v>0</v>
      </c>
      <c r="G85" s="257"/>
      <c r="H85" s="1989"/>
      <c r="I85" s="1987"/>
    </row>
    <row r="86" spans="1:9" ht="15" customHeight="1" x14ac:dyDescent="0.2">
      <c r="A86" s="2081"/>
      <c r="B86" s="2081"/>
      <c r="C86" s="996" t="str">
        <f>F!C176</f>
        <v>5-30% of the ponded water.</v>
      </c>
      <c r="D86" s="92">
        <f>F!D176</f>
        <v>0</v>
      </c>
      <c r="E86" s="241">
        <v>3</v>
      </c>
      <c r="F86" s="241">
        <f t="shared" si="6"/>
        <v>0</v>
      </c>
      <c r="G86" s="257"/>
      <c r="H86" s="1989"/>
      <c r="I86" s="1987"/>
    </row>
    <row r="87" spans="1:9" ht="15" customHeight="1" x14ac:dyDescent="0.2">
      <c r="A87" s="2081"/>
      <c r="B87" s="2081"/>
      <c r="C87" s="996" t="str">
        <f>F!C177</f>
        <v>30-70% of the ponded water.</v>
      </c>
      <c r="D87" s="92">
        <f>F!D177</f>
        <v>0</v>
      </c>
      <c r="E87" s="241">
        <v>2</v>
      </c>
      <c r="F87" s="241">
        <f t="shared" si="6"/>
        <v>0</v>
      </c>
      <c r="G87" s="257"/>
      <c r="H87" s="1989"/>
      <c r="I87" s="1987"/>
    </row>
    <row r="88" spans="1:9" ht="15" customHeight="1" x14ac:dyDescent="0.2">
      <c r="A88" s="2081"/>
      <c r="B88" s="2081"/>
      <c r="C88" s="996" t="str">
        <f>F!C178</f>
        <v>70-99% of the ponded water.</v>
      </c>
      <c r="D88" s="92">
        <f>F!D178</f>
        <v>0</v>
      </c>
      <c r="E88" s="241">
        <v>1</v>
      </c>
      <c r="F88" s="241">
        <f t="shared" si="6"/>
        <v>0</v>
      </c>
      <c r="G88" s="257"/>
      <c r="H88" s="1989"/>
      <c r="I88" s="1987"/>
    </row>
    <row r="89" spans="1:9" ht="15" customHeight="1" thickBot="1" x14ac:dyDescent="0.25">
      <c r="A89" s="2082"/>
      <c r="B89" s="2082"/>
      <c r="C89" s="329" t="str">
        <f>F!C179</f>
        <v xml:space="preserve">100% of the ponded water. </v>
      </c>
      <c r="D89" s="102">
        <f>F!D179</f>
        <v>0</v>
      </c>
      <c r="E89" s="244">
        <v>0</v>
      </c>
      <c r="F89" s="244">
        <f t="shared" si="6"/>
        <v>0</v>
      </c>
      <c r="G89" s="258"/>
      <c r="H89" s="1990"/>
      <c r="I89" s="1988"/>
    </row>
    <row r="90" spans="1:9" ht="39.75" customHeight="1" thickBot="1" x14ac:dyDescent="0.25">
      <c r="A90" s="2078" t="str">
        <f>F!A180</f>
        <v>F34</v>
      </c>
      <c r="B90" s="2080" t="str">
        <f>F!B180</f>
        <v>Predominant Width of Vegetated Zone within Wetland</v>
      </c>
      <c r="C90" s="104" t="str">
        <f>F!C180</f>
        <v>At the time during the growing season when the AA's water level is lowest, the average width of vegetated area in the AA that separates adjoining uplands from open water within the AA is:</v>
      </c>
      <c r="D90" s="372"/>
      <c r="E90" s="376"/>
      <c r="F90" s="262"/>
      <c r="G90" s="225" t="str">
        <f>IF((AllSat1&gt;0),"", IF((OpenW=0),"", IF((SmallAA=1),"", MAX(F91:F96)/MAX(E91:E96))))</f>
        <v/>
      </c>
      <c r="H90" s="2000" t="s">
        <v>1086</v>
      </c>
      <c r="I90" s="2124" t="s">
        <v>1073</v>
      </c>
    </row>
    <row r="91" spans="1:9" ht="21" customHeight="1" x14ac:dyDescent="0.2">
      <c r="A91" s="2039"/>
      <c r="B91" s="2081"/>
      <c r="C91" s="1392" t="str">
        <f>F!C181</f>
        <v>&lt;1 m</v>
      </c>
      <c r="D91" s="434">
        <f>F!D181</f>
        <v>0</v>
      </c>
      <c r="E91" s="377">
        <v>0</v>
      </c>
      <c r="F91" s="377">
        <f t="shared" ref="F91:F96" si="7">D91*E91</f>
        <v>0</v>
      </c>
      <c r="G91" s="202"/>
      <c r="H91" s="1989"/>
      <c r="I91" s="2014"/>
    </row>
    <row r="92" spans="1:9" ht="21" customHeight="1" x14ac:dyDescent="0.2">
      <c r="A92" s="2039"/>
      <c r="B92" s="2081"/>
      <c r="C92" s="780" t="str">
        <f>F!C182</f>
        <v>1 - 9 m</v>
      </c>
      <c r="D92" s="434">
        <f>F!D182</f>
        <v>0</v>
      </c>
      <c r="E92" s="377">
        <v>1</v>
      </c>
      <c r="F92" s="377">
        <f t="shared" si="7"/>
        <v>0</v>
      </c>
      <c r="G92" s="257"/>
      <c r="H92" s="1989"/>
      <c r="I92" s="2014"/>
    </row>
    <row r="93" spans="1:9" ht="21" customHeight="1" x14ac:dyDescent="0.2">
      <c r="A93" s="2039"/>
      <c r="B93" s="2081"/>
      <c r="C93" s="780" t="str">
        <f>F!C183</f>
        <v>10 - 29 m</v>
      </c>
      <c r="D93" s="434">
        <f>F!D183</f>
        <v>0</v>
      </c>
      <c r="E93" s="377">
        <v>2</v>
      </c>
      <c r="F93" s="377">
        <f t="shared" si="7"/>
        <v>0</v>
      </c>
      <c r="G93" s="257"/>
      <c r="H93" s="1989"/>
      <c r="I93" s="2014"/>
    </row>
    <row r="94" spans="1:9" ht="21" customHeight="1" x14ac:dyDescent="0.2">
      <c r="A94" s="2039"/>
      <c r="B94" s="2081"/>
      <c r="C94" s="780" t="str">
        <f>F!C184</f>
        <v>30 - 49 m</v>
      </c>
      <c r="D94" s="434">
        <f>F!D184</f>
        <v>0</v>
      </c>
      <c r="E94" s="377">
        <v>3</v>
      </c>
      <c r="F94" s="377">
        <f t="shared" si="7"/>
        <v>0</v>
      </c>
      <c r="G94" s="257"/>
      <c r="H94" s="1989"/>
      <c r="I94" s="2014"/>
    </row>
    <row r="95" spans="1:9" ht="21" customHeight="1" x14ac:dyDescent="0.2">
      <c r="A95" s="2039"/>
      <c r="B95" s="2081"/>
      <c r="C95" s="780" t="str">
        <f>F!C185</f>
        <v>50 - 100 m</v>
      </c>
      <c r="D95" s="434">
        <f>F!D185</f>
        <v>0</v>
      </c>
      <c r="E95" s="380">
        <v>4</v>
      </c>
      <c r="F95" s="380">
        <f t="shared" si="7"/>
        <v>0</v>
      </c>
      <c r="G95" s="721"/>
      <c r="H95" s="1989"/>
      <c r="I95" s="2127"/>
    </row>
    <row r="96" spans="1:9" ht="30.75" customHeight="1" thickBot="1" x14ac:dyDescent="0.25">
      <c r="A96" s="2079"/>
      <c r="B96" s="2082"/>
      <c r="C96" s="329" t="str">
        <f>F!C186</f>
        <v>&gt; 100 m</v>
      </c>
      <c r="D96" s="102">
        <f>F!D186</f>
        <v>0</v>
      </c>
      <c r="E96" s="244">
        <v>5</v>
      </c>
      <c r="F96" s="244">
        <f t="shared" si="7"/>
        <v>0</v>
      </c>
      <c r="G96" s="258"/>
      <c r="H96" s="1990"/>
      <c r="I96" s="2015"/>
    </row>
    <row r="97" spans="1:10" ht="30" customHeight="1" thickBot="1" x14ac:dyDescent="0.25">
      <c r="A97" s="1979" t="str">
        <f>F!A199</f>
        <v>F37</v>
      </c>
      <c r="B97" s="1984" t="str">
        <f>F!B199</f>
        <v>Interspersion of Robust Emergents &amp; Open Water</v>
      </c>
      <c r="C97" s="421" t="str">
        <f>F!C199</f>
        <v>During most of the part of the growing season when water is present, the spatial pattern of robust herbaceous vegetation (e.g., cattail, tall bulrush, buckbean) is mostly:</v>
      </c>
      <c r="D97" s="233"/>
      <c r="E97" s="243"/>
      <c r="F97" s="262"/>
      <c r="G97" s="225">
        <f>IF((AllSat1&gt;0),"", IF((NoPonded=1),"", IF((NoOpenPonded+ NoOpenPonded1&gt;0),"", IF((AllOpenPond=1),"", IF((SmallAA=1),"", MAX(F98:F100)/MAX(E98:E100))))))</f>
        <v>0</v>
      </c>
      <c r="H97" s="2000" t="s">
        <v>224</v>
      </c>
      <c r="I97" s="2120" t="s">
        <v>1076</v>
      </c>
    </row>
    <row r="98" spans="1:10" ht="27" customHeight="1" x14ac:dyDescent="0.2">
      <c r="A98" s="1991"/>
      <c r="B98" s="1911"/>
      <c r="C98" s="768" t="str">
        <f>F!C200</f>
        <v>Scattered.  More than 30% of such vegetation forms small islands or corridors surrounded by water.</v>
      </c>
      <c r="D98" s="493">
        <f>F!D200</f>
        <v>0</v>
      </c>
      <c r="E98" s="241">
        <v>3</v>
      </c>
      <c r="F98" s="241">
        <f>D98*E98</f>
        <v>0</v>
      </c>
      <c r="G98" s="265"/>
      <c r="H98" s="1989"/>
      <c r="I98" s="1987"/>
    </row>
    <row r="99" spans="1:10" ht="15" customHeight="1" x14ac:dyDescent="0.2">
      <c r="A99" s="1991"/>
      <c r="B99" s="1911"/>
      <c r="C99" s="768" t="str">
        <f>F!C201</f>
        <v>Intermediate.</v>
      </c>
      <c r="D99" s="493">
        <f>F!D201</f>
        <v>0</v>
      </c>
      <c r="E99" s="241">
        <v>2</v>
      </c>
      <c r="F99" s="241">
        <f>D99*E99</f>
        <v>0</v>
      </c>
      <c r="G99" s="265"/>
      <c r="H99" s="1989"/>
      <c r="I99" s="1987"/>
    </row>
    <row r="100" spans="1:10" ht="32.25" customHeight="1" thickBot="1" x14ac:dyDescent="0.25">
      <c r="A100" s="1991"/>
      <c r="B100" s="1911"/>
      <c r="C100" s="768" t="str">
        <f>F!C202</f>
        <v>Clumped. More than 70% of such vegetation is in bands along the wetland perimeter or is clumped at one or a few sides of the surface water area.</v>
      </c>
      <c r="D100" s="493">
        <f>F!D202</f>
        <v>0</v>
      </c>
      <c r="E100" s="380">
        <v>1</v>
      </c>
      <c r="F100" s="380">
        <f>D100*E100</f>
        <v>0</v>
      </c>
      <c r="G100" s="436"/>
      <c r="H100" s="1990"/>
      <c r="I100" s="1987"/>
    </row>
    <row r="101" spans="1:10" ht="30" customHeight="1" thickBot="1" x14ac:dyDescent="0.25">
      <c r="A101" s="2036" t="str">
        <f>F!A227</f>
        <v>F47</v>
      </c>
      <c r="B101" s="2000" t="str">
        <f>F!B227</f>
        <v>Through Flow Pattern</v>
      </c>
      <c r="C101" s="104" t="str">
        <f>F!C227</f>
        <v>During its travel through the AA at the time of peak annual flow, water arriving in channels: [select only the ONE encountered by most of the incoming water].</v>
      </c>
      <c r="D101" s="372"/>
      <c r="E101" s="376"/>
      <c r="F101" s="262"/>
      <c r="G101" s="225" t="str">
        <f>IF((AllSat1=1),"", IF((Inflows=0),"",MAX(F102:F106)/MAX(E102:E106)))</f>
        <v/>
      </c>
      <c r="H101" s="2000" t="s">
        <v>829</v>
      </c>
      <c r="I101" s="2120" t="s">
        <v>1077</v>
      </c>
    </row>
    <row r="102" spans="1:10" ht="45" customHeight="1" x14ac:dyDescent="0.2">
      <c r="A102" s="2035"/>
      <c r="B102" s="1989"/>
      <c r="C102" s="827" t="str">
        <f>F!C228</f>
        <v>Does not bump into plant stems as it travels through the AA.  Nearly all the water continues to travel in unvegetated (often incised) channels that have minimal contact with wetland vegetation, or through a zone of open water such as an instream pond or lake.</v>
      </c>
      <c r="D102" s="431">
        <f>F!D228</f>
        <v>0</v>
      </c>
      <c r="E102" s="377">
        <v>0</v>
      </c>
      <c r="F102" s="377">
        <f>D102*E102</f>
        <v>0</v>
      </c>
      <c r="G102" s="202"/>
      <c r="H102" s="1989"/>
      <c r="I102" s="1987"/>
    </row>
    <row r="103" spans="1:10" s="1" customFormat="1" ht="15" customHeight="1" x14ac:dyDescent="0.2">
      <c r="A103" s="2035"/>
      <c r="B103" s="1989"/>
      <c r="C103" s="941" t="str">
        <f>F!C229</f>
        <v>bumps into herbaceous vegetation but mostly remains in fairly straight channels.</v>
      </c>
      <c r="D103" s="431">
        <f>F!D229</f>
        <v>0</v>
      </c>
      <c r="E103" s="377">
        <v>1</v>
      </c>
      <c r="F103" s="377">
        <f>D103*E103</f>
        <v>0</v>
      </c>
      <c r="G103" s="257"/>
      <c r="H103" s="1989"/>
      <c r="I103" s="1987"/>
      <c r="J103" s="574"/>
    </row>
    <row r="104" spans="1:10" s="1" customFormat="1" ht="27" customHeight="1" x14ac:dyDescent="0.2">
      <c r="A104" s="2035"/>
      <c r="B104" s="1989"/>
      <c r="C104" s="941" t="str">
        <f>F!C230</f>
        <v>bumps into herbaceous vegetation and mostly spreads throughout, or is in widely  meandering, multi-branched, or braided channels.</v>
      </c>
      <c r="D104" s="431">
        <f>F!D230</f>
        <v>0</v>
      </c>
      <c r="E104" s="377">
        <v>2</v>
      </c>
      <c r="F104" s="377">
        <f>D104*E104</f>
        <v>0</v>
      </c>
      <c r="G104" s="257"/>
      <c r="H104" s="1989"/>
      <c r="I104" s="1987"/>
      <c r="J104" s="574"/>
    </row>
    <row r="105" spans="1:10" s="1" customFormat="1" ht="15" customHeight="1" x14ac:dyDescent="0.2">
      <c r="A105" s="2035"/>
      <c r="B105" s="1989"/>
      <c r="C105" s="941" t="str">
        <f>F!C231</f>
        <v>bumps into tree trunks and/or shrub stems but mostly remains in fairly straight channels.</v>
      </c>
      <c r="D105" s="431">
        <f>F!D231</f>
        <v>0</v>
      </c>
      <c r="E105" s="377">
        <v>3</v>
      </c>
      <c r="F105" s="377">
        <f>D105*E105</f>
        <v>0</v>
      </c>
      <c r="G105" s="257"/>
      <c r="H105" s="1989"/>
      <c r="I105" s="1987"/>
      <c r="J105" s="574"/>
    </row>
    <row r="106" spans="1:10" s="1" customFormat="1" ht="26.25" customHeight="1" thickBot="1" x14ac:dyDescent="0.25">
      <c r="A106" s="2037"/>
      <c r="B106" s="1990"/>
      <c r="C106" s="1027" t="str">
        <f>F!C232</f>
        <v>bumps into tree trunks and/or shrub stems and follows a fairly indirect path from entrance to exit (meandering, multi-branched, or braided).</v>
      </c>
      <c r="D106" s="102">
        <f>F!D232</f>
        <v>0</v>
      </c>
      <c r="E106" s="244">
        <v>4</v>
      </c>
      <c r="F106" s="244">
        <f>D106*E106</f>
        <v>0</v>
      </c>
      <c r="G106" s="258"/>
      <c r="H106" s="1990"/>
      <c r="I106" s="1988"/>
      <c r="J106" s="574"/>
    </row>
    <row r="107" spans="1:10" ht="77.25" thickBot="1" x14ac:dyDescent="0.25">
      <c r="A107" s="2035" t="str">
        <f>F!A233</f>
        <v>F48</v>
      </c>
      <c r="B107" s="1989" t="str">
        <f>F!B233</f>
        <v>Channel Connection &amp; Outflow Duration</v>
      </c>
      <c r="C107" s="1391"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107" s="437"/>
      <c r="E107" s="239"/>
      <c r="F107" s="259"/>
      <c r="G107" s="219">
        <f>IF((AllSat1&gt;0),"", MAX(F108:F112)/MAX(E108:E112))</f>
        <v>0</v>
      </c>
      <c r="H107" s="1989" t="s">
        <v>226</v>
      </c>
      <c r="I107" s="1987" t="s">
        <v>1078</v>
      </c>
    </row>
    <row r="108" spans="1:10" ht="15" customHeight="1" x14ac:dyDescent="0.2">
      <c r="A108" s="2035"/>
      <c r="B108" s="1989"/>
      <c r="C108" s="995" t="str">
        <f>F!C234</f>
        <v>persistent (&gt;9 months/year, including times when frozen).</v>
      </c>
      <c r="D108" s="92">
        <f>F!D234</f>
        <v>0</v>
      </c>
      <c r="E108" s="241">
        <v>1</v>
      </c>
      <c r="F108" s="241">
        <f>D108*E108</f>
        <v>0</v>
      </c>
      <c r="G108" s="202"/>
      <c r="H108" s="1989"/>
      <c r="I108" s="1987"/>
    </row>
    <row r="109" spans="1:10" ht="25.5" x14ac:dyDescent="0.2">
      <c r="A109" s="2035"/>
      <c r="B109" s="1989"/>
      <c r="C109" s="996" t="str">
        <f>F!C235</f>
        <v>seasonal (14 days to 9 months/year, not necessarily consecutive, including times when frozen).</v>
      </c>
      <c r="D109" s="92">
        <f>F!D235</f>
        <v>0</v>
      </c>
      <c r="E109" s="241">
        <v>2</v>
      </c>
      <c r="F109" s="241">
        <f>D109*E109</f>
        <v>0</v>
      </c>
      <c r="G109" s="257"/>
      <c r="H109" s="1989"/>
      <c r="I109" s="1987"/>
    </row>
    <row r="110" spans="1:10" ht="14.45" customHeight="1" x14ac:dyDescent="0.2">
      <c r="A110" s="2035"/>
      <c r="B110" s="1989"/>
      <c r="C110" s="996" t="str">
        <f>F!C236</f>
        <v>temporary (&lt;14 days, not necessarily consecutive, but must be unfrozen).</v>
      </c>
      <c r="D110" s="190">
        <f>F!D236</f>
        <v>0</v>
      </c>
      <c r="E110" s="241">
        <v>3</v>
      </c>
      <c r="F110" s="241">
        <f>D110*E110</f>
        <v>0</v>
      </c>
      <c r="G110" s="257"/>
      <c r="H110" s="1989"/>
      <c r="I110" s="1987"/>
    </row>
    <row r="111" spans="1:10" ht="38.25" x14ac:dyDescent="0.2">
      <c r="A111" s="2035"/>
      <c r="B111" s="1989"/>
      <c r="C111" s="996" t="str">
        <f>F!C237</f>
        <v xml:space="preserve">none -- but maps show a stream or other water body that is downslope from the AA and within a distance that is less than the AA's length.  If so, mark "1" here and SKIP TO F50 (Groundwater). </v>
      </c>
      <c r="D111" s="92">
        <f>F!D237</f>
        <v>0</v>
      </c>
      <c r="E111" s="245">
        <v>6</v>
      </c>
      <c r="F111" s="241">
        <f>D111*E111</f>
        <v>0</v>
      </c>
      <c r="G111" s="433"/>
      <c r="H111" s="1989"/>
      <c r="I111" s="1987"/>
    </row>
    <row r="112" spans="1:10" ht="42" customHeight="1" thickBot="1" x14ac:dyDescent="0.25">
      <c r="A112" s="2035"/>
      <c r="B112" s="1989"/>
      <c r="C112" s="780" t="str">
        <f>F!C238</f>
        <v xml:space="preserve">no surface water flows out of the wetland except possibly during extreme events (&lt;once per 10 years). Or, water flows only into a wetland, ditch, or lake that lacks an outlet.  If so, mark "1" here and SKIP TO F50 (Groundwater). </v>
      </c>
      <c r="D112" s="190">
        <f>F!D238</f>
        <v>0</v>
      </c>
      <c r="E112" s="248">
        <v>6</v>
      </c>
      <c r="F112" s="242">
        <f>D112*E112</f>
        <v>0</v>
      </c>
      <c r="G112" s="433"/>
      <c r="H112" s="1990"/>
      <c r="I112" s="1987"/>
    </row>
    <row r="113" spans="1:11" ht="30" customHeight="1" thickBot="1" x14ac:dyDescent="0.25">
      <c r="A113" s="2078" t="str">
        <f>F!A239</f>
        <v>F49</v>
      </c>
      <c r="B113" s="2000" t="str">
        <f>F!B239</f>
        <v>Outflow Confinement</v>
      </c>
      <c r="C113" s="104" t="str">
        <f>F!C239</f>
        <v>During major runoff events, in the places where surface water exits the AA or connected waters nearby, it:</v>
      </c>
      <c r="D113" s="372"/>
      <c r="E113" s="376"/>
      <c r="F113" s="262"/>
      <c r="G113" s="225">
        <f>IF((OutNone=1),"",MAX(F114:F116)/MAX(E114:E116))</f>
        <v>0</v>
      </c>
      <c r="H113" s="2000" t="s">
        <v>227</v>
      </c>
      <c r="I113" s="2120" t="s">
        <v>1079</v>
      </c>
    </row>
    <row r="114" spans="1:11" ht="42" customHeight="1" x14ac:dyDescent="0.2">
      <c r="A114" s="2035"/>
      <c r="B114" s="1989"/>
      <c r="C114" s="995" t="str">
        <f>F!C240</f>
        <v>mostly passes through a pipe, culvert, narrowly breached dike, berm, beaver dam, or other partial obstruction (other than natural topography) that does not appear to drain the wetland artificially during most of the growing season.</v>
      </c>
      <c r="D114" s="303">
        <f>F!D240</f>
        <v>0</v>
      </c>
      <c r="E114" s="377">
        <v>2</v>
      </c>
      <c r="F114" s="377">
        <f>D114*E114</f>
        <v>0</v>
      </c>
      <c r="G114" s="202"/>
      <c r="H114" s="1989"/>
      <c r="I114" s="1987"/>
    </row>
    <row r="115" spans="1:11" ht="27.75" customHeight="1" x14ac:dyDescent="0.2">
      <c r="A115" s="2035"/>
      <c r="B115" s="1989"/>
      <c r="C115" s="996" t="str">
        <f>F!C241</f>
        <v>leaves through natural exits (channels or diffuse outflow), not mainly through artificial or temporary features.</v>
      </c>
      <c r="D115" s="431">
        <f>F!D241</f>
        <v>0</v>
      </c>
      <c r="E115" s="377">
        <v>1</v>
      </c>
      <c r="F115" s="377">
        <f>D115*E115</f>
        <v>0</v>
      </c>
      <c r="G115" s="267"/>
      <c r="H115" s="1989"/>
      <c r="I115" s="1987"/>
    </row>
    <row r="116" spans="1:11" ht="39" thickBot="1" x14ac:dyDescent="0.25">
      <c r="A116" s="2037"/>
      <c r="B116" s="1990"/>
      <c r="C116" s="329" t="str">
        <f>F!C242</f>
        <v>is exported more quickly than usual due to ditches or pipes within the AA (or connected to its outlet or within 10 m of the AA's edge) which drain the wetland artificially, or water is pumped out of the AA.</v>
      </c>
      <c r="D116" s="102">
        <f>F!D242</f>
        <v>0</v>
      </c>
      <c r="E116" s="244">
        <v>0</v>
      </c>
      <c r="F116" s="244">
        <f>D116*E116</f>
        <v>0</v>
      </c>
      <c r="G116" s="258"/>
      <c r="H116" s="1990"/>
      <c r="I116" s="1988"/>
    </row>
    <row r="117" spans="1:11" ht="21" customHeight="1" thickBot="1" x14ac:dyDescent="0.25">
      <c r="A117" s="1991" t="str">
        <f>F!A243</f>
        <v>F50</v>
      </c>
      <c r="B117" s="1911" t="str">
        <f>F!B243</f>
        <v>Groundwater: Strength of Evidence</v>
      </c>
      <c r="C117" s="877" t="str">
        <f>F!C243</f>
        <v xml:space="preserve">Select first applicable choice. </v>
      </c>
      <c r="D117" s="238"/>
      <c r="E117" s="239"/>
      <c r="F117" s="259"/>
      <c r="G117" s="219">
        <f>IF((D120=1),"",MAX(F118:F120)/MAX(E118:E120))</f>
        <v>0</v>
      </c>
      <c r="H117" s="2000" t="s">
        <v>225</v>
      </c>
      <c r="I117" s="1987" t="s">
        <v>1080</v>
      </c>
      <c r="K117" s="1325"/>
    </row>
    <row r="118" spans="1:11" ht="59.25" customHeight="1" x14ac:dyDescent="0.2">
      <c r="A118" s="1991"/>
      <c r="B118" s="1911"/>
      <c r="C118" s="360"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118" s="304">
        <f>F!D244</f>
        <v>0</v>
      </c>
      <c r="E118" s="241">
        <v>3</v>
      </c>
      <c r="F118" s="241">
        <f>D118*E118</f>
        <v>0</v>
      </c>
      <c r="G118" s="202"/>
      <c r="H118" s="1989"/>
      <c r="I118" s="1987"/>
    </row>
    <row r="119" spans="1:11" ht="84" customHeight="1" x14ac:dyDescent="0.2">
      <c r="A119" s="1991"/>
      <c r="B119" s="1911"/>
      <c r="C119" s="747"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119" s="247">
        <f>F!D245</f>
        <v>0</v>
      </c>
      <c r="E119" s="241">
        <v>2</v>
      </c>
      <c r="F119" s="241">
        <f>D119*E119</f>
        <v>0</v>
      </c>
      <c r="G119" s="257"/>
      <c r="H119" s="1989"/>
      <c r="I119" s="1987"/>
    </row>
    <row r="120" spans="1:11" ht="27" customHeight="1" thickBot="1" x14ac:dyDescent="0.25">
      <c r="A120" s="1991"/>
      <c r="B120" s="1911"/>
      <c r="C120" s="747" t="str">
        <f>F!C246</f>
        <v>Neither of above is true, although some groundwater may discharge to or flow through the AA.  Or groundwater influx is unknown.</v>
      </c>
      <c r="D120" s="247">
        <f>F!D246</f>
        <v>0</v>
      </c>
      <c r="E120" s="242">
        <v>0</v>
      </c>
      <c r="F120" s="242">
        <f>D120*E120</f>
        <v>0</v>
      </c>
      <c r="G120" s="433"/>
      <c r="H120" s="1990"/>
      <c r="I120" s="1987"/>
    </row>
    <row r="121" spans="1:11" ht="21" customHeight="1" thickBot="1" x14ac:dyDescent="0.25">
      <c r="A121" s="2103" t="str">
        <f>F!A247</f>
        <v>F51</v>
      </c>
      <c r="B121" s="2027" t="str">
        <f>F!B247</f>
        <v>Internal Gradient</v>
      </c>
      <c r="C121" s="104" t="str">
        <f>F!C247</f>
        <v>The gradient along most of the flow path within the AA is:</v>
      </c>
      <c r="D121" s="372"/>
      <c r="E121" s="376"/>
      <c r="F121" s="262"/>
      <c r="G121" s="225">
        <f>MAX(F122:F125)/MAX(E122:E125)</f>
        <v>0</v>
      </c>
      <c r="H121" s="2000" t="s">
        <v>232</v>
      </c>
      <c r="I121" s="2120" t="s">
        <v>272</v>
      </c>
    </row>
    <row r="122" spans="1:11" ht="27" customHeight="1" x14ac:dyDescent="0.2">
      <c r="A122" s="2104"/>
      <c r="B122" s="2028"/>
      <c r="C122" s="995" t="str">
        <f>F!C248</f>
        <v>&lt;2%, or, no slope is ever apparent (i.e., flat). Or, the wetland is in a depression or pond with no inlet and no outlet.</v>
      </c>
      <c r="D122" s="303">
        <f>F!D248</f>
        <v>0</v>
      </c>
      <c r="E122" s="377">
        <v>4</v>
      </c>
      <c r="F122" s="377">
        <f>D122*E122</f>
        <v>0</v>
      </c>
      <c r="G122" s="202"/>
      <c r="H122" s="1989"/>
      <c r="I122" s="2118"/>
    </row>
    <row r="123" spans="1:11" ht="15" customHeight="1" x14ac:dyDescent="0.2">
      <c r="A123" s="2104"/>
      <c r="B123" s="2028"/>
      <c r="C123" s="995" t="str">
        <f>F!C249</f>
        <v>2-5%</v>
      </c>
      <c r="D123" s="431">
        <f>F!D249</f>
        <v>0</v>
      </c>
      <c r="E123" s="377">
        <v>2</v>
      </c>
      <c r="F123" s="377">
        <f>D123*E123</f>
        <v>0</v>
      </c>
      <c r="G123" s="257"/>
      <c r="H123" s="1989"/>
      <c r="I123" s="2118"/>
    </row>
    <row r="124" spans="1:11" ht="15" customHeight="1" x14ac:dyDescent="0.2">
      <c r="A124" s="2104"/>
      <c r="B124" s="2028"/>
      <c r="C124" s="995" t="str">
        <f>F!C250</f>
        <v>6-10%</v>
      </c>
      <c r="D124" s="431">
        <f>F!D250</f>
        <v>0</v>
      </c>
      <c r="E124" s="377">
        <v>1</v>
      </c>
      <c r="F124" s="377">
        <f>D124*E124</f>
        <v>0</v>
      </c>
      <c r="G124" s="257"/>
      <c r="H124" s="1989"/>
      <c r="I124" s="2118"/>
    </row>
    <row r="125" spans="1:11" ht="15" customHeight="1" thickBot="1" x14ac:dyDescent="0.25">
      <c r="A125" s="2105"/>
      <c r="B125" s="2029"/>
      <c r="C125" s="390" t="str">
        <f>F!C251</f>
        <v>&gt;10%</v>
      </c>
      <c r="D125" s="102">
        <f>F!D251</f>
        <v>0</v>
      </c>
      <c r="E125" s="244">
        <v>0</v>
      </c>
      <c r="F125" s="244">
        <f>D125*E125</f>
        <v>0</v>
      </c>
      <c r="G125" s="258"/>
      <c r="H125" s="1990"/>
      <c r="I125" s="2119"/>
    </row>
    <row r="126" spans="1:11" ht="39.75" customHeight="1" thickBot="1" x14ac:dyDescent="0.25">
      <c r="A126" s="2121" t="str">
        <f>F!A262</f>
        <v>F55</v>
      </c>
      <c r="B126" s="2067" t="str">
        <f>F!B262</f>
        <v>New or Expanded Wetland</v>
      </c>
      <c r="C126" s="427" t="str">
        <f>F!C262</f>
        <v>Part or all of the AA resulted from human actions that persistently expanded a naturally occurring wetland or created a wetland where there previously was none (e.g., by excavation, impoundment):</v>
      </c>
      <c r="D126" s="282"/>
      <c r="E126" s="256"/>
      <c r="F126" s="268"/>
      <c r="G126" s="225">
        <f>IF((D132=1),"",MAX(F127:F131)/MAX(E127:E131))</f>
        <v>0</v>
      </c>
      <c r="H126" s="2000" t="s">
        <v>233</v>
      </c>
      <c r="I126" s="2117" t="s">
        <v>1347</v>
      </c>
    </row>
    <row r="127" spans="1:11" ht="15" customHeight="1" x14ac:dyDescent="0.2">
      <c r="A127" s="2122"/>
      <c r="B127" s="2068"/>
      <c r="C127" s="428" t="str">
        <f>F!C263</f>
        <v>No</v>
      </c>
      <c r="D127" s="431">
        <f>F!D263</f>
        <v>0</v>
      </c>
      <c r="E127" s="380">
        <v>5</v>
      </c>
      <c r="F127" s="377">
        <f>D127*E127</f>
        <v>0</v>
      </c>
      <c r="G127" s="267"/>
      <c r="H127" s="1989"/>
      <c r="I127" s="2118"/>
    </row>
    <row r="128" spans="1:11" ht="15" customHeight="1" x14ac:dyDescent="0.2">
      <c r="A128" s="2122"/>
      <c r="B128" s="2068"/>
      <c r="C128" s="719" t="str">
        <f>F!C264</f>
        <v>yes, and created or expanded 20 - 100 years ago .</v>
      </c>
      <c r="D128" s="434">
        <f>F!D264</f>
        <v>0</v>
      </c>
      <c r="E128" s="380">
        <v>2</v>
      </c>
      <c r="F128" s="377">
        <f>D128*E128</f>
        <v>0</v>
      </c>
      <c r="G128" s="433"/>
      <c r="H128" s="1989"/>
      <c r="I128" s="2118"/>
    </row>
    <row r="129" spans="1:11" ht="15" customHeight="1" x14ac:dyDescent="0.2">
      <c r="A129" s="2122"/>
      <c r="B129" s="2068"/>
      <c r="C129" s="719" t="str">
        <f>F!C265</f>
        <v>yes, and created or expanded 3-20 years ago.</v>
      </c>
      <c r="D129" s="434">
        <f>F!D265</f>
        <v>0</v>
      </c>
      <c r="E129" s="380">
        <v>1</v>
      </c>
      <c r="F129" s="377">
        <f>D129*E129</f>
        <v>0</v>
      </c>
      <c r="G129" s="433"/>
      <c r="H129" s="1989"/>
      <c r="I129" s="2118"/>
    </row>
    <row r="130" spans="1:11" ht="15" customHeight="1" x14ac:dyDescent="0.2">
      <c r="A130" s="2122"/>
      <c r="B130" s="2068"/>
      <c r="C130" s="719" t="str">
        <f>F!C266</f>
        <v>yes, and created or expanded within last 3 years.</v>
      </c>
      <c r="D130" s="434">
        <f>F!D266</f>
        <v>0</v>
      </c>
      <c r="E130" s="380">
        <v>0</v>
      </c>
      <c r="F130" s="377">
        <f>D130*E130</f>
        <v>0</v>
      </c>
      <c r="G130" s="433"/>
      <c r="H130" s="1989"/>
      <c r="I130" s="2118"/>
    </row>
    <row r="131" spans="1:11" ht="15" customHeight="1" x14ac:dyDescent="0.2">
      <c r="A131" s="2122"/>
      <c r="B131" s="2068"/>
      <c r="C131" s="719" t="str">
        <f>F!C267</f>
        <v>yes, but time of origin unknown.</v>
      </c>
      <c r="D131" s="434">
        <f>F!D267</f>
        <v>0</v>
      </c>
      <c r="E131" s="380">
        <v>1</v>
      </c>
      <c r="F131" s="377">
        <f>D131*E131</f>
        <v>0</v>
      </c>
      <c r="G131" s="433"/>
      <c r="H131" s="1989"/>
      <c r="I131" s="2118"/>
    </row>
    <row r="132" spans="1:11" ht="15" customHeight="1" thickBot="1" x14ac:dyDescent="0.25">
      <c r="A132" s="2123"/>
      <c r="B132" s="2069"/>
      <c r="C132" s="438" t="str">
        <f>F!C268</f>
        <v>unknown if new or expanded within 20 years or not.</v>
      </c>
      <c r="D132" s="102">
        <f>F!D268</f>
        <v>0</v>
      </c>
      <c r="E132" s="244"/>
      <c r="F132" s="244"/>
      <c r="G132" s="258"/>
      <c r="H132" s="1990"/>
      <c r="I132" s="2119"/>
    </row>
    <row r="133" spans="1:11" ht="58.5" customHeight="1" thickBot="1" x14ac:dyDescent="0.25">
      <c r="A133" s="769" t="str">
        <f>S!A71</f>
        <v>S5</v>
      </c>
      <c r="B133" s="769" t="str">
        <f>S!B71</f>
        <v>Soil or Sediment Alteration Within the Assessment Area</v>
      </c>
      <c r="C133" s="99" t="str">
        <f>S!E88</f>
        <v>Stressor Subscore=</v>
      </c>
      <c r="D133" s="1022">
        <f>S!F88</f>
        <v>0</v>
      </c>
      <c r="E133" s="269"/>
      <c r="F133" s="270"/>
      <c r="G133" s="225" t="str">
        <f>IF((D133=0),"",1-(D133/5))</f>
        <v/>
      </c>
      <c r="H133" s="77" t="s">
        <v>1087</v>
      </c>
      <c r="I133" s="131" t="s">
        <v>268</v>
      </c>
    </row>
    <row r="134" spans="1:11" ht="21" customHeight="1" thickBot="1" x14ac:dyDescent="0.25">
      <c r="A134" s="827"/>
      <c r="B134" s="827"/>
      <c r="C134" s="99"/>
      <c r="D134" s="827"/>
      <c r="E134" s="827"/>
      <c r="F134" s="827"/>
      <c r="G134" s="827"/>
      <c r="H134" s="592"/>
      <c r="I134" s="592"/>
    </row>
    <row r="135" spans="1:11" ht="21" customHeight="1" thickBot="1" x14ac:dyDescent="0.25">
      <c r="A135" s="5"/>
      <c r="B135" s="940"/>
      <c r="C135" s="391" t="s">
        <v>722</v>
      </c>
      <c r="D135" s="1027"/>
      <c r="E135" s="1027"/>
      <c r="F135" s="1027"/>
      <c r="G135" s="1027"/>
      <c r="H135" s="115"/>
      <c r="I135" s="115"/>
    </row>
    <row r="136" spans="1:11" ht="21" customHeight="1" thickBot="1" x14ac:dyDescent="0.25">
      <c r="A136" s="940"/>
      <c r="B136" s="1390"/>
      <c r="C136" s="1024" t="s">
        <v>2389</v>
      </c>
      <c r="D136" s="1621"/>
      <c r="E136" s="1264"/>
      <c r="F136" s="1264"/>
      <c r="G136" s="1025">
        <f>AVERAGE(GrowDD,1-Sub0Days,1-Aspect,HerbWoodMix4,Gcover4)</f>
        <v>0.5</v>
      </c>
      <c r="H136" s="115"/>
      <c r="I136" s="115"/>
      <c r="J136" s="140"/>
      <c r="K136" s="110"/>
    </row>
    <row r="137" spans="1:11" ht="21" customHeight="1" thickBot="1" x14ac:dyDescent="0.25">
      <c r="A137" s="5"/>
      <c r="B137" s="940"/>
      <c r="D137" s="489"/>
      <c r="E137" s="489"/>
      <c r="F137" s="489"/>
      <c r="G137" s="489"/>
      <c r="H137" s="115"/>
      <c r="I137" s="115"/>
      <c r="J137" s="441"/>
    </row>
    <row r="138" spans="1:11" ht="21" customHeight="1" thickBot="1" x14ac:dyDescent="0.25">
      <c r="A138" s="5"/>
      <c r="B138" s="940"/>
      <c r="C138" s="391" t="s">
        <v>1050</v>
      </c>
      <c r="D138" s="610"/>
      <c r="E138" s="610"/>
      <c r="F138" s="610"/>
      <c r="G138" s="610"/>
      <c r="H138" s="115"/>
      <c r="I138" s="115"/>
      <c r="J138" s="441"/>
    </row>
    <row r="139" spans="1:11" ht="21" customHeight="1" thickBot="1" x14ac:dyDescent="0.25">
      <c r="A139" s="5"/>
      <c r="B139" s="940"/>
      <c r="C139" s="1247" t="s">
        <v>2390</v>
      </c>
      <c r="D139" s="1621"/>
      <c r="E139" s="1264"/>
      <c r="F139" s="1264"/>
      <c r="G139" s="1248">
        <f>AVERAGE(SoilTex4,SoilDisturb4,OWpct4,Wettype4,WoodyPct4, NewWet)</f>
        <v>0.2</v>
      </c>
      <c r="H139" s="115"/>
      <c r="I139" s="115"/>
      <c r="J139" s="441"/>
    </row>
    <row r="140" spans="1:11" ht="21" customHeight="1" thickBot="1" x14ac:dyDescent="0.25">
      <c r="A140" s="5"/>
      <c r="B140" s="940"/>
      <c r="D140" s="489"/>
      <c r="E140" s="489"/>
      <c r="F140" s="489"/>
      <c r="G140" s="489"/>
      <c r="H140" s="115"/>
      <c r="I140" s="115"/>
      <c r="J140" s="441"/>
    </row>
    <row r="141" spans="1:11" ht="21" customHeight="1" thickBot="1" x14ac:dyDescent="0.25">
      <c r="A141" s="5"/>
      <c r="B141" s="940"/>
      <c r="C141" s="391" t="s">
        <v>723</v>
      </c>
      <c r="D141" s="610"/>
      <c r="E141" s="610"/>
      <c r="F141" s="610"/>
      <c r="G141" s="610"/>
      <c r="H141" s="115"/>
      <c r="I141" s="115"/>
      <c r="J141" s="441"/>
    </row>
    <row r="142" spans="1:11" ht="27" customHeight="1" thickBot="1" x14ac:dyDescent="0.25">
      <c r="A142" s="940"/>
      <c r="B142" s="1390"/>
      <c r="C142" s="1024" t="s">
        <v>2466</v>
      </c>
      <c r="D142" s="1621"/>
      <c r="E142" s="1264"/>
      <c r="F142" s="1264"/>
      <c r="G142" s="1025">
        <f>AVERAGE(WetPerim2Area, SwampMarshPct, Interspers4,Inclus4,Groundw4, PermWpct4, SatPct4, SeasWpct4, Fluctu4)</f>
        <v>0</v>
      </c>
      <c r="H142" s="115"/>
      <c r="I142" s="115"/>
      <c r="J142" s="441"/>
    </row>
    <row r="143" spans="1:11" ht="21" customHeight="1" thickBot="1" x14ac:dyDescent="0.25">
      <c r="A143" s="5"/>
      <c r="B143" s="940"/>
      <c r="C143" s="940"/>
      <c r="D143" s="1622"/>
      <c r="E143" s="1622"/>
      <c r="F143" s="1622"/>
      <c r="G143" s="1622"/>
      <c r="H143" s="115"/>
      <c r="I143" s="115"/>
      <c r="J143" s="441"/>
    </row>
    <row r="144" spans="1:11" ht="21" customHeight="1" thickBot="1" x14ac:dyDescent="0.25">
      <c r="A144" s="5"/>
      <c r="B144" s="940"/>
      <c r="C144" s="391" t="s">
        <v>724</v>
      </c>
      <c r="D144" s="1623"/>
      <c r="E144" s="1623"/>
      <c r="F144" s="1623"/>
      <c r="G144" s="1623"/>
      <c r="H144" s="115"/>
      <c r="I144" s="115"/>
      <c r="J144" s="441"/>
    </row>
    <row r="145" spans="1:10" ht="21" customHeight="1" thickBot="1" x14ac:dyDescent="0.25">
      <c r="A145" s="940"/>
      <c r="B145" s="1390"/>
      <c r="C145" s="1024" t="s">
        <v>1954</v>
      </c>
      <c r="D145" s="1621"/>
      <c r="E145" s="1264"/>
      <c r="F145" s="1264"/>
      <c r="G145" s="1025">
        <f>AVERAGE(Gradient4, PondPct4,  ThruFlo4, Girreg4, Constric4, VwidthAbs4)</f>
        <v>0</v>
      </c>
      <c r="H145" s="115"/>
      <c r="I145" s="115"/>
      <c r="J145" s="441"/>
    </row>
    <row r="146" spans="1:10" ht="21" customHeight="1" thickBot="1" x14ac:dyDescent="0.25">
      <c r="A146" s="1246"/>
      <c r="B146" s="10"/>
      <c r="C146" s="940"/>
      <c r="D146" s="1622"/>
      <c r="E146" s="1622"/>
      <c r="F146" s="1622"/>
      <c r="G146" s="1622"/>
      <c r="H146" s="115"/>
      <c r="I146" s="115"/>
      <c r="J146" s="441"/>
    </row>
    <row r="147" spans="1:10" ht="21" customHeight="1" thickBot="1" x14ac:dyDescent="0.25">
      <c r="A147" s="1246"/>
      <c r="B147" s="1246"/>
      <c r="C147" s="391" t="s">
        <v>715</v>
      </c>
      <c r="D147" s="1623"/>
      <c r="E147" s="1623"/>
      <c r="F147" s="1623"/>
      <c r="G147" s="1623"/>
      <c r="H147" s="115"/>
      <c r="I147" s="115"/>
      <c r="J147" s="441"/>
    </row>
    <row r="148" spans="1:10" ht="21" customHeight="1" thickBot="1" x14ac:dyDescent="0.25">
      <c r="A148" s="1246"/>
      <c r="B148" s="1246"/>
      <c r="C148" s="83" t="s">
        <v>226</v>
      </c>
      <c r="D148" s="1624"/>
      <c r="E148" s="507"/>
      <c r="F148" s="507"/>
      <c r="G148" s="1625">
        <f>OutDura4</f>
        <v>0</v>
      </c>
      <c r="H148" s="115"/>
      <c r="I148" s="115"/>
      <c r="J148" s="441"/>
    </row>
    <row r="149" spans="1:10" ht="21" customHeight="1" thickBot="1" x14ac:dyDescent="0.25">
      <c r="A149" s="1246"/>
      <c r="B149" s="1246"/>
      <c r="D149" s="609"/>
      <c r="E149" s="609"/>
      <c r="F149" s="609"/>
      <c r="G149" s="609"/>
      <c r="H149" s="115"/>
      <c r="I149" s="115"/>
      <c r="J149" s="441"/>
    </row>
    <row r="150" spans="1:10" ht="21" customHeight="1" thickBot="1" x14ac:dyDescent="0.25">
      <c r="A150" s="1246"/>
      <c r="B150" s="1246"/>
      <c r="C150" s="639" t="s">
        <v>846</v>
      </c>
      <c r="D150" s="608"/>
      <c r="E150" s="608"/>
      <c r="F150" s="608"/>
      <c r="G150" s="608"/>
      <c r="H150" s="115"/>
      <c r="I150" s="115"/>
      <c r="J150" s="441"/>
    </row>
    <row r="151" spans="1:10" ht="21" customHeight="1" thickBot="1" x14ac:dyDescent="0.25">
      <c r="A151" s="1246"/>
      <c r="B151" s="1246"/>
      <c r="C151" s="409" t="s">
        <v>727</v>
      </c>
      <c r="D151" s="610"/>
      <c r="E151" s="610"/>
      <c r="F151" s="610"/>
      <c r="G151" s="610"/>
      <c r="H151" s="115"/>
      <c r="I151" s="115"/>
      <c r="J151" s="441"/>
    </row>
    <row r="152" spans="1:10" ht="30.75" customHeight="1" thickBot="1" x14ac:dyDescent="0.25">
      <c r="A152" s="1246"/>
      <c r="B152" s="1246"/>
      <c r="C152" s="83" t="s">
        <v>2467</v>
      </c>
      <c r="D152" s="1624"/>
      <c r="E152" s="507"/>
      <c r="F152" s="507"/>
      <c r="G152" s="582">
        <f>IF((OutNone + OutNone1&gt;0),10, 10*AVERAGE(TEMP1A, CARB1A, REDOX1A, DELAY1A, OutDura4))</f>
        <v>1.4</v>
      </c>
      <c r="H152" s="115"/>
      <c r="I152" s="115"/>
      <c r="J152" s="441"/>
    </row>
    <row r="153" spans="1:10" ht="21" customHeight="1" thickBot="1" x14ac:dyDescent="0.25">
      <c r="A153" s="1246"/>
      <c r="B153" s="1246"/>
      <c r="D153" s="609"/>
      <c r="E153" s="608"/>
      <c r="F153" s="608"/>
      <c r="G153" s="608"/>
      <c r="H153" s="591"/>
      <c r="I153" s="832" t="s">
        <v>293</v>
      </c>
      <c r="J153" s="441"/>
    </row>
    <row r="154" spans="1:10" ht="38.25" x14ac:dyDescent="0.2">
      <c r="A154" s="1550"/>
      <c r="B154" s="1550"/>
      <c r="C154" s="1496"/>
      <c r="D154" s="1626"/>
      <c r="E154" s="608"/>
      <c r="F154" s="608"/>
      <c r="G154" s="608"/>
      <c r="H154" s="591"/>
      <c r="I154" s="1433" t="s">
        <v>318</v>
      </c>
      <c r="J154" s="441"/>
    </row>
    <row r="155" spans="1:10" s="123" customFormat="1" ht="31.5" customHeight="1" x14ac:dyDescent="0.2">
      <c r="A155" s="1627"/>
      <c r="B155" s="1466"/>
      <c r="C155" s="1498"/>
      <c r="D155" s="1626"/>
      <c r="E155" s="608"/>
      <c r="F155" s="608"/>
      <c r="G155" s="608"/>
      <c r="H155" s="591"/>
      <c r="I155" s="1431" t="s">
        <v>1051</v>
      </c>
      <c r="J155" s="140"/>
    </row>
    <row r="156" spans="1:10" s="123" customFormat="1" ht="57" customHeight="1" x14ac:dyDescent="0.2">
      <c r="A156" s="1627"/>
      <c r="B156" s="1466"/>
      <c r="C156" s="1498"/>
      <c r="D156" s="1626"/>
      <c r="E156" s="608"/>
      <c r="F156" s="608"/>
      <c r="G156" s="608"/>
      <c r="H156" s="591"/>
      <c r="I156" s="833" t="s">
        <v>1052</v>
      </c>
      <c r="J156" s="140"/>
    </row>
    <row r="157" spans="1:10" s="123" customFormat="1" ht="42" customHeight="1" x14ac:dyDescent="0.2">
      <c r="A157" s="1627"/>
      <c r="B157" s="1552"/>
      <c r="C157" s="1628"/>
      <c r="D157" s="1629"/>
      <c r="E157" s="608"/>
      <c r="F157" s="608"/>
      <c r="G157" s="608"/>
      <c r="H157" s="591"/>
      <c r="I157" s="833" t="s">
        <v>1838</v>
      </c>
      <c r="J157" s="140"/>
    </row>
    <row r="158" spans="1:10" s="123" customFormat="1" ht="42" customHeight="1" x14ac:dyDescent="0.2">
      <c r="A158" s="1627"/>
      <c r="B158" s="1552"/>
      <c r="C158" s="1628"/>
      <c r="D158" s="1629"/>
      <c r="E158" s="608"/>
      <c r="F158" s="608"/>
      <c r="G158" s="608"/>
      <c r="H158" s="591"/>
      <c r="I158" s="817" t="s">
        <v>1839</v>
      </c>
      <c r="J158" s="140"/>
    </row>
    <row r="159" spans="1:10" s="123" customFormat="1" ht="27" customHeight="1" x14ac:dyDescent="0.2">
      <c r="A159" s="1627"/>
      <c r="B159" s="1552"/>
      <c r="C159" s="1628"/>
      <c r="D159" s="1629"/>
      <c r="E159" s="608"/>
      <c r="F159" s="608"/>
      <c r="G159" s="608"/>
      <c r="H159" s="591"/>
      <c r="I159" s="816" t="s">
        <v>1053</v>
      </c>
      <c r="J159" s="140"/>
    </row>
    <row r="160" spans="1:10" s="123" customFormat="1" ht="57" customHeight="1" x14ac:dyDescent="0.2">
      <c r="A160" s="1627"/>
      <c r="B160" s="1552"/>
      <c r="C160" s="1628"/>
      <c r="D160" s="1629"/>
      <c r="E160" s="608"/>
      <c r="F160" s="608"/>
      <c r="G160" s="608"/>
      <c r="H160" s="591"/>
      <c r="I160" s="833" t="s">
        <v>1054</v>
      </c>
      <c r="J160" s="140"/>
    </row>
    <row r="161" spans="1:10" s="123" customFormat="1" ht="42" customHeight="1" x14ac:dyDescent="0.2">
      <c r="A161" s="1627"/>
      <c r="B161" s="1552"/>
      <c r="C161" s="1628"/>
      <c r="D161" s="1629"/>
      <c r="E161" s="608"/>
      <c r="F161" s="608"/>
      <c r="G161" s="608"/>
      <c r="H161" s="591"/>
      <c r="I161" s="1431" t="s">
        <v>1055</v>
      </c>
      <c r="J161" s="140"/>
    </row>
    <row r="162" spans="1:10" s="123" customFormat="1" ht="42" customHeight="1" x14ac:dyDescent="0.2">
      <c r="A162" s="1627"/>
      <c r="B162" s="1630"/>
      <c r="C162" s="1498"/>
      <c r="D162" s="1631"/>
      <c r="E162" s="608"/>
      <c r="F162" s="608"/>
      <c r="G162" s="608"/>
      <c r="H162" s="591"/>
      <c r="I162" s="1431" t="s">
        <v>1840</v>
      </c>
      <c r="J162" s="140"/>
    </row>
    <row r="163" spans="1:10" ht="27" customHeight="1" x14ac:dyDescent="0.2">
      <c r="A163" s="1627"/>
      <c r="B163" s="2128"/>
      <c r="C163" s="588"/>
      <c r="D163" s="1632"/>
      <c r="E163" s="608"/>
      <c r="F163" s="608"/>
      <c r="G163" s="608"/>
      <c r="H163" s="591"/>
      <c r="I163" s="1431" t="s">
        <v>1056</v>
      </c>
      <c r="J163" s="441"/>
    </row>
    <row r="164" spans="1:10" ht="42" customHeight="1" x14ac:dyDescent="0.2">
      <c r="A164" s="1627"/>
      <c r="B164" s="2128"/>
      <c r="C164" s="1496"/>
      <c r="D164" s="1632"/>
      <c r="E164" s="608"/>
      <c r="F164" s="608"/>
      <c r="G164" s="608"/>
      <c r="H164" s="591"/>
      <c r="I164" s="816" t="s">
        <v>1057</v>
      </c>
      <c r="J164" s="441"/>
    </row>
    <row r="165" spans="1:10" ht="42" customHeight="1" x14ac:dyDescent="0.2">
      <c r="A165" s="1627"/>
      <c r="B165" s="1466"/>
      <c r="C165" s="1498"/>
      <c r="D165" s="1632"/>
      <c r="E165" s="608"/>
      <c r="F165" s="608"/>
      <c r="G165" s="608"/>
      <c r="H165" s="591"/>
      <c r="I165" s="816" t="s">
        <v>1841</v>
      </c>
      <c r="J165" s="441"/>
    </row>
    <row r="166" spans="1:10" ht="38.25" x14ac:dyDescent="0.2">
      <c r="A166" s="1627"/>
      <c r="B166" s="1466"/>
      <c r="C166" s="1498"/>
      <c r="D166" s="1632"/>
      <c r="E166" s="608"/>
      <c r="F166" s="608"/>
      <c r="G166" s="608"/>
      <c r="H166" s="591"/>
      <c r="I166" s="816" t="s">
        <v>1804</v>
      </c>
      <c r="J166" s="441"/>
    </row>
    <row r="167" spans="1:10" ht="42" customHeight="1" x14ac:dyDescent="0.2">
      <c r="A167" s="1627"/>
      <c r="B167" s="1552"/>
      <c r="C167" s="1628"/>
      <c r="D167" s="1629"/>
      <c r="E167" s="608"/>
      <c r="F167" s="608"/>
      <c r="G167" s="608"/>
      <c r="H167" s="591"/>
      <c r="I167" s="816" t="s">
        <v>1058</v>
      </c>
      <c r="J167" s="441"/>
    </row>
    <row r="168" spans="1:10" ht="27" customHeight="1" x14ac:dyDescent="0.2">
      <c r="A168" s="1627"/>
      <c r="B168" s="1552"/>
      <c r="C168" s="1628"/>
      <c r="D168" s="1629"/>
      <c r="E168" s="608"/>
      <c r="F168" s="608"/>
      <c r="G168" s="608"/>
      <c r="H168" s="591"/>
      <c r="I168" s="1431" t="s">
        <v>1059</v>
      </c>
      <c r="J168" s="441"/>
    </row>
    <row r="169" spans="1:10" ht="27" customHeight="1" x14ac:dyDescent="0.2">
      <c r="A169" s="1627"/>
      <c r="B169" s="1552"/>
      <c r="C169" s="1628"/>
      <c r="D169" s="1629"/>
      <c r="E169" s="608"/>
      <c r="F169" s="608"/>
      <c r="G169" s="608"/>
      <c r="H169" s="591"/>
      <c r="I169" s="1431" t="s">
        <v>1060</v>
      </c>
      <c r="J169" s="441"/>
    </row>
    <row r="170" spans="1:10" ht="42" customHeight="1" x14ac:dyDescent="0.2">
      <c r="A170" s="1627"/>
      <c r="B170" s="1552"/>
      <c r="C170" s="1628"/>
      <c r="D170" s="1629"/>
      <c r="E170" s="608"/>
      <c r="F170" s="608"/>
      <c r="G170" s="608"/>
      <c r="H170" s="591"/>
      <c r="I170" s="816" t="s">
        <v>1061</v>
      </c>
      <c r="J170" s="441"/>
    </row>
    <row r="171" spans="1:10" ht="38.25" x14ac:dyDescent="0.2">
      <c r="A171" s="1627"/>
      <c r="B171" s="1552"/>
      <c r="C171" s="1628"/>
      <c r="D171" s="1629"/>
      <c r="E171" s="608"/>
      <c r="F171" s="608"/>
      <c r="G171" s="608"/>
      <c r="H171" s="591"/>
      <c r="I171" s="816" t="s">
        <v>1252</v>
      </c>
      <c r="J171" s="441"/>
    </row>
    <row r="172" spans="1:10" ht="42" customHeight="1" x14ac:dyDescent="0.2">
      <c r="A172" s="1627"/>
      <c r="B172" s="1630"/>
      <c r="C172" s="1498"/>
      <c r="D172" s="1631"/>
      <c r="E172" s="608"/>
      <c r="F172" s="608"/>
      <c r="G172" s="608"/>
      <c r="H172" s="591"/>
      <c r="I172" s="816" t="s">
        <v>1062</v>
      </c>
      <c r="J172" s="441"/>
    </row>
    <row r="173" spans="1:10" ht="42" customHeight="1" x14ac:dyDescent="0.2">
      <c r="A173" s="5"/>
      <c r="D173" s="5"/>
      <c r="E173" s="5"/>
      <c r="F173" s="5"/>
      <c r="G173" s="5"/>
      <c r="H173" s="1390"/>
      <c r="I173" s="816" t="s">
        <v>1063</v>
      </c>
      <c r="J173" s="441"/>
    </row>
    <row r="174" spans="1:10" ht="42" customHeight="1" x14ac:dyDescent="0.2">
      <c r="A174" s="5"/>
      <c r="D174" s="5"/>
      <c r="E174" s="5"/>
      <c r="F174" s="5"/>
      <c r="G174" s="5"/>
      <c r="H174" s="1390"/>
      <c r="I174" s="816" t="s">
        <v>314</v>
      </c>
      <c r="J174" s="441"/>
    </row>
    <row r="175" spans="1:10" ht="27" customHeight="1" x14ac:dyDescent="0.2">
      <c r="A175" s="5"/>
      <c r="D175" s="5"/>
      <c r="E175" s="5"/>
      <c r="F175" s="5"/>
      <c r="G175" s="5"/>
      <c r="H175" s="1390"/>
      <c r="I175" s="816" t="s">
        <v>1064</v>
      </c>
      <c r="J175" s="441"/>
    </row>
    <row r="176" spans="1:10" ht="29.25" customHeight="1" x14ac:dyDescent="0.2">
      <c r="A176" s="5"/>
      <c r="D176" s="5"/>
      <c r="E176" s="5"/>
      <c r="F176" s="5"/>
      <c r="G176" s="5"/>
      <c r="H176" s="1390"/>
      <c r="I176" s="1431" t="s">
        <v>1065</v>
      </c>
      <c r="J176" s="441"/>
    </row>
    <row r="177" spans="1:10" ht="57" customHeight="1" x14ac:dyDescent="0.2">
      <c r="A177" s="5"/>
      <c r="D177" s="5"/>
      <c r="E177" s="5"/>
      <c r="F177" s="5"/>
      <c r="G177" s="5"/>
      <c r="H177" s="1390"/>
      <c r="I177" s="817" t="s">
        <v>1066</v>
      </c>
      <c r="J177" s="441"/>
    </row>
    <row r="178" spans="1:10" ht="38.25" x14ac:dyDescent="0.2">
      <c r="A178" s="5"/>
      <c r="D178" s="5"/>
      <c r="E178" s="5"/>
      <c r="F178" s="5"/>
      <c r="G178" s="5"/>
      <c r="H178" s="1390"/>
      <c r="I178" s="816" t="s">
        <v>1067</v>
      </c>
      <c r="J178" s="441"/>
    </row>
    <row r="179" spans="1:10" ht="42" customHeight="1" x14ac:dyDescent="0.2">
      <c r="A179" s="5"/>
      <c r="D179" s="5"/>
      <c r="E179" s="5"/>
      <c r="F179" s="5"/>
      <c r="G179" s="5"/>
      <c r="H179" s="1390"/>
      <c r="I179" s="816" t="s">
        <v>306</v>
      </c>
      <c r="J179" s="441"/>
    </row>
    <row r="180" spans="1:10" ht="29.25" customHeight="1" x14ac:dyDescent="0.2">
      <c r="A180" s="5"/>
      <c r="D180" s="5"/>
      <c r="E180" s="5"/>
      <c r="F180" s="5"/>
      <c r="G180" s="5"/>
      <c r="H180" s="1390"/>
      <c r="I180" s="833" t="s">
        <v>1068</v>
      </c>
      <c r="J180" s="441"/>
    </row>
    <row r="181" spans="1:10" ht="69" customHeight="1" x14ac:dyDescent="0.2">
      <c r="A181" s="5"/>
      <c r="D181" s="5"/>
      <c r="E181" s="5"/>
      <c r="F181" s="5"/>
      <c r="G181" s="5"/>
      <c r="H181" s="1390"/>
      <c r="I181" s="833" t="s">
        <v>1806</v>
      </c>
      <c r="J181" s="441"/>
    </row>
    <row r="182" spans="1:10" ht="32.25" customHeight="1" x14ac:dyDescent="0.2">
      <c r="A182" s="5"/>
      <c r="D182" s="5"/>
      <c r="E182" s="5"/>
      <c r="F182" s="5"/>
      <c r="G182" s="5"/>
      <c r="H182" s="1390"/>
      <c r="I182" s="833" t="s">
        <v>1842</v>
      </c>
      <c r="J182" s="441"/>
    </row>
    <row r="183" spans="1:10" ht="38.25" x14ac:dyDescent="0.2">
      <c r="A183" s="5"/>
      <c r="D183" s="5"/>
      <c r="E183" s="5"/>
      <c r="F183" s="5"/>
      <c r="G183" s="5"/>
      <c r="H183" s="1390"/>
      <c r="I183" s="1431" t="s">
        <v>1069</v>
      </c>
    </row>
    <row r="184" spans="1:10" ht="42" customHeight="1" x14ac:dyDescent="0.2">
      <c r="A184" s="5"/>
      <c r="D184" s="5"/>
      <c r="E184" s="5"/>
      <c r="F184" s="5"/>
      <c r="G184" s="5"/>
      <c r="H184" s="1390"/>
      <c r="I184" s="1431" t="s">
        <v>1070</v>
      </c>
    </row>
    <row r="185" spans="1:10" ht="51" x14ac:dyDescent="0.2">
      <c r="A185" s="5"/>
      <c r="D185" s="5"/>
      <c r="E185" s="5"/>
      <c r="F185" s="5"/>
      <c r="G185" s="5"/>
      <c r="H185" s="1390"/>
      <c r="I185" s="1431" t="s">
        <v>1843</v>
      </c>
    </row>
    <row r="186" spans="1:10" ht="42" customHeight="1" x14ac:dyDescent="0.2">
      <c r="A186" s="5"/>
      <c r="D186" s="5"/>
      <c r="E186" s="5"/>
      <c r="F186" s="5"/>
      <c r="G186" s="5"/>
      <c r="H186" s="1390"/>
      <c r="I186" s="816" t="s">
        <v>319</v>
      </c>
    </row>
    <row r="187" spans="1:10" ht="42" customHeight="1" x14ac:dyDescent="0.2">
      <c r="A187" s="5"/>
      <c r="D187" s="5"/>
      <c r="E187" s="5"/>
      <c r="F187" s="5"/>
      <c r="G187" s="5"/>
      <c r="H187" s="1390"/>
      <c r="I187" s="816" t="s">
        <v>1844</v>
      </c>
    </row>
    <row r="188" spans="1:10" ht="27" customHeight="1" x14ac:dyDescent="0.2">
      <c r="A188" s="5"/>
      <c r="D188" s="5"/>
      <c r="E188" s="5"/>
      <c r="F188" s="5"/>
      <c r="G188" s="5"/>
      <c r="H188" s="1390"/>
      <c r="I188" s="1431" t="s">
        <v>299</v>
      </c>
    </row>
    <row r="189" spans="1:10" ht="27" customHeight="1" x14ac:dyDescent="0.2">
      <c r="A189" s="5"/>
      <c r="D189" s="5"/>
      <c r="E189" s="5"/>
      <c r="F189" s="5"/>
      <c r="G189" s="5"/>
      <c r="H189" s="1390"/>
      <c r="I189" s="834" t="s">
        <v>1845</v>
      </c>
    </row>
    <row r="190" spans="1:10" ht="57" customHeight="1" thickBot="1" x14ac:dyDescent="0.25">
      <c r="A190" s="5"/>
      <c r="D190" s="5"/>
      <c r="E190" s="5"/>
      <c r="F190" s="5"/>
      <c r="G190" s="5"/>
      <c r="H190" s="1390"/>
      <c r="I190" s="296" t="s">
        <v>1071</v>
      </c>
    </row>
    <row r="191" spans="1:10" ht="55.5" customHeight="1" x14ac:dyDescent="0.2">
      <c r="A191" s="5"/>
      <c r="D191" s="5"/>
      <c r="E191" s="5"/>
      <c r="F191" s="5"/>
      <c r="G191" s="5"/>
      <c r="H191" s="940"/>
      <c r="I191" s="1026"/>
    </row>
    <row r="192" spans="1:10" ht="42" customHeight="1" x14ac:dyDescent="0.2">
      <c r="A192" s="5"/>
      <c r="D192" s="5"/>
      <c r="E192" s="5"/>
      <c r="F192" s="5"/>
      <c r="G192" s="5"/>
      <c r="H192" s="940"/>
      <c r="I192" s="126"/>
    </row>
    <row r="193" spans="1:9" ht="42" customHeight="1" x14ac:dyDescent="0.2">
      <c r="A193" s="5"/>
      <c r="D193" s="5"/>
      <c r="E193" s="5"/>
      <c r="F193" s="5"/>
      <c r="G193" s="5"/>
      <c r="H193" s="940"/>
      <c r="I193" s="126"/>
    </row>
    <row r="194" spans="1:9" ht="27" customHeight="1" x14ac:dyDescent="0.2">
      <c r="A194" s="5"/>
      <c r="D194" s="5"/>
      <c r="E194" s="5"/>
      <c r="F194" s="5"/>
      <c r="G194" s="5"/>
      <c r="H194" s="940"/>
      <c r="I194" s="117"/>
    </row>
    <row r="195" spans="1:9" x14ac:dyDescent="0.2">
      <c r="I195" s="117"/>
    </row>
    <row r="196" spans="1:9" x14ac:dyDescent="0.2">
      <c r="I196" s="126"/>
    </row>
    <row r="197" spans="1:9" x14ac:dyDescent="0.2">
      <c r="I197" s="126"/>
    </row>
    <row r="198" spans="1:9" x14ac:dyDescent="0.2">
      <c r="I198" s="117"/>
    </row>
    <row r="199" spans="1:9" x14ac:dyDescent="0.2">
      <c r="I199" s="117"/>
    </row>
    <row r="200" spans="1:9" x14ac:dyDescent="0.2">
      <c r="I200" s="117"/>
    </row>
    <row r="201" spans="1:9" x14ac:dyDescent="0.2">
      <c r="I201" s="117"/>
    </row>
    <row r="202" spans="1:9" x14ac:dyDescent="0.2">
      <c r="I202" s="126"/>
    </row>
    <row r="203" spans="1:9" x14ac:dyDescent="0.2">
      <c r="I203" s="117"/>
    </row>
    <row r="204" spans="1:9" x14ac:dyDescent="0.2">
      <c r="I204" s="117"/>
    </row>
    <row r="205" spans="1:9" x14ac:dyDescent="0.2">
      <c r="I205" s="117"/>
    </row>
    <row r="206" spans="1:9" x14ac:dyDescent="0.2">
      <c r="I206" s="199"/>
    </row>
    <row r="207" spans="1:9" x14ac:dyDescent="0.2">
      <c r="I207" s="199"/>
    </row>
    <row r="208" spans="1:9" x14ac:dyDescent="0.2">
      <c r="I208" s="117"/>
    </row>
    <row r="209" spans="1:9" x14ac:dyDescent="0.2">
      <c r="I209" s="117"/>
    </row>
    <row r="210" spans="1:9" x14ac:dyDescent="0.2">
      <c r="I210" s="126"/>
    </row>
    <row r="211" spans="1:9" x14ac:dyDescent="0.2">
      <c r="I211" s="126"/>
    </row>
    <row r="212" spans="1:9" x14ac:dyDescent="0.2">
      <c r="I212" s="117"/>
    </row>
    <row r="213" spans="1:9" x14ac:dyDescent="0.2">
      <c r="I213" s="117"/>
    </row>
    <row r="214" spans="1:9" x14ac:dyDescent="0.2">
      <c r="I214" s="126"/>
    </row>
    <row r="215" spans="1:9" x14ac:dyDescent="0.2">
      <c r="I215" s="117"/>
    </row>
    <row r="216" spans="1:9" ht="39.6" customHeight="1" x14ac:dyDescent="0.2">
      <c r="A216" s="5"/>
      <c r="E216" s="574"/>
      <c r="F216" s="574"/>
      <c r="G216" s="574"/>
      <c r="I216" s="117"/>
    </row>
    <row r="217" spans="1:9" ht="21" customHeight="1" x14ac:dyDescent="0.2">
      <c r="A217" s="5"/>
      <c r="E217" s="574"/>
      <c r="F217" s="574"/>
      <c r="G217" s="574"/>
    </row>
  </sheetData>
  <sheetProtection password="C4B9" sheet="1" objects="1" scenarios="1"/>
  <sortState ref="A3:K14">
    <sortCondition ref="H3:H14"/>
  </sortState>
  <customSheetViews>
    <customSheetView guid="{B8E02330-2419-4DE6-AD01-7ACC7A5D18DD}" scale="75" topLeftCell="A162">
      <selection activeCell="A2" sqref="A2:H172"/>
      <pageMargins left="0.75" right="0.75" top="1" bottom="1" header="0.5" footer="0.5"/>
      <pageSetup orientation="portrait" horizontalDpi="300" verticalDpi="300" r:id="rId1"/>
      <headerFooter alignWithMargins="0"/>
    </customSheetView>
  </customSheetViews>
  <mergeCells count="87">
    <mergeCell ref="B163:B164"/>
    <mergeCell ref="I11:I17"/>
    <mergeCell ref="I65:I70"/>
    <mergeCell ref="A71:A75"/>
    <mergeCell ref="B52:B57"/>
    <mergeCell ref="B11:B17"/>
    <mergeCell ref="A11:A17"/>
    <mergeCell ref="I71:I75"/>
    <mergeCell ref="I52:I57"/>
    <mergeCell ref="B71:B75"/>
    <mergeCell ref="A65:A70"/>
    <mergeCell ref="A52:A57"/>
    <mergeCell ref="B58:B64"/>
    <mergeCell ref="B83:B89"/>
    <mergeCell ref="B101:B106"/>
    <mergeCell ref="I58:I64"/>
    <mergeCell ref="B90:B96"/>
    <mergeCell ref="I45:I51"/>
    <mergeCell ref="I83:I89"/>
    <mergeCell ref="H83:H89"/>
    <mergeCell ref="H90:H96"/>
    <mergeCell ref="H45:H51"/>
    <mergeCell ref="I90:I96"/>
    <mergeCell ref="I107:I112"/>
    <mergeCell ref="H97:H100"/>
    <mergeCell ref="H101:H106"/>
    <mergeCell ref="A107:A112"/>
    <mergeCell ref="B97:B100"/>
    <mergeCell ref="A97:A100"/>
    <mergeCell ref="B107:B112"/>
    <mergeCell ref="H107:H112"/>
    <mergeCell ref="A101:A106"/>
    <mergeCell ref="I101:I106"/>
    <mergeCell ref="I18:I24"/>
    <mergeCell ref="I97:I100"/>
    <mergeCell ref="I32:I36"/>
    <mergeCell ref="I37:I40"/>
    <mergeCell ref="I41:I44"/>
    <mergeCell ref="I25:I31"/>
    <mergeCell ref="I126:I132"/>
    <mergeCell ref="H126:H132"/>
    <mergeCell ref="A121:A125"/>
    <mergeCell ref="H113:H116"/>
    <mergeCell ref="B121:B125"/>
    <mergeCell ref="B117:B120"/>
    <mergeCell ref="A117:A120"/>
    <mergeCell ref="A113:A116"/>
    <mergeCell ref="I121:I125"/>
    <mergeCell ref="I117:I120"/>
    <mergeCell ref="I113:I116"/>
    <mergeCell ref="H117:H120"/>
    <mergeCell ref="B126:B132"/>
    <mergeCell ref="H121:H125"/>
    <mergeCell ref="A126:A132"/>
    <mergeCell ref="B113:B116"/>
    <mergeCell ref="A90:A96"/>
    <mergeCell ref="B65:B70"/>
    <mergeCell ref="E1:H1"/>
    <mergeCell ref="H58:H64"/>
    <mergeCell ref="H65:H70"/>
    <mergeCell ref="H71:H75"/>
    <mergeCell ref="A83:A89"/>
    <mergeCell ref="B41:B44"/>
    <mergeCell ref="B37:B40"/>
    <mergeCell ref="A18:A24"/>
    <mergeCell ref="A37:A40"/>
    <mergeCell ref="B18:B24"/>
    <mergeCell ref="B32:B36"/>
    <mergeCell ref="A41:A44"/>
    <mergeCell ref="H18:H24"/>
    <mergeCell ref="H37:H40"/>
    <mergeCell ref="A58:A64"/>
    <mergeCell ref="A45:A51"/>
    <mergeCell ref="B45:B51"/>
    <mergeCell ref="I76:I82"/>
    <mergeCell ref="A1:B1"/>
    <mergeCell ref="A76:A82"/>
    <mergeCell ref="H41:H44"/>
    <mergeCell ref="H11:H17"/>
    <mergeCell ref="H52:H57"/>
    <mergeCell ref="H32:H36"/>
    <mergeCell ref="A32:A36"/>
    <mergeCell ref="B76:B82"/>
    <mergeCell ref="H76:H82"/>
    <mergeCell ref="B25:B31"/>
    <mergeCell ref="A25:A31"/>
    <mergeCell ref="H25:H31"/>
  </mergeCells>
  <phoneticPr fontId="12" type="noConversion"/>
  <pageMargins left="0.75" right="0.75" top="1" bottom="1" header="0.5" footer="0.5"/>
  <pageSetup orientation="portrait"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I168"/>
  <sheetViews>
    <sheetView zoomScaleNormal="100" workbookViewId="0">
      <selection activeCell="C6" sqref="C6"/>
    </sheetView>
  </sheetViews>
  <sheetFormatPr defaultColWidth="9.33203125" defaultRowHeight="12.75" x14ac:dyDescent="0.2"/>
  <cols>
    <col min="1" max="1" width="5.83203125" style="25" customWidth="1"/>
    <col min="2" max="2" width="18.83203125" style="5" customWidth="1"/>
    <col min="3" max="3" width="69.83203125" style="5" customWidth="1"/>
    <col min="4" max="6" width="6.83203125" style="577" customWidth="1"/>
    <col min="7" max="7" width="10.83203125" style="179" customWidth="1"/>
    <col min="8" max="8" width="12.83203125" style="113" customWidth="1"/>
    <col min="9" max="9" width="67.83203125" style="6" customWidth="1"/>
    <col min="10" max="10" width="9.33203125" style="574"/>
    <col min="11" max="16384" width="9.33203125" style="5"/>
  </cols>
  <sheetData>
    <row r="1" spans="1:35" s="62" customFormat="1" ht="102" customHeight="1" thickBot="1" x14ac:dyDescent="0.25">
      <c r="A1" s="1976" t="s">
        <v>1754</v>
      </c>
      <c r="B1" s="1977"/>
      <c r="C1" s="60" t="s">
        <v>522</v>
      </c>
      <c r="D1" s="1028" t="s">
        <v>512</v>
      </c>
      <c r="E1" s="2134"/>
      <c r="F1" s="2135"/>
      <c r="G1" s="2135"/>
      <c r="H1" s="2136"/>
      <c r="I1" s="1409" t="s">
        <v>882</v>
      </c>
      <c r="J1" s="147"/>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row>
    <row r="2" spans="1:35" s="1029" customFormat="1" ht="50.25" thickBot="1" x14ac:dyDescent="0.25">
      <c r="A2" s="1008" t="s">
        <v>78</v>
      </c>
      <c r="B2" s="1009" t="s">
        <v>701</v>
      </c>
      <c r="C2" s="1010" t="s">
        <v>866</v>
      </c>
      <c r="D2" s="1008"/>
      <c r="E2" s="1011"/>
      <c r="F2" s="1012"/>
      <c r="G2" s="1013" t="s">
        <v>710</v>
      </c>
      <c r="H2" s="1009" t="s">
        <v>2028</v>
      </c>
      <c r="I2" s="1009" t="s">
        <v>255</v>
      </c>
      <c r="J2" s="1033"/>
      <c r="K2" s="1032"/>
      <c r="L2" s="1032"/>
      <c r="M2" s="1032"/>
      <c r="N2" s="1032"/>
      <c r="O2" s="1032"/>
      <c r="P2" s="1032"/>
      <c r="Q2" s="1032"/>
      <c r="R2" s="1032"/>
      <c r="S2" s="1032"/>
      <c r="T2" s="1032"/>
      <c r="U2" s="1032"/>
      <c r="V2" s="1032"/>
      <c r="W2" s="1032"/>
      <c r="X2" s="1032"/>
      <c r="Y2" s="1032"/>
      <c r="Z2" s="1032"/>
      <c r="AA2" s="1032"/>
      <c r="AB2" s="1032"/>
      <c r="AC2" s="1032"/>
      <c r="AD2" s="1032"/>
      <c r="AE2" s="1032"/>
      <c r="AF2" s="1032"/>
      <c r="AG2" s="1032"/>
      <c r="AH2" s="1032"/>
      <c r="AI2" s="1030"/>
    </row>
    <row r="3" spans="1:35" s="1325" customFormat="1" ht="102.75" customHeight="1" thickBot="1" x14ac:dyDescent="0.25">
      <c r="A3" s="322" t="str">
        <f>OF!A16</f>
        <v>OF15</v>
      </c>
      <c r="B3" s="323" t="str">
        <f>OF!C16</f>
        <v>Growing Degree Days</v>
      </c>
      <c r="C3" s="337"/>
      <c r="D3" s="324"/>
      <c r="E3" s="325"/>
      <c r="F3" s="325"/>
      <c r="G3" s="345" t="str">
        <f>IF((GrowDD=""),"",GrowDD)</f>
        <v/>
      </c>
      <c r="H3" s="351" t="s">
        <v>698</v>
      </c>
      <c r="I3" s="454" t="s">
        <v>565</v>
      </c>
      <c r="J3" s="1600"/>
    </row>
    <row r="4" spans="1:35" s="1325" customFormat="1" ht="30" customHeight="1" thickBot="1" x14ac:dyDescent="0.25">
      <c r="A4" s="317" t="str">
        <f>OF!A34</f>
        <v>OF33</v>
      </c>
      <c r="B4" s="1308" t="str">
        <f>OF!C34</f>
        <v>Riparian or Floodway Location</v>
      </c>
      <c r="C4" s="336"/>
      <c r="D4" s="1259"/>
      <c r="E4" s="1260"/>
      <c r="F4" s="865"/>
      <c r="G4" s="809" t="str">
        <f>IF((RipFloodpl=""),"",RipFloodpl)</f>
        <v/>
      </c>
      <c r="H4" s="1309" t="s">
        <v>697</v>
      </c>
      <c r="I4" s="455" t="s">
        <v>1008</v>
      </c>
      <c r="J4" s="1600"/>
    </row>
    <row r="5" spans="1:35" s="1325" customFormat="1" ht="30" customHeight="1" thickBot="1" x14ac:dyDescent="0.25">
      <c r="A5" s="317" t="str">
        <f>OF!A50</f>
        <v>OF49</v>
      </c>
      <c r="B5" s="318" t="str">
        <f>OF!C50</f>
        <v>Wetland Vegetated Area (in hectares)</v>
      </c>
      <c r="C5" s="336"/>
      <c r="D5" s="320"/>
      <c r="E5" s="321"/>
      <c r="F5" s="321"/>
      <c r="G5" s="330" t="str">
        <f>IF((WetVegArea=""),"",WetVegArea)</f>
        <v/>
      </c>
      <c r="H5" s="332" t="s">
        <v>656</v>
      </c>
      <c r="I5" s="319" t="s">
        <v>1156</v>
      </c>
      <c r="J5" s="1600"/>
      <c r="K5" s="1332"/>
    </row>
    <row r="6" spans="1:35" s="1007" customFormat="1" ht="66.75" thickBot="1" x14ac:dyDescent="0.35">
      <c r="A6" s="997" t="s">
        <v>78</v>
      </c>
      <c r="B6" s="998" t="s">
        <v>709</v>
      </c>
      <c r="C6" s="999" t="s">
        <v>708</v>
      </c>
      <c r="D6" s="1000" t="s">
        <v>33</v>
      </c>
      <c r="E6" s="1001" t="s">
        <v>1131</v>
      </c>
      <c r="F6" s="1002" t="s">
        <v>1130</v>
      </c>
      <c r="G6" s="1003" t="s">
        <v>710</v>
      </c>
      <c r="H6" s="1004" t="s">
        <v>2028</v>
      </c>
      <c r="I6" s="1005" t="s">
        <v>917</v>
      </c>
      <c r="J6" s="1006"/>
    </row>
    <row r="7" spans="1:35" ht="21" customHeight="1" thickBot="1" x14ac:dyDescent="0.25">
      <c r="A7" s="1867" t="str">
        <f>F!A5</f>
        <v>F1</v>
      </c>
      <c r="B7" s="1867" t="str">
        <f>F!B5</f>
        <v>Wetland Type - Predominant</v>
      </c>
      <c r="C7" s="90" t="str">
        <f>F!C5</f>
        <v>Follow the key below and mark the ONE row that best describes MOST of the AA:</v>
      </c>
      <c r="D7" s="282"/>
      <c r="E7" s="376"/>
      <c r="F7" s="376"/>
      <c r="G7" s="225">
        <f>MAX(F8:F13)/MAX(E8:E13)</f>
        <v>0</v>
      </c>
      <c r="H7" s="1867" t="s">
        <v>478</v>
      </c>
      <c r="I7" s="2008" t="s">
        <v>2000</v>
      </c>
    </row>
    <row r="8" spans="1:35" ht="42" customHeight="1" x14ac:dyDescent="0.2">
      <c r="A8" s="1991">
        <f>F!A6</f>
        <v>0</v>
      </c>
      <c r="B8" s="1911"/>
      <c r="C8" s="888" t="str">
        <f>F!C6</f>
        <v>A. Moss and/or lichen cover more than 25% of the ground. Substrate is mostly undecomposed peat. Choose between A1 and A2 and mark the choice with a 1 in their adjoining column. Otherwise go to B below.</v>
      </c>
      <c r="D8" s="733">
        <f>F!D6</f>
        <v>0</v>
      </c>
      <c r="E8" s="734">
        <v>3</v>
      </c>
      <c r="F8" s="722">
        <f>D8*E8</f>
        <v>0</v>
      </c>
      <c r="G8" s="721"/>
      <c r="H8" s="1911"/>
      <c r="I8" s="1847"/>
    </row>
    <row r="9" spans="1:35" ht="89.25" x14ac:dyDescent="0.2">
      <c r="A9" s="1991" t="e">
        <f>F!#REF!</f>
        <v>#REF!</v>
      </c>
      <c r="B9" s="1911"/>
      <c r="C9" s="889"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9" s="733">
        <f>F!D7</f>
        <v>0</v>
      </c>
      <c r="E9" s="885">
        <v>3</v>
      </c>
      <c r="F9" s="722">
        <f>D9*E9</f>
        <v>0</v>
      </c>
      <c r="G9" s="721"/>
      <c r="H9" s="1911"/>
      <c r="I9" s="1847"/>
    </row>
    <row r="10" spans="1:35" ht="63.75" x14ac:dyDescent="0.2">
      <c r="A10" s="1991"/>
      <c r="B10" s="1911"/>
      <c r="C10" s="889"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0" s="733">
        <f>F!D8</f>
        <v>0</v>
      </c>
      <c r="E10" s="885">
        <v>2</v>
      </c>
      <c r="F10" s="722">
        <f t="shared" ref="F10:F13" si="0">D10*E10</f>
        <v>0</v>
      </c>
      <c r="G10" s="721"/>
      <c r="H10" s="1911"/>
      <c r="I10" s="1847"/>
    </row>
    <row r="11" spans="1:35" ht="38.25" x14ac:dyDescent="0.2">
      <c r="A11" s="1991"/>
      <c r="B11" s="1911"/>
      <c r="C11" s="889" t="str">
        <f>F!C9</f>
        <v>B. Moss and/or lichen cover less than 25% of the ground. Soil is mineral or decomposed organic (muck). Choose between B1 and B2 and mark the choice with a 1 in their adjoining column:</v>
      </c>
      <c r="D11" s="733">
        <f>F!D9</f>
        <v>0</v>
      </c>
      <c r="E11" s="885">
        <v>4</v>
      </c>
      <c r="F11" s="722">
        <f t="shared" si="0"/>
        <v>0</v>
      </c>
      <c r="G11" s="721"/>
      <c r="H11" s="1911"/>
      <c r="I11" s="1847"/>
    </row>
    <row r="12" spans="1:35" ht="43.5" customHeight="1" x14ac:dyDescent="0.2">
      <c r="A12" s="1991"/>
      <c r="B12" s="1911"/>
      <c r="C12" s="889"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2" s="733">
        <f>F!D10</f>
        <v>0</v>
      </c>
      <c r="E12" s="885">
        <v>4</v>
      </c>
      <c r="F12" s="722">
        <f t="shared" si="0"/>
        <v>0</v>
      </c>
      <c r="G12" s="721"/>
      <c r="H12" s="1911"/>
      <c r="I12" s="1847"/>
    </row>
    <row r="13" spans="1:35" ht="72.75" customHeight="1" thickBot="1" x14ac:dyDescent="0.25">
      <c r="A13" s="1991"/>
      <c r="B13" s="1911"/>
      <c r="C13" s="747"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3" s="370">
        <f>F!D11</f>
        <v>0</v>
      </c>
      <c r="E13" s="886">
        <v>3</v>
      </c>
      <c r="F13" s="380">
        <f t="shared" si="0"/>
        <v>0</v>
      </c>
      <c r="G13" s="721"/>
      <c r="H13" s="1911"/>
      <c r="I13" s="1847"/>
    </row>
    <row r="14" spans="1:35" ht="46.5" customHeight="1" thickBot="1" x14ac:dyDescent="0.25">
      <c r="A14" s="1867" t="str">
        <f>F!A18</f>
        <v>F3</v>
      </c>
      <c r="B14" s="1867" t="str">
        <f>F!B18</f>
        <v>Woody Cover by Height</v>
      </c>
      <c r="C14" s="90" t="str">
        <f>F!C18</f>
        <v>Following EACH row below, indicate with a number code the percentage of the of the living vegetation in the AA occupied by that feature (5 if &gt;75%,   4 if 50-75%,   3 if 25-50%,   2 if 5-25%,   1 if &lt;5%, 0 if none).  If the AA has no trees or shrubs, SKIP to F8.</v>
      </c>
      <c r="D14" s="1255"/>
      <c r="E14" s="1254"/>
      <c r="F14" s="376"/>
      <c r="G14" s="225">
        <f>IF((D16&gt;3),1,IF((D18&gt;3),0.8, IF((D15&gt;3),0.6,IF((D17&gt;3),0.4, 0))))</f>
        <v>0</v>
      </c>
      <c r="H14" s="2006" t="s">
        <v>2263</v>
      </c>
      <c r="I14" s="2137" t="s">
        <v>2468</v>
      </c>
    </row>
    <row r="15" spans="1:35" ht="15" customHeight="1" x14ac:dyDescent="0.2">
      <c r="A15" s="1911"/>
      <c r="B15" s="1911"/>
      <c r="C15" s="888" t="str">
        <f>F!C19</f>
        <v>coniferous trees (including tamarack) taller than 3 m.</v>
      </c>
      <c r="D15" s="733">
        <f>F!D19</f>
        <v>0</v>
      </c>
      <c r="E15" s="1633"/>
      <c r="F15" s="1634"/>
      <c r="G15" s="723"/>
      <c r="H15" s="2007"/>
      <c r="I15" s="2138"/>
    </row>
    <row r="16" spans="1:35" ht="15" customHeight="1" x14ac:dyDescent="0.2">
      <c r="A16" s="1911"/>
      <c r="B16" s="1911"/>
      <c r="C16" s="889" t="str">
        <f>F!C20</f>
        <v>deciduous trees taller than 3 m.</v>
      </c>
      <c r="D16" s="733">
        <f>F!D20</f>
        <v>0</v>
      </c>
      <c r="E16" s="1633"/>
      <c r="F16" s="1634"/>
      <c r="G16" s="723"/>
      <c r="H16" s="2007"/>
      <c r="I16" s="2138"/>
    </row>
    <row r="17" spans="1:9" ht="21" customHeight="1" x14ac:dyDescent="0.2">
      <c r="A17" s="1911"/>
      <c r="B17" s="1911"/>
      <c r="C17" s="889" t="str">
        <f>F!C21</f>
        <v>coniferous or ericaceous shrubs or trees 1-3 m tall not directly below the canopy of trees.</v>
      </c>
      <c r="D17" s="733">
        <f>F!D21</f>
        <v>0</v>
      </c>
      <c r="E17" s="1633"/>
      <c r="F17" s="1634"/>
      <c r="G17" s="723"/>
      <c r="H17" s="2007"/>
      <c r="I17" s="2138"/>
    </row>
    <row r="18" spans="1:9" ht="28.9" customHeight="1" x14ac:dyDescent="0.2">
      <c r="A18" s="1911"/>
      <c r="B18" s="1911"/>
      <c r="C18" s="889" t="str">
        <f>F!C22</f>
        <v>deciduous shrubs or trees 1-3 m tall not directly below the canopy of trees &gt;3 m (e.g., deciduous saplings).</v>
      </c>
      <c r="D18" s="733">
        <f>F!D22</f>
        <v>0</v>
      </c>
      <c r="E18" s="1633"/>
      <c r="F18" s="1634"/>
      <c r="G18" s="723"/>
      <c r="H18" s="2007"/>
      <c r="I18" s="2138"/>
    </row>
    <row r="19" spans="1:9" ht="25.5" x14ac:dyDescent="0.2">
      <c r="A19" s="1911"/>
      <c r="B19" s="1911"/>
      <c r="C19" s="889" t="str">
        <f>F!C23</f>
        <v>coniferous or ericaceous shrubs or trees &lt;1 m tall not directly below the canopy of taller vegetation.</v>
      </c>
      <c r="D19" s="733">
        <f>F!D23</f>
        <v>0</v>
      </c>
      <c r="E19" s="1633"/>
      <c r="F19" s="1634"/>
      <c r="G19" s="723"/>
      <c r="H19" s="2007"/>
      <c r="I19" s="2138"/>
    </row>
    <row r="20" spans="1:9" ht="15" customHeight="1" thickBot="1" x14ac:dyDescent="0.25">
      <c r="A20" s="1978"/>
      <c r="B20" s="1978"/>
      <c r="C20" s="82" t="str">
        <f>F!C24</f>
        <v>deciduous shrubs or trees &lt;1 m tall (e.g., deciduous seedlings).</v>
      </c>
      <c r="D20" s="94">
        <f>F!D24</f>
        <v>0</v>
      </c>
      <c r="E20" s="1635"/>
      <c r="F20" s="1634"/>
      <c r="G20" s="728"/>
      <c r="H20" s="2012"/>
      <c r="I20" s="2139"/>
    </row>
    <row r="21" spans="1:9" ht="30" customHeight="1" thickBot="1" x14ac:dyDescent="0.25">
      <c r="A21" s="2053" t="str">
        <f>F!A47</f>
        <v>F8</v>
      </c>
      <c r="B21" s="2053" t="str">
        <f>F!B47</f>
        <v>N Fixers</v>
      </c>
      <c r="C21" s="877" t="str">
        <f>F!C47</f>
        <v>The percent of the AA's vegetated cover that is nitrogen-fixing plants (e.g., alder, baltic (wire) rush, sweetgale, lupine, clover, other legumes) is:</v>
      </c>
      <c r="D21" s="736"/>
      <c r="E21" s="239"/>
      <c r="F21" s="259"/>
      <c r="G21" s="219">
        <f>MAX(F22:F26)/MAX(E22:E26)</f>
        <v>0</v>
      </c>
      <c r="H21" s="1911" t="s">
        <v>83</v>
      </c>
      <c r="I21" s="2133" t="s">
        <v>269</v>
      </c>
    </row>
    <row r="22" spans="1:9" ht="15" customHeight="1" x14ac:dyDescent="0.2">
      <c r="A22" s="2053"/>
      <c r="B22" s="2053"/>
      <c r="C22" s="888" t="str">
        <f>F!C48</f>
        <v>&lt;1% or none.</v>
      </c>
      <c r="D22" s="763">
        <f>F!D48</f>
        <v>0</v>
      </c>
      <c r="E22" s="722">
        <v>0</v>
      </c>
      <c r="F22" s="722">
        <f>D22*E22</f>
        <v>0</v>
      </c>
      <c r="G22" s="202"/>
      <c r="H22" s="1911"/>
      <c r="I22" s="1847"/>
    </row>
    <row r="23" spans="1:9" ht="25.5" x14ac:dyDescent="0.2">
      <c r="A23" s="2053"/>
      <c r="B23" s="2053"/>
      <c r="C23" s="889" t="str">
        <f>F!C49</f>
        <v>1-25% of the shrub plus ground cover, in the AA or along its water edge (whichever has more).</v>
      </c>
      <c r="D23" s="763">
        <f>F!D49</f>
        <v>0</v>
      </c>
      <c r="E23" s="722">
        <v>1</v>
      </c>
      <c r="F23" s="722">
        <f>D23*E23</f>
        <v>0</v>
      </c>
      <c r="G23" s="775"/>
      <c r="H23" s="1911"/>
      <c r="I23" s="1847"/>
    </row>
    <row r="24" spans="1:9" ht="25.5" x14ac:dyDescent="0.2">
      <c r="A24" s="2053"/>
      <c r="B24" s="2053"/>
      <c r="C24" s="889" t="str">
        <f>F!C50</f>
        <v>25-50% of the shrub plus ground cover, in the AA or along its water edge (whichever has more).</v>
      </c>
      <c r="D24" s="763">
        <f>F!D50</f>
        <v>0</v>
      </c>
      <c r="E24" s="722">
        <v>2</v>
      </c>
      <c r="F24" s="722">
        <f>D24*E24</f>
        <v>0</v>
      </c>
      <c r="G24" s="775"/>
      <c r="H24" s="1911"/>
      <c r="I24" s="1847"/>
    </row>
    <row r="25" spans="1:9" ht="25.5" x14ac:dyDescent="0.2">
      <c r="A25" s="2053"/>
      <c r="B25" s="2053"/>
      <c r="C25" s="889" t="str">
        <f>F!C51</f>
        <v>50-75% of the shrub plus ground cover, in the AA or along its water edge (whichever has more).</v>
      </c>
      <c r="D25" s="763">
        <f>F!D51</f>
        <v>0</v>
      </c>
      <c r="E25" s="722">
        <v>3</v>
      </c>
      <c r="F25" s="722">
        <f>D25*E25</f>
        <v>0</v>
      </c>
      <c r="G25" s="775"/>
      <c r="H25" s="1911"/>
      <c r="I25" s="1847"/>
    </row>
    <row r="26" spans="1:9" ht="26.25" thickBot="1" x14ac:dyDescent="0.25">
      <c r="A26" s="2074"/>
      <c r="B26" s="2074"/>
      <c r="C26" s="82" t="str">
        <f>F!C52</f>
        <v>&gt;75% of the shrub plus ground cover, in the AA or along its water edge (whichever has more).</v>
      </c>
      <c r="D26" s="94">
        <f>F!D52</f>
        <v>0</v>
      </c>
      <c r="E26" s="244">
        <v>4</v>
      </c>
      <c r="F26" s="244">
        <f>D26*E26</f>
        <v>0</v>
      </c>
      <c r="G26" s="258"/>
      <c r="H26" s="1978"/>
      <c r="I26" s="1848"/>
    </row>
    <row r="27" spans="1:9" ht="39" thickBot="1" x14ac:dyDescent="0.25">
      <c r="A27" s="1867" t="str">
        <f>F!A57</f>
        <v>F10</v>
      </c>
      <c r="B27" s="1867" t="str">
        <f>F!B57</f>
        <v>Sphagnum Moss Extent</v>
      </c>
      <c r="C27" s="4" t="str">
        <f>F!C57</f>
        <v>The cover of Sphagnum moss (or any moss that forms a dense cushion many centimeters thick), including the moss obscured by taller sedges and other plants rooted in it, is:</v>
      </c>
      <c r="D27" s="372"/>
      <c r="E27" s="376"/>
      <c r="F27" s="376"/>
      <c r="G27" s="225">
        <f>MAX(F28:F32)/MAX(E28:E32)</f>
        <v>0</v>
      </c>
      <c r="H27" s="1867" t="s">
        <v>646</v>
      </c>
      <c r="I27" s="2008" t="s">
        <v>1009</v>
      </c>
    </row>
    <row r="28" spans="1:9" ht="15" customHeight="1" x14ac:dyDescent="0.2">
      <c r="A28" s="1911"/>
      <c r="B28" s="1911"/>
      <c r="C28" s="426" t="str">
        <f>F!C58</f>
        <v>&lt;5% of the ground cover, or none.</v>
      </c>
      <c r="D28" s="354">
        <f>F!D58</f>
        <v>0</v>
      </c>
      <c r="E28" s="377">
        <v>0</v>
      </c>
      <c r="F28" s="377">
        <f>D28*E28</f>
        <v>0</v>
      </c>
      <c r="G28" s="257"/>
      <c r="H28" s="1911"/>
      <c r="I28" s="1847"/>
    </row>
    <row r="29" spans="1:9" ht="15" customHeight="1" x14ac:dyDescent="0.2">
      <c r="A29" s="1911"/>
      <c r="B29" s="1911"/>
      <c r="C29" s="362" t="str">
        <f>F!C59</f>
        <v>5-25% of the ground cover.</v>
      </c>
      <c r="D29" s="354">
        <f>F!D59</f>
        <v>0</v>
      </c>
      <c r="E29" s="377">
        <v>1</v>
      </c>
      <c r="F29" s="377">
        <f>D29*E29</f>
        <v>0</v>
      </c>
      <c r="G29" s="257"/>
      <c r="H29" s="1911"/>
      <c r="I29" s="1847"/>
    </row>
    <row r="30" spans="1:9" ht="15" customHeight="1" x14ac:dyDescent="0.2">
      <c r="A30" s="1911"/>
      <c r="B30" s="1911"/>
      <c r="C30" s="362" t="str">
        <f>F!C60</f>
        <v>25-50% of the ground cover.</v>
      </c>
      <c r="D30" s="354">
        <f>F!D60</f>
        <v>0</v>
      </c>
      <c r="E30" s="377">
        <v>2</v>
      </c>
      <c r="F30" s="377">
        <f>D30*E30</f>
        <v>0</v>
      </c>
      <c r="G30" s="257"/>
      <c r="H30" s="1911"/>
      <c r="I30" s="1847"/>
    </row>
    <row r="31" spans="1:9" ht="15" customHeight="1" x14ac:dyDescent="0.2">
      <c r="A31" s="1911"/>
      <c r="B31" s="1911"/>
      <c r="C31" s="362" t="str">
        <f>F!C61</f>
        <v>50-95% of the ground cover.</v>
      </c>
      <c r="D31" s="354">
        <f>F!D61</f>
        <v>0</v>
      </c>
      <c r="E31" s="377">
        <v>3</v>
      </c>
      <c r="F31" s="377">
        <f>D31*E31</f>
        <v>0</v>
      </c>
      <c r="G31" s="257"/>
      <c r="H31" s="1911"/>
      <c r="I31" s="1847"/>
    </row>
    <row r="32" spans="1:9" ht="15" customHeight="1" thickBot="1" x14ac:dyDescent="0.25">
      <c r="A32" s="1978"/>
      <c r="B32" s="1978"/>
      <c r="C32" s="82" t="str">
        <f>F!C62</f>
        <v>&gt;95% of the ground cover.</v>
      </c>
      <c r="D32" s="94">
        <f>F!D62</f>
        <v>0</v>
      </c>
      <c r="E32" s="244">
        <v>4</v>
      </c>
      <c r="F32" s="244">
        <f>D32*E32</f>
        <v>0</v>
      </c>
      <c r="G32" s="258"/>
      <c r="H32" s="1978"/>
      <c r="I32" s="1848"/>
    </row>
    <row r="33" spans="1:9" ht="39" thickBot="1" x14ac:dyDescent="0.25">
      <c r="A33" s="2073" t="str">
        <f>F!A63</f>
        <v>F11</v>
      </c>
      <c r="B33" s="2073" t="str">
        <f>F!B63</f>
        <v>% Bare Ground &amp; Thatch</v>
      </c>
      <c r="C33" s="877" t="str">
        <f>F!C63</f>
        <v>Consider the parts of the AA that lack surface water at the driest time of the growing season.  Viewed from directly above the ground layer, the predominant condition in those areas at that time is:</v>
      </c>
      <c r="D33" s="437"/>
      <c r="E33" s="239"/>
      <c r="F33" s="259"/>
      <c r="G33" s="219">
        <f>MAX(F34:F37)/MAX(E34:E37)</f>
        <v>0</v>
      </c>
      <c r="H33" s="1867" t="s">
        <v>84</v>
      </c>
      <c r="I33" s="2132" t="s">
        <v>1010</v>
      </c>
    </row>
    <row r="34" spans="1:9" ht="43.5" customHeight="1" x14ac:dyDescent="0.2">
      <c r="A34" s="2053"/>
      <c r="B34" s="2053"/>
      <c r="C34" s="426" t="str">
        <f>F!C64</f>
        <v>Little or no (&lt;5%) bare ground is visible between erect stems or under canopy anywhere in the vegetated AA. Ground is extensively blanketed by dense thatch, moss, lichens, graminoids with great stem densities, or plants with ground-hugging foliage. </v>
      </c>
      <c r="D34" s="180">
        <f>F!D64</f>
        <v>0</v>
      </c>
      <c r="E34" s="377">
        <v>3</v>
      </c>
      <c r="F34" s="377">
        <f>D34*E34</f>
        <v>0</v>
      </c>
      <c r="G34" s="202"/>
      <c r="H34" s="1911"/>
      <c r="I34" s="1847"/>
    </row>
    <row r="35" spans="1:9" ht="27" customHeight="1" x14ac:dyDescent="0.2">
      <c r="A35" s="2053"/>
      <c r="B35" s="2053"/>
      <c r="C35" s="362" t="str">
        <f>F!C65</f>
        <v>Slightly bare ground (5-20% bare between plants) is visible in places, but those areas comprise less than 5% of the unflooded parts of the AA.</v>
      </c>
      <c r="D35" s="382">
        <f>F!D65</f>
        <v>0</v>
      </c>
      <c r="E35" s="377">
        <v>2</v>
      </c>
      <c r="F35" s="377">
        <f>D35*E35</f>
        <v>0</v>
      </c>
      <c r="G35" s="257"/>
      <c r="H35" s="1911"/>
      <c r="I35" s="1847"/>
    </row>
    <row r="36" spans="1:9" ht="27" customHeight="1" x14ac:dyDescent="0.2">
      <c r="A36" s="2053"/>
      <c r="B36" s="2053"/>
      <c r="C36" s="362" t="str">
        <f>F!C66</f>
        <v>Much bare ground (20-50% bare between plants) is visible in places, and those areas comprise more than 5% of the unflooded parts of the AA. </v>
      </c>
      <c r="D36" s="382">
        <f>F!D66</f>
        <v>0</v>
      </c>
      <c r="E36" s="377">
        <v>1</v>
      </c>
      <c r="F36" s="377">
        <f>D36*E36</f>
        <v>0</v>
      </c>
      <c r="G36" s="257"/>
      <c r="H36" s="1911"/>
      <c r="I36" s="1847"/>
    </row>
    <row r="37" spans="1:9" ht="15" customHeight="1" thickBot="1" x14ac:dyDescent="0.25">
      <c r="A37" s="2074"/>
      <c r="B37" s="2074"/>
      <c r="C37" s="361" t="str">
        <f>F!C67</f>
        <v>Other conditions.</v>
      </c>
      <c r="D37" s="383">
        <f>F!D67</f>
        <v>0</v>
      </c>
      <c r="E37" s="380">
        <v>0</v>
      </c>
      <c r="F37" s="380">
        <f>D37*E37</f>
        <v>0</v>
      </c>
      <c r="G37" s="433"/>
      <c r="H37" s="1978"/>
      <c r="I37" s="1848"/>
    </row>
    <row r="38" spans="1:9" ht="45" customHeight="1" thickBot="1" x14ac:dyDescent="0.25">
      <c r="A38" s="1867" t="str">
        <f>F!A77</f>
        <v>F14</v>
      </c>
      <c r="B38" s="1867" t="str">
        <f>F!B77</f>
        <v>Soil Texture</v>
      </c>
      <c r="C38" s="90" t="str">
        <f>F!C77</f>
        <v>In parts of the AA that lack persistent water, the texture of soil in the uppermost layer is mostly:  [To determine this, use a trowel to check in at least 3 widely spaced locations, and use the soil texture key in Appendix A of the Manual].</v>
      </c>
      <c r="D38" s="372"/>
      <c r="E38" s="376"/>
      <c r="F38" s="262"/>
      <c r="G38" s="225">
        <f>MAX(F39:F44)/MAX(E39:E44)</f>
        <v>0</v>
      </c>
      <c r="H38" s="1867" t="s">
        <v>85</v>
      </c>
      <c r="I38" s="2132" t="s">
        <v>432</v>
      </c>
    </row>
    <row r="39" spans="1:9" ht="15" customHeight="1" x14ac:dyDescent="0.2">
      <c r="A39" s="1911"/>
      <c r="B39" s="1911"/>
      <c r="C39" s="426" t="str">
        <f>F!C78</f>
        <v>Loamy: includes loam, sandy loam.</v>
      </c>
      <c r="D39" s="354">
        <f>F!D78</f>
        <v>0</v>
      </c>
      <c r="E39" s="377">
        <v>1</v>
      </c>
      <c r="F39" s="377">
        <f t="shared" ref="F39:F44" si="1">D39*E39</f>
        <v>0</v>
      </c>
      <c r="G39" s="202"/>
      <c r="H39" s="1911"/>
      <c r="I39" s="1847"/>
    </row>
    <row r="40" spans="1:9" ht="27" customHeight="1" x14ac:dyDescent="0.2">
      <c r="A40" s="1911"/>
      <c r="B40" s="1911"/>
      <c r="C40" s="362" t="str">
        <f>F!C79</f>
        <v>Fines: includes silt, glacial flour, clay, clay loam, silty clay, silty clay loam, sandy clay, sandy clay loam.</v>
      </c>
      <c r="D40" s="354">
        <f>F!D79</f>
        <v>0</v>
      </c>
      <c r="E40" s="377">
        <v>2</v>
      </c>
      <c r="F40" s="377">
        <f t="shared" si="1"/>
        <v>0</v>
      </c>
      <c r="G40" s="257"/>
      <c r="H40" s="1911"/>
      <c r="I40" s="1847"/>
    </row>
    <row r="41" spans="1:9" ht="15" customHeight="1" x14ac:dyDescent="0.2">
      <c r="A41" s="1911"/>
      <c r="B41" s="1911"/>
      <c r="C41" s="362" t="str">
        <f>F!C80</f>
        <v>Peat, present to 40 cm depth or greater.</v>
      </c>
      <c r="D41" s="354">
        <f>F!D80</f>
        <v>0</v>
      </c>
      <c r="E41" s="377">
        <v>4</v>
      </c>
      <c r="F41" s="377">
        <f t="shared" si="1"/>
        <v>0</v>
      </c>
      <c r="G41" s="257"/>
      <c r="H41" s="1911"/>
      <c r="I41" s="1847"/>
    </row>
    <row r="42" spans="1:9" ht="15" customHeight="1" x14ac:dyDescent="0.2">
      <c r="A42" s="1911"/>
      <c r="B42" s="1911"/>
      <c r="C42" s="362" t="str">
        <f>F!C81</f>
        <v>Peat, but becomes mineral before reaching 40 cm depth.</v>
      </c>
      <c r="D42" s="354">
        <f>F!D81</f>
        <v>0</v>
      </c>
      <c r="E42" s="380">
        <v>3</v>
      </c>
      <c r="F42" s="380">
        <f t="shared" si="1"/>
        <v>0</v>
      </c>
      <c r="G42" s="721"/>
      <c r="H42" s="1911"/>
      <c r="I42" s="1847"/>
    </row>
    <row r="43" spans="1:9" ht="15" customHeight="1" x14ac:dyDescent="0.2">
      <c r="A43" s="1911"/>
      <c r="B43" s="1911"/>
      <c r="C43" s="362" t="str">
        <f>F!C82</f>
        <v>Organic or organic muck, but becomes mineral before reaching 40 cm depth.</v>
      </c>
      <c r="D43" s="354">
        <f>F!D82</f>
        <v>0</v>
      </c>
      <c r="E43" s="380">
        <v>3</v>
      </c>
      <c r="F43" s="380">
        <f t="shared" si="1"/>
        <v>0</v>
      </c>
      <c r="G43" s="721"/>
      <c r="H43" s="1911"/>
      <c r="I43" s="1847"/>
    </row>
    <row r="44" spans="1:9" ht="27" customHeight="1" thickBot="1" x14ac:dyDescent="0.25">
      <c r="A44" s="1978"/>
      <c r="B44" s="1978"/>
      <c r="C44" s="82" t="str">
        <f>F!C83</f>
        <v>Coarse: includes sand, loamy sand, gravel, cobble, stones, boulders, fluvents, fluvaquents, riverwash.</v>
      </c>
      <c r="D44" s="94">
        <f>F!D83</f>
        <v>0</v>
      </c>
      <c r="E44" s="244">
        <v>0</v>
      </c>
      <c r="F44" s="244">
        <f t="shared" si="1"/>
        <v>0</v>
      </c>
      <c r="G44" s="258"/>
      <c r="H44" s="1978"/>
      <c r="I44" s="1848"/>
    </row>
    <row r="45" spans="1:9" ht="30" customHeight="1" thickBot="1" x14ac:dyDescent="0.25">
      <c r="A45" s="1911" t="str">
        <f>F!A134</f>
        <v>F24</v>
      </c>
      <c r="B45" s="1911" t="str">
        <f>F!B134</f>
        <v>% of Summertime Water That Is Shaded</v>
      </c>
      <c r="C45" s="1376" t="str">
        <f>F!C134</f>
        <v>At mid-day during the warmest time of year, the area of surface water within the AA that is shaded by vegetation and other features that are within the AA at that time is:</v>
      </c>
      <c r="D45" s="736"/>
      <c r="E45" s="239"/>
      <c r="F45" s="259"/>
      <c r="G45" s="761">
        <f>IF((NoPersis=1),"",MAX(F46:F50)/MAX(E46:E50))</f>
        <v>0</v>
      </c>
      <c r="H45" s="1911" t="s">
        <v>645</v>
      </c>
      <c r="I45" s="2009" t="s">
        <v>1228</v>
      </c>
    </row>
    <row r="46" spans="1:9" ht="15" customHeight="1" x14ac:dyDescent="0.2">
      <c r="A46" s="1911"/>
      <c r="B46" s="1911"/>
      <c r="C46" s="575" t="str">
        <f>F!C135</f>
        <v>&lt;5% of the water is shaded, or no surface water is present then.</v>
      </c>
      <c r="D46" s="354">
        <f>F!D135</f>
        <v>0</v>
      </c>
      <c r="E46" s="377">
        <v>0</v>
      </c>
      <c r="F46" s="377">
        <f>D46*E46</f>
        <v>0</v>
      </c>
      <c r="G46" s="202"/>
      <c r="H46" s="1911"/>
      <c r="I46" s="1847"/>
    </row>
    <row r="47" spans="1:9" ht="15" customHeight="1" x14ac:dyDescent="0.2">
      <c r="A47" s="1911"/>
      <c r="B47" s="1911"/>
      <c r="C47" s="576" t="str">
        <f>F!C136</f>
        <v>5-25% of the water is shaded.</v>
      </c>
      <c r="D47" s="354">
        <f>F!D136</f>
        <v>0</v>
      </c>
      <c r="E47" s="377">
        <v>1</v>
      </c>
      <c r="F47" s="377">
        <f>D47*E47</f>
        <v>0</v>
      </c>
      <c r="G47" s="257"/>
      <c r="H47" s="1911"/>
      <c r="I47" s="1847"/>
    </row>
    <row r="48" spans="1:9" ht="15" customHeight="1" x14ac:dyDescent="0.2">
      <c r="A48" s="1911"/>
      <c r="B48" s="1911"/>
      <c r="C48" s="576" t="str">
        <f>F!C137</f>
        <v>25-50% of the water is shaded.</v>
      </c>
      <c r="D48" s="354">
        <f>F!D137</f>
        <v>0</v>
      </c>
      <c r="E48" s="377">
        <v>2</v>
      </c>
      <c r="F48" s="377">
        <f>D48*E48</f>
        <v>0</v>
      </c>
      <c r="G48" s="257"/>
      <c r="H48" s="1911"/>
      <c r="I48" s="1847"/>
    </row>
    <row r="49" spans="1:9" ht="15" customHeight="1" x14ac:dyDescent="0.2">
      <c r="A49" s="1911"/>
      <c r="B49" s="1911"/>
      <c r="C49" s="576" t="str">
        <f>F!C138</f>
        <v>50-75% of the water is shaded.</v>
      </c>
      <c r="D49" s="354">
        <f>F!D138</f>
        <v>0</v>
      </c>
      <c r="E49" s="377">
        <v>3</v>
      </c>
      <c r="F49" s="377">
        <f>D49*E49</f>
        <v>0</v>
      </c>
      <c r="G49" s="257"/>
      <c r="H49" s="1911"/>
      <c r="I49" s="1847"/>
    </row>
    <row r="50" spans="1:9" ht="15" customHeight="1" thickBot="1" x14ac:dyDescent="0.25">
      <c r="A50" s="1978"/>
      <c r="B50" s="1978"/>
      <c r="C50" s="445" t="str">
        <f>F!C139</f>
        <v>&gt;75% of the water is shaded.</v>
      </c>
      <c r="D50" s="94">
        <f>F!D139</f>
        <v>0</v>
      </c>
      <c r="E50" s="244">
        <v>4</v>
      </c>
      <c r="F50" s="244">
        <f>D50*E50</f>
        <v>0</v>
      </c>
      <c r="G50" s="258"/>
      <c r="H50" s="1978"/>
      <c r="I50" s="1848"/>
    </row>
    <row r="51" spans="1:9" ht="30" customHeight="1" thickBot="1" x14ac:dyDescent="0.25">
      <c r="A51" s="1867" t="str">
        <f>F!A142</f>
        <v>F27</v>
      </c>
      <c r="B51" s="1867" t="str">
        <f>F!B142</f>
        <v>% Flooded Only Seasonally</v>
      </c>
      <c r="C51" s="877" t="str">
        <f>F!C142</f>
        <v>The percentage of the AA that is covered by unfrozen surface water only during the wettest time of the year is:</v>
      </c>
      <c r="D51" s="437"/>
      <c r="E51" s="239"/>
      <c r="F51" s="259"/>
      <c r="G51" s="219">
        <f>IF((AllSat1&gt;0),"", MAX(F52:F56)/MAX(E52:E56))</f>
        <v>0</v>
      </c>
      <c r="H51" s="1867" t="s">
        <v>260</v>
      </c>
      <c r="I51" s="2132" t="s">
        <v>1229</v>
      </c>
    </row>
    <row r="52" spans="1:9" ht="15" customHeight="1" x14ac:dyDescent="0.2">
      <c r="A52" s="1911"/>
      <c r="B52" s="1911"/>
      <c r="C52" s="360" t="str">
        <f>F!C143</f>
        <v xml:space="preserve">None, or &lt;0.01 hectare and &lt;1% of the AA. </v>
      </c>
      <c r="D52" s="370">
        <f>F!D143</f>
        <v>0</v>
      </c>
      <c r="E52" s="377">
        <v>0</v>
      </c>
      <c r="F52" s="377">
        <f>D52*E52</f>
        <v>0</v>
      </c>
      <c r="G52" s="202"/>
      <c r="H52" s="1911"/>
      <c r="I52" s="1847"/>
    </row>
    <row r="53" spans="1:9" ht="15" customHeight="1" x14ac:dyDescent="0.2">
      <c r="A53" s="1911"/>
      <c r="B53" s="1911"/>
      <c r="C53" s="361" t="str">
        <f>F!C144</f>
        <v xml:space="preserve">1-25% </v>
      </c>
      <c r="D53" s="370">
        <f>F!D144</f>
        <v>0</v>
      </c>
      <c r="E53" s="377">
        <v>1</v>
      </c>
      <c r="F53" s="377">
        <f>D53*E53</f>
        <v>0</v>
      </c>
      <c r="G53" s="257"/>
      <c r="H53" s="1911"/>
      <c r="I53" s="1847"/>
    </row>
    <row r="54" spans="1:9" ht="15" customHeight="1" x14ac:dyDescent="0.2">
      <c r="A54" s="1911"/>
      <c r="B54" s="1911"/>
      <c r="C54" s="361" t="str">
        <f>F!C145</f>
        <v xml:space="preserve">25-50% </v>
      </c>
      <c r="D54" s="370">
        <f>F!D145</f>
        <v>0</v>
      </c>
      <c r="E54" s="377">
        <v>2</v>
      </c>
      <c r="F54" s="377">
        <f>D54*E54</f>
        <v>0</v>
      </c>
      <c r="G54" s="257"/>
      <c r="H54" s="1911"/>
      <c r="I54" s="1847"/>
    </row>
    <row r="55" spans="1:9" ht="15" customHeight="1" x14ac:dyDescent="0.2">
      <c r="A55" s="1911"/>
      <c r="B55" s="1911"/>
      <c r="C55" s="361" t="str">
        <f>F!C146</f>
        <v xml:space="preserve">50-95% </v>
      </c>
      <c r="D55" s="370">
        <f>F!D146</f>
        <v>0</v>
      </c>
      <c r="E55" s="377">
        <v>3</v>
      </c>
      <c r="F55" s="377">
        <f>D55*E55</f>
        <v>0</v>
      </c>
      <c r="G55" s="257"/>
      <c r="H55" s="1911"/>
      <c r="I55" s="1847"/>
    </row>
    <row r="56" spans="1:9" ht="15" customHeight="1" thickBot="1" x14ac:dyDescent="0.25">
      <c r="A56" s="1978"/>
      <c r="B56" s="1978"/>
      <c r="C56" s="361" t="str">
        <f>F!C147</f>
        <v xml:space="preserve">&gt;95% </v>
      </c>
      <c r="D56" s="370">
        <f>F!D147</f>
        <v>0</v>
      </c>
      <c r="E56" s="380">
        <v>4</v>
      </c>
      <c r="F56" s="380">
        <f>D56*E56</f>
        <v>0</v>
      </c>
      <c r="G56" s="433"/>
      <c r="H56" s="1978"/>
      <c r="I56" s="1848"/>
    </row>
    <row r="57" spans="1:9" ht="30" customHeight="1" thickBot="1" x14ac:dyDescent="0.25">
      <c r="A57" s="2000" t="str">
        <f>F!A148</f>
        <v>F28</v>
      </c>
      <c r="B57" s="2073" t="str">
        <f>F!B148</f>
        <v>Annual Water Fluctuation Range</v>
      </c>
      <c r="C57" s="104" t="str">
        <f>F!C148</f>
        <v>The annual fluctuation in surface water level within most of the parts of the AA that contain surface water is:</v>
      </c>
      <c r="D57" s="372"/>
      <c r="E57" s="376"/>
      <c r="F57" s="262"/>
      <c r="G57" s="225">
        <f>IF((AllSat1&gt;0),"", IF((NoSeasonal=1),"",MAX(F58:F62)/MAX(E58:E62)))</f>
        <v>0</v>
      </c>
      <c r="H57" s="1867" t="s">
        <v>730</v>
      </c>
      <c r="I57" s="2132" t="s">
        <v>1230</v>
      </c>
    </row>
    <row r="58" spans="1:9" ht="15" customHeight="1" x14ac:dyDescent="0.2">
      <c r="A58" s="1989"/>
      <c r="B58" s="2053"/>
      <c r="C58" s="407" t="str">
        <f>F!C149</f>
        <v xml:space="preserve">&lt;10 cm change (stable or nearly so) </v>
      </c>
      <c r="D58" s="359">
        <f>F!D149</f>
        <v>0</v>
      </c>
      <c r="E58" s="377">
        <v>0</v>
      </c>
      <c r="F58" s="377">
        <f>D58*E58</f>
        <v>0</v>
      </c>
      <c r="G58" s="202"/>
      <c r="H58" s="1911"/>
      <c r="I58" s="1847"/>
    </row>
    <row r="59" spans="1:9" ht="15" customHeight="1" x14ac:dyDescent="0.2">
      <c r="A59" s="1989"/>
      <c r="B59" s="2053"/>
      <c r="C59" s="328" t="str">
        <f>F!C150</f>
        <v>10 cm - 50 cm change</v>
      </c>
      <c r="D59" s="359">
        <f>F!D150</f>
        <v>0</v>
      </c>
      <c r="E59" s="377">
        <v>1</v>
      </c>
      <c r="F59" s="377">
        <f>D59*E59</f>
        <v>0</v>
      </c>
      <c r="G59" s="257"/>
      <c r="H59" s="1911"/>
      <c r="I59" s="1847"/>
    </row>
    <row r="60" spans="1:9" ht="15" customHeight="1" x14ac:dyDescent="0.2">
      <c r="A60" s="1989"/>
      <c r="B60" s="2053"/>
      <c r="C60" s="328" t="str">
        <f>F!C151</f>
        <v>0.5 - 1 m change</v>
      </c>
      <c r="D60" s="359">
        <f>F!D151</f>
        <v>0</v>
      </c>
      <c r="E60" s="722">
        <v>2</v>
      </c>
      <c r="F60" s="722">
        <f>D60*E60</f>
        <v>0</v>
      </c>
      <c r="G60" s="775"/>
      <c r="H60" s="1911"/>
      <c r="I60" s="1847"/>
    </row>
    <row r="61" spans="1:9" ht="15" customHeight="1" x14ac:dyDescent="0.2">
      <c r="A61" s="1989"/>
      <c r="B61" s="2053"/>
      <c r="C61" s="328" t="str">
        <f>F!C152</f>
        <v>1-2 m change</v>
      </c>
      <c r="D61" s="359">
        <f>F!D152</f>
        <v>0</v>
      </c>
      <c r="E61" s="377">
        <v>3</v>
      </c>
      <c r="F61" s="377">
        <f>D61*E61</f>
        <v>0</v>
      </c>
      <c r="G61" s="257"/>
      <c r="H61" s="1911"/>
      <c r="I61" s="1847"/>
    </row>
    <row r="62" spans="1:9" ht="15" customHeight="1" thickBot="1" x14ac:dyDescent="0.25">
      <c r="A62" s="1990"/>
      <c r="B62" s="2053"/>
      <c r="C62" s="780" t="str">
        <f>F!C153</f>
        <v>&gt;2 m change</v>
      </c>
      <c r="D62" s="356">
        <f>F!D153</f>
        <v>0</v>
      </c>
      <c r="E62" s="380">
        <v>4</v>
      </c>
      <c r="F62" s="380">
        <f>D62*E62</f>
        <v>0</v>
      </c>
      <c r="G62" s="721"/>
      <c r="H62" s="1911"/>
      <c r="I62" s="1848"/>
    </row>
    <row r="63" spans="1:9" ht="45" customHeight="1" thickBot="1" x14ac:dyDescent="0.25">
      <c r="A63" s="1984" t="str">
        <f>F!A165</f>
        <v>F31</v>
      </c>
      <c r="B63" s="1984" t="str">
        <f>F!B165</f>
        <v xml:space="preserve">% of Water Ponded vs. Flowing </v>
      </c>
      <c r="C63" s="452" t="str">
        <f>F!C165</f>
        <v>The percentage of the AA's surface water that is ponded (stagnant, or flows so slowly that fine sediment is not held in suspension) during most of the time it is present during the growing season, and which is either open or shaded by emergent vegetation, is:</v>
      </c>
      <c r="D63" s="777"/>
      <c r="E63" s="376"/>
      <c r="F63" s="256"/>
      <c r="G63" s="225">
        <f>IF((AllSat1=1),"", IF((SmallAA=1),"", MAX(F64:F69)/MAX(E64:E69)))</f>
        <v>0</v>
      </c>
      <c r="H63" s="1867" t="s">
        <v>474</v>
      </c>
      <c r="I63" s="2008" t="s">
        <v>1231</v>
      </c>
    </row>
    <row r="64" spans="1:9" ht="27" customHeight="1" x14ac:dyDescent="0.2">
      <c r="A64" s="1985"/>
      <c r="B64" s="1985"/>
      <c r="C64" s="924" t="str">
        <f>F!C166</f>
        <v>None, or &lt;0.01 hectare and &lt;1% of the AA. Nearly all water is flowing.  Enter "1" and SKIP to F43 (pH measurement).</v>
      </c>
      <c r="D64" s="763">
        <f>F!D166</f>
        <v>0</v>
      </c>
      <c r="E64" s="722">
        <v>5</v>
      </c>
      <c r="F64" s="380">
        <f t="shared" ref="F64:F69" si="2">D64*E64</f>
        <v>0</v>
      </c>
      <c r="G64" s="775"/>
      <c r="H64" s="1911"/>
      <c r="I64" s="1847"/>
    </row>
    <row r="65" spans="1:9" ht="15" customHeight="1" x14ac:dyDescent="0.2">
      <c r="A65" s="1985"/>
      <c r="B65" s="1985"/>
      <c r="C65" s="925" t="str">
        <f>F!C167</f>
        <v>1-5% of the water.  The rest is flowing.</v>
      </c>
      <c r="D65" s="763">
        <f>F!D167</f>
        <v>0</v>
      </c>
      <c r="E65" s="722">
        <v>4</v>
      </c>
      <c r="F65" s="380">
        <f t="shared" si="2"/>
        <v>0</v>
      </c>
      <c r="G65" s="775"/>
      <c r="H65" s="1911"/>
      <c r="I65" s="1847"/>
    </row>
    <row r="66" spans="1:9" ht="15" customHeight="1" x14ac:dyDescent="0.2">
      <c r="A66" s="1985"/>
      <c r="B66" s="1985"/>
      <c r="C66" s="925" t="str">
        <f>F!C168</f>
        <v>5-30% of the water.</v>
      </c>
      <c r="D66" s="763">
        <f>F!D168</f>
        <v>0</v>
      </c>
      <c r="E66" s="722">
        <v>4</v>
      </c>
      <c r="F66" s="380">
        <f t="shared" si="2"/>
        <v>0</v>
      </c>
      <c r="G66" s="775"/>
      <c r="H66" s="1911"/>
      <c r="I66" s="1847"/>
    </row>
    <row r="67" spans="1:9" ht="15" customHeight="1" x14ac:dyDescent="0.2">
      <c r="A67" s="1985"/>
      <c r="B67" s="1985"/>
      <c r="C67" s="925" t="str">
        <f>F!C169</f>
        <v>30-70% of the water.</v>
      </c>
      <c r="D67" s="763">
        <f>F!D169</f>
        <v>0</v>
      </c>
      <c r="E67" s="722">
        <v>3</v>
      </c>
      <c r="F67" s="380">
        <f t="shared" si="2"/>
        <v>0</v>
      </c>
      <c r="G67" s="775"/>
      <c r="H67" s="1911"/>
      <c r="I67" s="1847"/>
    </row>
    <row r="68" spans="1:9" ht="15" customHeight="1" x14ac:dyDescent="0.2">
      <c r="A68" s="1985"/>
      <c r="B68" s="1985"/>
      <c r="C68" s="925" t="str">
        <f>F!C170</f>
        <v>70-99% of the water.</v>
      </c>
      <c r="D68" s="763">
        <f>F!D170</f>
        <v>0</v>
      </c>
      <c r="E68" s="722">
        <v>2</v>
      </c>
      <c r="F68" s="380">
        <f t="shared" si="2"/>
        <v>0</v>
      </c>
      <c r="G68" s="775"/>
      <c r="H68" s="1911"/>
      <c r="I68" s="1847"/>
    </row>
    <row r="69" spans="1:9" ht="15" customHeight="1" thickBot="1" x14ac:dyDescent="0.25">
      <c r="A69" s="1985"/>
      <c r="B69" s="2005"/>
      <c r="C69" s="449" t="str">
        <f>F!C171</f>
        <v>&gt;99% of the water.  Little or no visibly flowing water within the AA.</v>
      </c>
      <c r="D69" s="191">
        <f>F!D171</f>
        <v>0</v>
      </c>
      <c r="E69" s="244">
        <v>1</v>
      </c>
      <c r="F69" s="244">
        <f t="shared" si="2"/>
        <v>0</v>
      </c>
      <c r="G69" s="258"/>
      <c r="H69" s="1978"/>
      <c r="I69" s="1847"/>
    </row>
    <row r="70" spans="1:9" ht="39" thickBot="1" x14ac:dyDescent="0.25">
      <c r="A70" s="1984" t="str">
        <f>F!A173</f>
        <v>F33</v>
      </c>
      <c r="B70" s="1985" t="str">
        <f>F!B173</f>
        <v xml:space="preserve">% of Ponded Water That Is Open </v>
      </c>
      <c r="C70" s="446" t="str">
        <f>F!C173</f>
        <v>In ducks-eye aerial view, the percentage of the ponded water that is open (lacking emergent vegetation during most of the growing season, and unhidden by a forest or shrub canopy) is:</v>
      </c>
      <c r="D70" s="736"/>
      <c r="E70" s="239"/>
      <c r="F70" s="239"/>
      <c r="G70" s="219">
        <f>IF((AllSat1&gt;0),"",IF((NoPonded=1),"", IF((SmallAA=1),"", MAX(F71:F76)/MAX(E71:E76))))</f>
        <v>0</v>
      </c>
      <c r="H70" s="1911" t="s">
        <v>797</v>
      </c>
      <c r="I70" s="2008" t="s">
        <v>1232</v>
      </c>
    </row>
    <row r="71" spans="1:9" ht="27" customHeight="1" x14ac:dyDescent="0.2">
      <c r="A71" s="1985"/>
      <c r="B71" s="1985"/>
      <c r="C71" s="447" t="str">
        <f>F!C174</f>
        <v>None, or &lt;1% of the AA and largest pool occupies &lt;0.01 hectares.  Enter "1" and SKIP to F41 (Floating Algae &amp; Duckweed).</v>
      </c>
      <c r="D71" s="304">
        <f>F!D174</f>
        <v>0</v>
      </c>
      <c r="E71" s="377">
        <v>6</v>
      </c>
      <c r="F71" s="380">
        <f t="shared" ref="F71:F87" si="3">D71*E71</f>
        <v>0</v>
      </c>
      <c r="G71" s="257"/>
      <c r="H71" s="1911"/>
      <c r="I71" s="2009"/>
    </row>
    <row r="72" spans="1:9" ht="15" customHeight="1" x14ac:dyDescent="0.2">
      <c r="A72" s="1985"/>
      <c r="B72" s="1985"/>
      <c r="C72" s="448" t="str">
        <f>F!C175</f>
        <v>1-5% of the ponded water.  Enter "1" and SKIP to F41.</v>
      </c>
      <c r="D72" s="383">
        <f>F!D175</f>
        <v>0</v>
      </c>
      <c r="E72" s="377">
        <v>5</v>
      </c>
      <c r="F72" s="380">
        <f t="shared" si="3"/>
        <v>0</v>
      </c>
      <c r="G72" s="257"/>
      <c r="H72" s="1911"/>
      <c r="I72" s="2009"/>
    </row>
    <row r="73" spans="1:9" ht="15" customHeight="1" x14ac:dyDescent="0.2">
      <c r="A73" s="1985"/>
      <c r="B73" s="1985"/>
      <c r="C73" s="448" t="str">
        <f>F!C176</f>
        <v>5-30% of the ponded water.</v>
      </c>
      <c r="D73" s="383">
        <f>F!D176</f>
        <v>0</v>
      </c>
      <c r="E73" s="377">
        <v>4</v>
      </c>
      <c r="F73" s="380">
        <f t="shared" si="3"/>
        <v>0</v>
      </c>
      <c r="G73" s="257"/>
      <c r="H73" s="1911"/>
      <c r="I73" s="2009"/>
    </row>
    <row r="74" spans="1:9" ht="15" customHeight="1" x14ac:dyDescent="0.2">
      <c r="A74" s="1985"/>
      <c r="B74" s="1985"/>
      <c r="C74" s="448" t="str">
        <f>F!C177</f>
        <v>30-70% of the ponded water.</v>
      </c>
      <c r="D74" s="383">
        <f>F!D177</f>
        <v>0</v>
      </c>
      <c r="E74" s="377">
        <v>3</v>
      </c>
      <c r="F74" s="380">
        <f t="shared" si="3"/>
        <v>0</v>
      </c>
      <c r="G74" s="257"/>
      <c r="H74" s="1911"/>
      <c r="I74" s="2009"/>
    </row>
    <row r="75" spans="1:9" ht="15" customHeight="1" x14ac:dyDescent="0.2">
      <c r="A75" s="1985"/>
      <c r="B75" s="1985"/>
      <c r="C75" s="448" t="str">
        <f>F!C178</f>
        <v>70-99% of the ponded water.</v>
      </c>
      <c r="D75" s="383">
        <f>F!D178</f>
        <v>0</v>
      </c>
      <c r="E75" s="377">
        <v>2</v>
      </c>
      <c r="F75" s="380">
        <f t="shared" si="3"/>
        <v>0</v>
      </c>
      <c r="G75" s="257"/>
      <c r="H75" s="1911"/>
      <c r="I75" s="2009"/>
    </row>
    <row r="76" spans="1:9" ht="15" customHeight="1" thickBot="1" x14ac:dyDescent="0.25">
      <c r="A76" s="2005"/>
      <c r="B76" s="2005"/>
      <c r="C76" s="448" t="str">
        <f>F!C179</f>
        <v xml:space="preserve">100% of the ponded water. </v>
      </c>
      <c r="D76" s="383">
        <f>F!D179</f>
        <v>0</v>
      </c>
      <c r="E76" s="380">
        <v>1</v>
      </c>
      <c r="F76" s="380">
        <f t="shared" si="3"/>
        <v>0</v>
      </c>
      <c r="G76" s="433"/>
      <c r="H76" s="1978"/>
      <c r="I76" s="2010"/>
    </row>
    <row r="77" spans="1:9" ht="39" thickBot="1" x14ac:dyDescent="0.25">
      <c r="A77" s="1984" t="str">
        <f>F!A180</f>
        <v>F34</v>
      </c>
      <c r="B77" s="1984" t="str">
        <f>F!B180</f>
        <v>Predominant Width of Vegetated Zone within Wetland</v>
      </c>
      <c r="C77" s="90" t="str">
        <f>F!C180</f>
        <v>At the time during the growing season when the AA's water level is lowest, the average width of vegetated area in the AA that separates adjoining uplands from open water within the AA is:</v>
      </c>
      <c r="D77" s="372"/>
      <c r="E77" s="376"/>
      <c r="F77" s="262"/>
      <c r="G77" s="225" t="str">
        <f>IF((AllSat1&gt;0),"",IF((OpenW=0),"", IF((SmallAA=1),"", MAX(F78:F83)/MAX(E78:E83))))</f>
        <v/>
      </c>
      <c r="H77" s="1867" t="s">
        <v>79</v>
      </c>
      <c r="I77" s="2132" t="s">
        <v>1233</v>
      </c>
    </row>
    <row r="78" spans="1:9" ht="15" customHeight="1" x14ac:dyDescent="0.2">
      <c r="A78" s="1985"/>
      <c r="B78" s="1985"/>
      <c r="C78" s="426" t="str">
        <f>F!C181</f>
        <v>&lt;1 m</v>
      </c>
      <c r="D78" s="180">
        <f>F!D181</f>
        <v>0</v>
      </c>
      <c r="E78" s="377">
        <v>5</v>
      </c>
      <c r="F78" s="377">
        <f t="shared" ref="F78:F83" si="4">D78*E78</f>
        <v>0</v>
      </c>
      <c r="G78" s="202"/>
      <c r="H78" s="1911"/>
      <c r="I78" s="1847"/>
    </row>
    <row r="79" spans="1:9" ht="15" customHeight="1" x14ac:dyDescent="0.2">
      <c r="A79" s="1985"/>
      <c r="B79" s="1985"/>
      <c r="C79" s="362" t="str">
        <f>F!C182</f>
        <v>1 - 9 m</v>
      </c>
      <c r="D79" s="354">
        <f>F!D182</f>
        <v>0</v>
      </c>
      <c r="E79" s="377">
        <v>4</v>
      </c>
      <c r="F79" s="377">
        <f t="shared" si="4"/>
        <v>0</v>
      </c>
      <c r="G79" s="257"/>
      <c r="H79" s="1911"/>
      <c r="I79" s="1847"/>
    </row>
    <row r="80" spans="1:9" ht="15" customHeight="1" x14ac:dyDescent="0.2">
      <c r="A80" s="1985"/>
      <c r="B80" s="1985"/>
      <c r="C80" s="362" t="str">
        <f>F!C183</f>
        <v>10 - 29 m</v>
      </c>
      <c r="D80" s="354">
        <f>F!D183</f>
        <v>0</v>
      </c>
      <c r="E80" s="377">
        <v>3</v>
      </c>
      <c r="F80" s="377">
        <f t="shared" si="4"/>
        <v>0</v>
      </c>
      <c r="G80" s="257"/>
      <c r="H80" s="1911"/>
      <c r="I80" s="1847"/>
    </row>
    <row r="81" spans="1:9" ht="15" customHeight="1" x14ac:dyDescent="0.2">
      <c r="A81" s="1985"/>
      <c r="B81" s="1985"/>
      <c r="C81" s="362" t="str">
        <f>F!C184</f>
        <v>30 - 49 m</v>
      </c>
      <c r="D81" s="354">
        <f>F!D184</f>
        <v>0</v>
      </c>
      <c r="E81" s="377">
        <v>2</v>
      </c>
      <c r="F81" s="377">
        <f t="shared" si="4"/>
        <v>0</v>
      </c>
      <c r="G81" s="257"/>
      <c r="H81" s="1911"/>
      <c r="I81" s="1847"/>
    </row>
    <row r="82" spans="1:9" ht="15" customHeight="1" x14ac:dyDescent="0.2">
      <c r="A82" s="1985"/>
      <c r="B82" s="1985"/>
      <c r="C82" s="362" t="str">
        <f>F!C185</f>
        <v>50 - 100 m</v>
      </c>
      <c r="D82" s="354">
        <f>F!D185</f>
        <v>0</v>
      </c>
      <c r="E82" s="380">
        <v>1</v>
      </c>
      <c r="F82" s="380">
        <f t="shared" si="4"/>
        <v>0</v>
      </c>
      <c r="G82" s="721"/>
      <c r="H82" s="1911"/>
      <c r="I82" s="1847"/>
    </row>
    <row r="83" spans="1:9" ht="15" customHeight="1" thickBot="1" x14ac:dyDescent="0.25">
      <c r="A83" s="2005"/>
      <c r="B83" s="2005"/>
      <c r="C83" s="82" t="str">
        <f>F!C186</f>
        <v>&gt; 100 m</v>
      </c>
      <c r="D83" s="94">
        <f>F!D186</f>
        <v>0</v>
      </c>
      <c r="E83" s="244">
        <v>0</v>
      </c>
      <c r="F83" s="244">
        <f t="shared" si="4"/>
        <v>0</v>
      </c>
      <c r="G83" s="258"/>
      <c r="H83" s="1978"/>
      <c r="I83" s="1848"/>
    </row>
    <row r="84" spans="1:9" ht="30" customHeight="1" thickBot="1" x14ac:dyDescent="0.25">
      <c r="A84" s="1984" t="str">
        <f>F!A199</f>
        <v>F37</v>
      </c>
      <c r="B84" s="1984" t="str">
        <f>F!B199</f>
        <v>Interspersion of Robust Emergents &amp; Open Water</v>
      </c>
      <c r="C84" s="450" t="str">
        <f>F!C199</f>
        <v>During most of the part of the growing season when water is present, the spatial pattern of robust herbaceous vegetation (e.g., cattail, tall bulrush, buckbean) is mostly:</v>
      </c>
      <c r="D84" s="372"/>
      <c r="E84" s="376"/>
      <c r="F84" s="262"/>
      <c r="G84" s="225">
        <f>IF((AllSat1&gt;0),"",IF((NoPonded=1),"",IF((NoOpenPonded+NoOpenPonded1&gt;0),"",IF((AllOpenPond=1),"", IF((SmallAA=1),"", MAX(F85:F87)/MAX(E85:E87))))))</f>
        <v>0</v>
      </c>
      <c r="H84" s="1867" t="s">
        <v>479</v>
      </c>
      <c r="I84" s="2008" t="s">
        <v>1234</v>
      </c>
    </row>
    <row r="85" spans="1:9" ht="27" customHeight="1" x14ac:dyDescent="0.2">
      <c r="A85" s="1985"/>
      <c r="B85" s="1985"/>
      <c r="C85" s="451" t="str">
        <f>F!C200</f>
        <v>Scattered.  More than 30% of such vegetation forms small islands or corridors surrounded by water.</v>
      </c>
      <c r="D85" s="186">
        <f>F!D200</f>
        <v>0</v>
      </c>
      <c r="E85" s="377">
        <v>2</v>
      </c>
      <c r="F85" s="380">
        <f t="shared" si="3"/>
        <v>0</v>
      </c>
      <c r="G85" s="257"/>
      <c r="H85" s="1911"/>
      <c r="I85" s="1847"/>
    </row>
    <row r="86" spans="1:9" ht="15" customHeight="1" x14ac:dyDescent="0.2">
      <c r="A86" s="1985"/>
      <c r="B86" s="1985"/>
      <c r="C86" s="451" t="str">
        <f>F!C201</f>
        <v>Intermediate.</v>
      </c>
      <c r="D86" s="186">
        <f>F!D201</f>
        <v>0</v>
      </c>
      <c r="E86" s="377">
        <v>1</v>
      </c>
      <c r="F86" s="380">
        <f t="shared" si="3"/>
        <v>0</v>
      </c>
      <c r="G86" s="257"/>
      <c r="H86" s="1911"/>
      <c r="I86" s="1847"/>
    </row>
    <row r="87" spans="1:9" ht="27" customHeight="1" thickBot="1" x14ac:dyDescent="0.25">
      <c r="A87" s="2005"/>
      <c r="B87" s="2005"/>
      <c r="C87" s="451" t="str">
        <f>F!C202</f>
        <v>Clumped. More than 70% of such vegetation is in bands along the wetland perimeter or is clumped at one or a few sides of the surface water area.</v>
      </c>
      <c r="D87" s="186">
        <f>F!D202</f>
        <v>0</v>
      </c>
      <c r="E87" s="244">
        <v>0</v>
      </c>
      <c r="F87" s="244">
        <f t="shared" si="3"/>
        <v>0</v>
      </c>
      <c r="G87" s="258"/>
      <c r="H87" s="1978"/>
      <c r="I87" s="1848"/>
    </row>
    <row r="88" spans="1:9" ht="30" customHeight="1" thickBot="1" x14ac:dyDescent="0.25">
      <c r="A88" s="2073" t="str">
        <f>F!A227</f>
        <v>F47</v>
      </c>
      <c r="B88" s="2073" t="str">
        <f>F!B227</f>
        <v>Through Flow Pattern</v>
      </c>
      <c r="C88" s="90" t="str">
        <f>F!C227</f>
        <v>During its travel through the AA at the time of peak annual flow, water arriving in channels: [select only the ONE encountered by most of the incoming water].</v>
      </c>
      <c r="D88" s="372"/>
      <c r="E88" s="376"/>
      <c r="F88" s="262"/>
      <c r="G88" s="225" t="str">
        <f>IF((AllSat1&gt;0),"", IF((Inflows=0),"",MAX(F89:F93)/MAX(E89:E93)))</f>
        <v/>
      </c>
      <c r="H88" s="1867" t="s">
        <v>82</v>
      </c>
      <c r="I88" s="2132" t="s">
        <v>1235</v>
      </c>
    </row>
    <row r="89" spans="1:9" ht="42.75" customHeight="1" x14ac:dyDescent="0.2">
      <c r="A89" s="2053"/>
      <c r="B89" s="2053"/>
      <c r="C89" s="110" t="str">
        <f>F!C228</f>
        <v>Does not bump into plant stems as it travels through the AA.  Nearly all the water continues to travel in unvegetated (often incised) channels that have minimal contact with wetland vegetation, or through a zone of open water such as an instream pond or lake.</v>
      </c>
      <c r="D89" s="382">
        <f>F!D228</f>
        <v>0</v>
      </c>
      <c r="E89" s="377">
        <v>1</v>
      </c>
      <c r="F89" s="377">
        <f>D89*E89</f>
        <v>0</v>
      </c>
      <c r="G89" s="202"/>
      <c r="H89" s="1911"/>
      <c r="I89" s="1847"/>
    </row>
    <row r="90" spans="1:9" ht="17.25" customHeight="1" x14ac:dyDescent="0.2">
      <c r="A90" s="2053"/>
      <c r="B90" s="2053"/>
      <c r="C90" s="456" t="str">
        <f>F!C229</f>
        <v>bumps into herbaceous vegetation but mostly remains in fairly straight channels.</v>
      </c>
      <c r="D90" s="584">
        <f>F!D229</f>
        <v>0</v>
      </c>
      <c r="E90" s="377">
        <v>2</v>
      </c>
      <c r="F90" s="377">
        <f>D90*E90</f>
        <v>0</v>
      </c>
      <c r="G90" s="257"/>
      <c r="H90" s="1911"/>
      <c r="I90" s="1847"/>
    </row>
    <row r="91" spans="1:9" ht="27" customHeight="1" x14ac:dyDescent="0.2">
      <c r="A91" s="2053"/>
      <c r="B91" s="2053"/>
      <c r="C91" s="457" t="str">
        <f>F!C230</f>
        <v>bumps into herbaceous vegetation and mostly spreads throughout, or is in widely  meandering, multi-branched, or braided channels.</v>
      </c>
      <c r="D91" s="354">
        <f>F!D230</f>
        <v>0</v>
      </c>
      <c r="E91" s="377">
        <v>4</v>
      </c>
      <c r="F91" s="377">
        <f>D91*E91</f>
        <v>0</v>
      </c>
      <c r="G91" s="257"/>
      <c r="H91" s="1911"/>
      <c r="I91" s="1847"/>
    </row>
    <row r="92" spans="1:9" ht="19.5" customHeight="1" x14ac:dyDescent="0.2">
      <c r="A92" s="2053"/>
      <c r="B92" s="2053"/>
      <c r="C92" s="110" t="str">
        <f>F!C231</f>
        <v>bumps into tree trunks and/or shrub stems but mostly remains in fairly straight channels.</v>
      </c>
      <c r="D92" s="382">
        <f>F!D231</f>
        <v>0</v>
      </c>
      <c r="E92" s="377">
        <v>3</v>
      </c>
      <c r="F92" s="377">
        <f>D92*E92</f>
        <v>0</v>
      </c>
      <c r="G92" s="257"/>
      <c r="H92" s="1911"/>
      <c r="I92" s="1847"/>
    </row>
    <row r="93" spans="1:9" ht="27" customHeight="1" thickBot="1" x14ac:dyDescent="0.25">
      <c r="A93" s="2074"/>
      <c r="B93" s="2074"/>
      <c r="C93" s="106" t="str">
        <f>F!C232</f>
        <v>bumps into tree trunks and/or shrub stems and follows a fairly indirect path from entrance to exit (meandering, multi-branched, or braided).</v>
      </c>
      <c r="D93" s="94">
        <f>F!D232</f>
        <v>0</v>
      </c>
      <c r="E93" s="244">
        <v>4</v>
      </c>
      <c r="F93" s="244">
        <f>D93*E93</f>
        <v>0</v>
      </c>
      <c r="G93" s="258"/>
      <c r="H93" s="1978"/>
      <c r="I93" s="1848"/>
    </row>
    <row r="94" spans="1:9" ht="77.25" thickBot="1" x14ac:dyDescent="0.25">
      <c r="A94" s="1867" t="str">
        <f>F!A233</f>
        <v>F48</v>
      </c>
      <c r="B94" s="2073" t="str">
        <f>F!B233</f>
        <v>Channel Connection &amp; Outflow Duration</v>
      </c>
      <c r="C94" s="877"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94" s="437"/>
      <c r="E94" s="239"/>
      <c r="F94" s="259"/>
      <c r="G94" s="219">
        <f>IF((AllSat1&gt;0),"",MAX(F95:F99)/MAX(E95:E99))</f>
        <v>0</v>
      </c>
      <c r="H94" s="1867" t="s">
        <v>80</v>
      </c>
      <c r="I94" s="2132" t="s">
        <v>1348</v>
      </c>
    </row>
    <row r="95" spans="1:9" ht="15" customHeight="1" x14ac:dyDescent="0.2">
      <c r="A95" s="1911"/>
      <c r="B95" s="2053"/>
      <c r="C95" s="426" t="str">
        <f>F!C234</f>
        <v>persistent (&gt;9 months/year, including times when frozen).</v>
      </c>
      <c r="D95" s="180">
        <f>F!D234</f>
        <v>0</v>
      </c>
      <c r="E95" s="377">
        <v>5</v>
      </c>
      <c r="F95" s="377">
        <f>D95*E95</f>
        <v>0</v>
      </c>
      <c r="G95" s="202"/>
      <c r="H95" s="1911"/>
      <c r="I95" s="1847"/>
    </row>
    <row r="96" spans="1:9" ht="25.5" x14ac:dyDescent="0.2">
      <c r="A96" s="1911"/>
      <c r="B96" s="2053"/>
      <c r="C96" s="362" t="str">
        <f>F!C235</f>
        <v>seasonal (14 days to 9 months/year, not necessarily consecutive, including times when frozen).</v>
      </c>
      <c r="D96" s="382">
        <f>F!D235</f>
        <v>0</v>
      </c>
      <c r="E96" s="377">
        <v>4</v>
      </c>
      <c r="F96" s="377">
        <f>D96*E96</f>
        <v>0</v>
      </c>
      <c r="G96" s="257"/>
      <c r="H96" s="1911"/>
      <c r="I96" s="1847"/>
    </row>
    <row r="97" spans="1:9" ht="15" customHeight="1" x14ac:dyDescent="0.2">
      <c r="A97" s="1911"/>
      <c r="B97" s="2053"/>
      <c r="C97" s="362" t="str">
        <f>F!C236</f>
        <v>temporary (&lt;14 days, not necessarily consecutive, but must be unfrozen).</v>
      </c>
      <c r="D97" s="382">
        <f>F!D236</f>
        <v>0</v>
      </c>
      <c r="E97" s="377">
        <v>3</v>
      </c>
      <c r="F97" s="377">
        <f>D97*E97</f>
        <v>0</v>
      </c>
      <c r="G97" s="257"/>
      <c r="H97" s="1911"/>
      <c r="I97" s="1847"/>
    </row>
    <row r="98" spans="1:9" ht="38.25" x14ac:dyDescent="0.2">
      <c r="A98" s="1911"/>
      <c r="B98" s="2053"/>
      <c r="C98" s="362" t="str">
        <f>F!C237</f>
        <v xml:space="preserve">none -- but maps show a stream or other water body that is downslope from the AA and within a distance that is less than the AA's length.  If so, mark "1" here and SKIP TO F50 (Groundwater). </v>
      </c>
      <c r="D98" s="382">
        <f>F!D237</f>
        <v>0</v>
      </c>
      <c r="E98" s="377">
        <v>1</v>
      </c>
      <c r="F98" s="377">
        <f>D98*E98</f>
        <v>0</v>
      </c>
      <c r="G98" s="257"/>
      <c r="H98" s="1911"/>
      <c r="I98" s="1847"/>
    </row>
    <row r="99" spans="1:9" ht="41.25" customHeight="1" thickBot="1" x14ac:dyDescent="0.25">
      <c r="A99" s="1978"/>
      <c r="B99" s="2074"/>
      <c r="C99" s="361" t="str">
        <f>F!C238</f>
        <v xml:space="preserve">no surface water flows out of the wetland except possibly during extreme events (&lt;once per 10 years). Or, water flows only into a wetland, ditch, or lake that lacks an outlet.  If so, mark "1" here and SKIP TO F50 (Groundwater). </v>
      </c>
      <c r="D99" s="383">
        <f>F!D238</f>
        <v>0</v>
      </c>
      <c r="E99" s="384">
        <v>0</v>
      </c>
      <c r="F99" s="380">
        <f>D99*E99</f>
        <v>0</v>
      </c>
      <c r="G99" s="433"/>
      <c r="H99" s="1978"/>
      <c r="I99" s="1848"/>
    </row>
    <row r="100" spans="1:9" ht="30" customHeight="1" thickBot="1" x14ac:dyDescent="0.25">
      <c r="A100" s="2073" t="str">
        <f>F!A239</f>
        <v>F49</v>
      </c>
      <c r="B100" s="2073" t="str">
        <f>F!B239</f>
        <v>Outflow Confinement</v>
      </c>
      <c r="C100" s="90" t="str">
        <f>F!C239</f>
        <v>During major runoff events, in the places where surface water exits the AA or connected waters nearby, it:</v>
      </c>
      <c r="D100" s="372"/>
      <c r="E100" s="376"/>
      <c r="F100" s="262"/>
      <c r="G100" s="225">
        <f>IF((OutNone + OutNone1&gt;0),"",MAX(F101:F103)/MAX(E101:E103))</f>
        <v>0</v>
      </c>
      <c r="H100" s="1867" t="s">
        <v>81</v>
      </c>
      <c r="I100" s="2132" t="s">
        <v>1236</v>
      </c>
    </row>
    <row r="101" spans="1:9" ht="42" customHeight="1" x14ac:dyDescent="0.2">
      <c r="A101" s="2053"/>
      <c r="B101" s="2053"/>
      <c r="C101" s="426" t="str">
        <f>F!C240</f>
        <v>mostly passes through a pipe, culvert, narrowly breached dike, berm, beaver dam, or other partial obstruction (other than natural topography) that does not appear to drain the wetland artificially during most of the growing season.</v>
      </c>
      <c r="D101" s="382">
        <f>F!D240</f>
        <v>0</v>
      </c>
      <c r="E101" s="377">
        <v>0</v>
      </c>
      <c r="F101" s="377">
        <f>D101*E101</f>
        <v>0</v>
      </c>
      <c r="G101" s="202"/>
      <c r="H101" s="1911"/>
      <c r="I101" s="1847"/>
    </row>
    <row r="102" spans="1:9" ht="27" customHeight="1" x14ac:dyDescent="0.2">
      <c r="A102" s="2053"/>
      <c r="B102" s="2053"/>
      <c r="C102" s="362" t="str">
        <f>F!C241</f>
        <v>leaves through natural exits (channels or diffuse outflow), not mainly through artificial or temporary features.</v>
      </c>
      <c r="D102" s="382">
        <f>F!D241</f>
        <v>0</v>
      </c>
      <c r="E102" s="377">
        <v>1</v>
      </c>
      <c r="F102" s="377">
        <f>D102*E102</f>
        <v>0</v>
      </c>
      <c r="G102" s="267"/>
      <c r="H102" s="1911"/>
      <c r="I102" s="1847"/>
    </row>
    <row r="103" spans="1:9" ht="39" thickBot="1" x14ac:dyDescent="0.25">
      <c r="A103" s="2074"/>
      <c r="B103" s="2074"/>
      <c r="C103" s="82" t="str">
        <f>F!C242</f>
        <v>is exported more quickly than usual due to ditches or pipes within the AA (or connected to its outlet or within 10 m of the AA's edge) which drain the wetland artificially, or water is pumped out of the AA.</v>
      </c>
      <c r="D103" s="94">
        <f>F!D242</f>
        <v>0</v>
      </c>
      <c r="E103" s="244">
        <v>2</v>
      </c>
      <c r="F103" s="244">
        <f>D103*E103</f>
        <v>0</v>
      </c>
      <c r="G103" s="258"/>
      <c r="H103" s="1978"/>
      <c r="I103" s="1848"/>
    </row>
    <row r="104" spans="1:9" ht="21" customHeight="1" thickBot="1" x14ac:dyDescent="0.25">
      <c r="A104" s="2073" t="str">
        <f>F!A247</f>
        <v>F51</v>
      </c>
      <c r="B104" s="2073" t="str">
        <f>F!B247</f>
        <v>Internal Gradient</v>
      </c>
      <c r="C104" s="90" t="str">
        <f>F!C247</f>
        <v>The gradient along most of the flow path within the AA is:</v>
      </c>
      <c r="D104" s="372"/>
      <c r="E104" s="376"/>
      <c r="F104" s="262"/>
      <c r="G104" s="225">
        <f>MAX(F105:F108)/MAX(E105:E108)</f>
        <v>0</v>
      </c>
      <c r="H104" s="1867" t="s">
        <v>86</v>
      </c>
      <c r="I104" s="2132" t="s">
        <v>49</v>
      </c>
    </row>
    <row r="105" spans="1:9" ht="27" customHeight="1" x14ac:dyDescent="0.2">
      <c r="A105" s="2053"/>
      <c r="B105" s="2053"/>
      <c r="C105" s="426" t="str">
        <f>F!C248</f>
        <v>&lt;2%, or, no slope is ever apparent (i.e., flat). Or, the wetland is in a depression or pond with no inlet and no outlet.</v>
      </c>
      <c r="D105" s="354">
        <f>F!D248</f>
        <v>0</v>
      </c>
      <c r="E105" s="377">
        <v>0</v>
      </c>
      <c r="F105" s="377">
        <f>D105*E105</f>
        <v>0</v>
      </c>
      <c r="G105" s="202"/>
      <c r="H105" s="1911"/>
      <c r="I105" s="1847"/>
    </row>
    <row r="106" spans="1:9" ht="15" customHeight="1" x14ac:dyDescent="0.2">
      <c r="A106" s="2053"/>
      <c r="B106" s="2053"/>
      <c r="C106" s="362" t="str">
        <f>F!C249</f>
        <v>2-5%</v>
      </c>
      <c r="D106" s="354">
        <f>F!D249</f>
        <v>0</v>
      </c>
      <c r="E106" s="377">
        <v>2</v>
      </c>
      <c r="F106" s="377">
        <f>D106*E106</f>
        <v>0</v>
      </c>
      <c r="G106" s="257"/>
      <c r="H106" s="1911"/>
      <c r="I106" s="1847"/>
    </row>
    <row r="107" spans="1:9" ht="15" customHeight="1" x14ac:dyDescent="0.2">
      <c r="A107" s="2053"/>
      <c r="B107" s="2053"/>
      <c r="C107" s="362" t="str">
        <f>F!C250</f>
        <v>6-10%</v>
      </c>
      <c r="D107" s="354">
        <f>F!D250</f>
        <v>0</v>
      </c>
      <c r="E107" s="377">
        <v>3</v>
      </c>
      <c r="F107" s="377">
        <f>D107*E107</f>
        <v>0</v>
      </c>
      <c r="G107" s="257"/>
      <c r="H107" s="1911"/>
      <c r="I107" s="1847"/>
    </row>
    <row r="108" spans="1:9" ht="15" customHeight="1" thickBot="1" x14ac:dyDescent="0.25">
      <c r="A108" s="2074"/>
      <c r="B108" s="2074"/>
      <c r="C108" s="82" t="str">
        <f>F!C251</f>
        <v>&gt;10%</v>
      </c>
      <c r="D108" s="94">
        <f>F!D251</f>
        <v>0</v>
      </c>
      <c r="E108" s="244">
        <v>4</v>
      </c>
      <c r="F108" s="244">
        <f>D108*E108</f>
        <v>0</v>
      </c>
      <c r="G108" s="258"/>
      <c r="H108" s="1978"/>
      <c r="I108" s="1848"/>
    </row>
    <row r="109" spans="1:9" ht="39" thickBot="1" x14ac:dyDescent="0.25">
      <c r="A109" s="2067" t="str">
        <f>F!A262</f>
        <v>F55</v>
      </c>
      <c r="B109" s="2067" t="str">
        <f>F!B262</f>
        <v>New or Expanded Wetland</v>
      </c>
      <c r="C109" s="453" t="str">
        <f>F!C262</f>
        <v>Part or all of the AA resulted from human actions that persistently expanded a naturally occurring wetland or created a wetland where there previously was none (e.g., by excavation, impoundment):</v>
      </c>
      <c r="D109" s="585"/>
      <c r="E109" s="239"/>
      <c r="F109" s="259"/>
      <c r="G109" s="219">
        <f>IF((D115=1),"",MAX(F110:F114)/MAX(E110:E114))</f>
        <v>0</v>
      </c>
      <c r="H109" s="1867" t="s">
        <v>87</v>
      </c>
      <c r="I109" s="2008" t="s">
        <v>1349</v>
      </c>
    </row>
    <row r="110" spans="1:9" ht="15" customHeight="1" x14ac:dyDescent="0.2">
      <c r="A110" s="2068"/>
      <c r="B110" s="2068"/>
      <c r="C110" s="428" t="str">
        <f>F!C263</f>
        <v>No</v>
      </c>
      <c r="D110" s="586">
        <f>F!D263</f>
        <v>0</v>
      </c>
      <c r="E110" s="380">
        <v>5</v>
      </c>
      <c r="F110" s="377">
        <f>D110*E110</f>
        <v>0</v>
      </c>
      <c r="G110" s="202"/>
      <c r="H110" s="1911"/>
      <c r="I110" s="1847"/>
    </row>
    <row r="111" spans="1:9" ht="15" customHeight="1" x14ac:dyDescent="0.2">
      <c r="A111" s="2068"/>
      <c r="B111" s="2068"/>
      <c r="C111" s="429" t="str">
        <f>F!C264</f>
        <v>yes, and created or expanded 20 - 100 years ago .</v>
      </c>
      <c r="D111" s="587">
        <f>F!D264</f>
        <v>0</v>
      </c>
      <c r="E111" s="380">
        <v>2</v>
      </c>
      <c r="F111" s="377">
        <f>D111*E111</f>
        <v>0</v>
      </c>
      <c r="G111" s="257"/>
      <c r="H111" s="1911"/>
      <c r="I111" s="1847"/>
    </row>
    <row r="112" spans="1:9" ht="15" customHeight="1" x14ac:dyDescent="0.2">
      <c r="A112" s="2068"/>
      <c r="B112" s="2068"/>
      <c r="C112" s="429" t="str">
        <f>F!C265</f>
        <v>yes, and created or expanded 3-20 years ago.</v>
      </c>
      <c r="D112" s="587">
        <f>F!D265</f>
        <v>0</v>
      </c>
      <c r="E112" s="380">
        <v>1</v>
      </c>
      <c r="F112" s="377">
        <f>D112*E112</f>
        <v>0</v>
      </c>
      <c r="G112" s="257"/>
      <c r="H112" s="1911"/>
      <c r="I112" s="1847"/>
    </row>
    <row r="113" spans="1:11" ht="15" customHeight="1" x14ac:dyDescent="0.2">
      <c r="A113" s="2068"/>
      <c r="B113" s="2068"/>
      <c r="C113" s="429" t="str">
        <f>F!C266</f>
        <v>yes, and created or expanded within last 3 years.</v>
      </c>
      <c r="D113" s="587">
        <f>F!D266</f>
        <v>0</v>
      </c>
      <c r="E113" s="380">
        <v>0</v>
      </c>
      <c r="F113" s="377">
        <f>D113*E113</f>
        <v>0</v>
      </c>
      <c r="G113" s="257"/>
      <c r="H113" s="1911"/>
      <c r="I113" s="1847"/>
    </row>
    <row r="114" spans="1:11" ht="15" customHeight="1" x14ac:dyDescent="0.2">
      <c r="A114" s="2068"/>
      <c r="B114" s="2068"/>
      <c r="C114" s="429" t="str">
        <f>F!C267</f>
        <v>yes, but time of origin unknown.</v>
      </c>
      <c r="D114" s="587">
        <f>F!D267</f>
        <v>0</v>
      </c>
      <c r="E114" s="380">
        <v>1</v>
      </c>
      <c r="F114" s="377">
        <f>D114*E114</f>
        <v>0</v>
      </c>
      <c r="G114" s="257"/>
      <c r="H114" s="1911"/>
      <c r="I114" s="1847"/>
    </row>
    <row r="115" spans="1:11" ht="15" customHeight="1" thickBot="1" x14ac:dyDescent="0.25">
      <c r="A115" s="2069"/>
      <c r="B115" s="2068"/>
      <c r="C115" s="719" t="str">
        <f>F!C268</f>
        <v>unknown if new or expanded within 20 years or not.</v>
      </c>
      <c r="D115" s="587">
        <f>F!D268</f>
        <v>0</v>
      </c>
      <c r="E115" s="380"/>
      <c r="F115" s="720"/>
      <c r="G115" s="721"/>
      <c r="H115" s="1911"/>
      <c r="I115" s="1848"/>
    </row>
    <row r="116" spans="1:11" ht="21" customHeight="1" thickBot="1" x14ac:dyDescent="0.25">
      <c r="A116" s="2067" t="str">
        <f>F!A269</f>
        <v>F56</v>
      </c>
      <c r="B116" s="2067" t="str">
        <f>F!B269</f>
        <v>Burn History</v>
      </c>
      <c r="C116" s="726" t="str">
        <f>F!C269</f>
        <v>More than 1% of the AA's previously vegetated area:</v>
      </c>
      <c r="D116" s="376"/>
      <c r="E116" s="376"/>
      <c r="F116" s="376"/>
      <c r="G116" s="784">
        <f>MAX(F117:F120)/MAX(E117:E120)</f>
        <v>0</v>
      </c>
      <c r="H116" s="2011" t="s">
        <v>1720</v>
      </c>
      <c r="I116" s="2000" t="s">
        <v>1719</v>
      </c>
    </row>
    <row r="117" spans="1:11" ht="15" customHeight="1" x14ac:dyDescent="0.2">
      <c r="A117" s="2068"/>
      <c r="B117" s="2068"/>
      <c r="C117" s="725" t="str">
        <f>F!C270</f>
        <v>burned within past 5 years.</v>
      </c>
      <c r="D117" s="781">
        <f>F!D270</f>
        <v>0</v>
      </c>
      <c r="E117" s="722">
        <v>0</v>
      </c>
      <c r="F117" s="722">
        <f>D117*E117</f>
        <v>0</v>
      </c>
      <c r="G117" s="723"/>
      <c r="H117" s="2040"/>
      <c r="I117" s="1989"/>
    </row>
    <row r="118" spans="1:11" ht="15" customHeight="1" x14ac:dyDescent="0.2">
      <c r="A118" s="2068"/>
      <c r="B118" s="2068"/>
      <c r="C118" s="724" t="str">
        <f>F!C271</f>
        <v>burned 6-10 years ago.</v>
      </c>
      <c r="D118" s="782">
        <f>F!D271</f>
        <v>0</v>
      </c>
      <c r="E118" s="722">
        <v>1</v>
      </c>
      <c r="F118" s="722">
        <f>D118*E118</f>
        <v>0</v>
      </c>
      <c r="G118" s="723"/>
      <c r="H118" s="2040"/>
      <c r="I118" s="1989"/>
    </row>
    <row r="119" spans="1:11" ht="15" customHeight="1" x14ac:dyDescent="0.2">
      <c r="A119" s="2068"/>
      <c r="B119" s="2068"/>
      <c r="C119" s="724" t="str">
        <f>F!C272</f>
        <v>burned 11-30 years ago.</v>
      </c>
      <c r="D119" s="782">
        <f>F!D272</f>
        <v>0</v>
      </c>
      <c r="E119" s="722">
        <v>2</v>
      </c>
      <c r="F119" s="722">
        <f>D119*E119</f>
        <v>0</v>
      </c>
      <c r="G119" s="723"/>
      <c r="H119" s="2040"/>
      <c r="I119" s="1989"/>
    </row>
    <row r="120" spans="1:11" ht="15" customHeight="1" thickBot="1" x14ac:dyDescent="0.25">
      <c r="A120" s="2069"/>
      <c r="B120" s="2069"/>
      <c r="C120" s="727" t="str">
        <f>F!C273</f>
        <v>burned &gt;30 years ago, or no evidence of a burn and no data.</v>
      </c>
      <c r="D120" s="783">
        <f>F!D273</f>
        <v>0</v>
      </c>
      <c r="E120" s="244">
        <v>3</v>
      </c>
      <c r="F120" s="244">
        <f>D120*E120</f>
        <v>0</v>
      </c>
      <c r="G120" s="728"/>
      <c r="H120" s="2041"/>
      <c r="I120" s="1990"/>
    </row>
    <row r="121" spans="1:11" ht="21" customHeight="1" thickBot="1" x14ac:dyDescent="0.25">
      <c r="A121" s="940"/>
      <c r="B121" s="940"/>
      <c r="D121" s="489"/>
      <c r="E121" s="489"/>
      <c r="F121" s="489"/>
      <c r="G121" s="489"/>
      <c r="H121" s="79" t="s">
        <v>406</v>
      </c>
      <c r="I121" s="79"/>
    </row>
    <row r="122" spans="1:11" ht="21" customHeight="1" thickBot="1" x14ac:dyDescent="0.25">
      <c r="A122" s="940"/>
      <c r="B122" s="940"/>
      <c r="C122" s="391" t="s">
        <v>725</v>
      </c>
      <c r="D122" s="610"/>
      <c r="E122" s="610"/>
      <c r="F122" s="610"/>
      <c r="G122" s="610"/>
      <c r="H122" s="79"/>
      <c r="I122" s="79"/>
    </row>
    <row r="123" spans="1:11" ht="30" customHeight="1" thickBot="1" x14ac:dyDescent="0.25">
      <c r="A123" s="940"/>
      <c r="B123" s="79"/>
      <c r="C123" s="1256" t="s">
        <v>2491</v>
      </c>
      <c r="D123" s="293"/>
      <c r="E123" s="293"/>
      <c r="F123" s="293"/>
      <c r="G123" s="1248">
        <f>AVERAGE(WetVegArea,OWpct6,SoilTex6,Moss6,Fluctu6,NewWet6,Burn6,VwidthAbs6)</f>
        <v>0</v>
      </c>
      <c r="H123" s="79"/>
      <c r="I123" s="1636"/>
      <c r="J123" s="140"/>
      <c r="K123" s="110"/>
    </row>
    <row r="124" spans="1:11" ht="21" customHeight="1" thickBot="1" x14ac:dyDescent="0.25">
      <c r="A124" s="940"/>
      <c r="B124" s="940"/>
      <c r="D124" s="827"/>
      <c r="E124" s="827"/>
      <c r="F124" s="827"/>
      <c r="G124" s="827"/>
      <c r="H124" s="79"/>
      <c r="I124" s="79"/>
      <c r="J124" s="441"/>
    </row>
    <row r="125" spans="1:11" ht="21" customHeight="1" thickBot="1" x14ac:dyDescent="0.25">
      <c r="A125" s="940"/>
      <c r="B125" s="940"/>
      <c r="C125" s="391" t="s">
        <v>726</v>
      </c>
      <c r="D125" s="1027"/>
      <c r="E125" s="1027"/>
      <c r="F125" s="1027"/>
      <c r="G125" s="1027"/>
      <c r="H125" s="79"/>
      <c r="I125" s="79"/>
      <c r="J125" s="441"/>
    </row>
    <row r="126" spans="1:11" ht="30" customHeight="1" thickBot="1" x14ac:dyDescent="0.25">
      <c r="A126" s="940"/>
      <c r="B126" s="1390"/>
      <c r="C126" s="310" t="s">
        <v>2469</v>
      </c>
      <c r="D126" s="1086"/>
      <c r="E126" s="293"/>
      <c r="F126" s="293"/>
      <c r="G126" s="285">
        <f>AVERAGE(GrowDD, Wettype6, Gradient6, Interspers6, ThruFlo6, Gcover6, PondedPct6, SeasWpct6, Shade6, Nfixer6)</f>
        <v>0</v>
      </c>
      <c r="H126" s="79"/>
      <c r="I126" s="79"/>
      <c r="J126" s="441"/>
    </row>
    <row r="127" spans="1:11" ht="21" customHeight="1" thickBot="1" x14ac:dyDescent="0.25">
      <c r="A127" s="1246"/>
      <c r="B127" s="10"/>
      <c r="D127" s="827"/>
      <c r="E127" s="827"/>
      <c r="F127" s="827"/>
      <c r="G127" s="827"/>
      <c r="H127" s="79"/>
      <c r="I127" s="79"/>
      <c r="J127" s="441"/>
    </row>
    <row r="128" spans="1:11" ht="21" customHeight="1" thickBot="1" x14ac:dyDescent="0.25">
      <c r="A128" s="1246"/>
      <c r="B128" s="1246"/>
      <c r="C128" s="391" t="s">
        <v>731</v>
      </c>
      <c r="D128" s="1027"/>
      <c r="E128" s="1027"/>
      <c r="F128" s="1027"/>
      <c r="G128" s="1027"/>
      <c r="H128" s="79"/>
      <c r="I128" s="79"/>
      <c r="J128" s="441"/>
    </row>
    <row r="129" spans="1:10" ht="21" customHeight="1" thickBot="1" x14ac:dyDescent="0.25">
      <c r="A129" s="1246"/>
      <c r="B129" s="1246"/>
      <c r="C129" s="83" t="s">
        <v>2353</v>
      </c>
      <c r="D129" s="507"/>
      <c r="E129" s="507"/>
      <c r="F129" s="507"/>
      <c r="G129" s="285">
        <f>AVERAGE(Constric6, OutDura6, RipFloodpl,WoodType6)</f>
        <v>0</v>
      </c>
      <c r="H129" s="79"/>
      <c r="I129" s="79"/>
      <c r="J129" s="441"/>
    </row>
    <row r="130" spans="1:10" ht="21" customHeight="1" thickBot="1" x14ac:dyDescent="0.25">
      <c r="A130" s="1246"/>
      <c r="B130" s="1246"/>
      <c r="D130" s="827"/>
      <c r="E130" s="827"/>
      <c r="F130" s="827"/>
      <c r="G130" s="827"/>
      <c r="H130" s="79"/>
      <c r="I130" s="79"/>
      <c r="J130" s="441"/>
    </row>
    <row r="131" spans="1:10" ht="21" customHeight="1" thickBot="1" x14ac:dyDescent="0.25">
      <c r="A131" s="1246"/>
      <c r="B131" s="1246"/>
      <c r="C131" s="639" t="s">
        <v>846</v>
      </c>
      <c r="D131" s="940"/>
      <c r="E131" s="940"/>
      <c r="F131" s="940"/>
      <c r="G131" s="940"/>
      <c r="H131" s="79"/>
      <c r="I131" s="79"/>
      <c r="J131" s="441"/>
    </row>
    <row r="132" spans="1:10" ht="21" customHeight="1" thickBot="1" x14ac:dyDescent="0.25">
      <c r="A132" s="1246"/>
      <c r="B132" s="1246"/>
      <c r="C132" s="459" t="s">
        <v>729</v>
      </c>
      <c r="D132" s="1027"/>
      <c r="E132" s="1027"/>
      <c r="F132" s="1027"/>
      <c r="G132" s="1027"/>
      <c r="H132" s="79"/>
      <c r="I132" s="79"/>
      <c r="J132" s="441"/>
    </row>
    <row r="133" spans="1:10" ht="21" customHeight="1" thickBot="1" x14ac:dyDescent="0.25">
      <c r="A133" s="1246"/>
      <c r="B133" s="1246"/>
      <c r="C133" s="83" t="s">
        <v>2424</v>
      </c>
      <c r="D133" s="507"/>
      <c r="E133" s="507"/>
      <c r="F133" s="507"/>
      <c r="G133" s="582">
        <f>IF((OutNone + OutNone1&gt;0),0, 10*AVERAGE(Cstock1a, LabileC1a, OutC1a))</f>
        <v>0</v>
      </c>
      <c r="H133" s="79"/>
      <c r="I133" s="79"/>
      <c r="J133" s="441"/>
    </row>
    <row r="134" spans="1:10" ht="21" customHeight="1" thickBot="1" x14ac:dyDescent="0.25">
      <c r="A134" s="1246"/>
      <c r="B134" s="1246"/>
      <c r="C134" s="1975"/>
      <c r="D134" s="1975"/>
      <c r="E134" s="608"/>
      <c r="F134" s="608"/>
      <c r="G134" s="608"/>
      <c r="H134" s="489"/>
      <c r="I134" s="835" t="s">
        <v>293</v>
      </c>
      <c r="J134" s="441"/>
    </row>
    <row r="135" spans="1:10" ht="43.5" customHeight="1" x14ac:dyDescent="0.2">
      <c r="A135" s="1550"/>
      <c r="B135" s="1550"/>
      <c r="C135" s="1464"/>
      <c r="D135" s="1626"/>
      <c r="E135" s="608"/>
      <c r="F135" s="608"/>
      <c r="G135" s="608"/>
      <c r="H135" s="489"/>
      <c r="I135" s="815" t="s">
        <v>324</v>
      </c>
      <c r="J135" s="441"/>
    </row>
    <row r="136" spans="1:10" ht="42" customHeight="1" x14ac:dyDescent="0.2">
      <c r="A136" s="1463"/>
      <c r="B136" s="1637"/>
      <c r="C136" s="1593"/>
      <c r="D136" s="1468"/>
      <c r="E136" s="608"/>
      <c r="F136" s="608"/>
      <c r="G136" s="608"/>
      <c r="H136" s="489"/>
      <c r="I136" s="816" t="s">
        <v>1846</v>
      </c>
      <c r="J136" s="441"/>
    </row>
    <row r="137" spans="1:10" ht="42" customHeight="1" x14ac:dyDescent="0.2">
      <c r="A137" s="1463"/>
      <c r="B137" s="1637"/>
      <c r="C137" s="1593"/>
      <c r="D137" s="1554"/>
      <c r="E137" s="608"/>
      <c r="F137" s="608"/>
      <c r="G137" s="608"/>
      <c r="H137" s="489"/>
      <c r="I137" s="816" t="s">
        <v>318</v>
      </c>
      <c r="J137" s="441"/>
    </row>
    <row r="138" spans="1:10" ht="42" customHeight="1" x14ac:dyDescent="0.2">
      <c r="A138" s="1463"/>
      <c r="B138" s="1637"/>
      <c r="C138" s="1593"/>
      <c r="D138" s="1468"/>
      <c r="E138" s="608"/>
      <c r="F138" s="608"/>
      <c r="G138" s="608"/>
      <c r="H138" s="489"/>
      <c r="I138" s="816" t="s">
        <v>320</v>
      </c>
      <c r="J138" s="441"/>
    </row>
    <row r="139" spans="1:10" ht="51" x14ac:dyDescent="0.2">
      <c r="A139" s="1463"/>
      <c r="B139" s="1637"/>
      <c r="C139" s="1593"/>
      <c r="D139" s="1468"/>
      <c r="E139" s="608"/>
      <c r="F139" s="608"/>
      <c r="G139" s="608"/>
      <c r="H139" s="489"/>
      <c r="I139" s="816" t="s">
        <v>325</v>
      </c>
      <c r="J139" s="441"/>
    </row>
    <row r="140" spans="1:10" ht="42" customHeight="1" x14ac:dyDescent="0.2">
      <c r="A140" s="1463"/>
      <c r="B140" s="1593"/>
      <c r="C140" s="1593"/>
      <c r="D140" s="1468"/>
      <c r="E140" s="608"/>
      <c r="F140" s="608"/>
      <c r="G140" s="608"/>
      <c r="H140" s="489"/>
      <c r="I140" s="816" t="s">
        <v>527</v>
      </c>
      <c r="J140" s="441"/>
    </row>
    <row r="141" spans="1:10" s="6" customFormat="1" ht="30.75" customHeight="1" x14ac:dyDescent="0.2">
      <c r="A141" s="1463"/>
      <c r="B141" s="1593"/>
      <c r="C141" s="1593"/>
      <c r="D141" s="1554"/>
      <c r="E141" s="608"/>
      <c r="F141" s="608"/>
      <c r="G141" s="608"/>
      <c r="H141" s="489"/>
      <c r="I141" s="816" t="s">
        <v>528</v>
      </c>
      <c r="J141" s="441"/>
    </row>
    <row r="142" spans="1:10" s="6" customFormat="1" ht="56.25" customHeight="1" x14ac:dyDescent="0.2">
      <c r="A142" s="1463"/>
      <c r="B142" s="1593"/>
      <c r="C142" s="1464"/>
      <c r="D142" s="1554"/>
      <c r="E142" s="608"/>
      <c r="F142" s="608"/>
      <c r="G142" s="608"/>
      <c r="H142" s="489"/>
      <c r="I142" s="816" t="s">
        <v>321</v>
      </c>
      <c r="J142" s="441"/>
    </row>
    <row r="143" spans="1:10" s="6" customFormat="1" ht="27" customHeight="1" x14ac:dyDescent="0.2">
      <c r="A143" s="1463"/>
      <c r="B143" s="1637"/>
      <c r="C143" s="1467"/>
      <c r="D143" s="1599"/>
      <c r="E143" s="608"/>
      <c r="F143" s="608"/>
      <c r="G143" s="608"/>
      <c r="H143" s="489"/>
      <c r="I143" s="816" t="s">
        <v>322</v>
      </c>
      <c r="J143" s="441"/>
    </row>
    <row r="144" spans="1:10" s="6" customFormat="1" ht="42" customHeight="1" x14ac:dyDescent="0.2">
      <c r="A144" s="1463"/>
      <c r="B144" s="1637"/>
      <c r="C144" s="1593"/>
      <c r="D144" s="1554"/>
      <c r="E144" s="608"/>
      <c r="F144" s="608"/>
      <c r="G144" s="608"/>
      <c r="H144" s="489"/>
      <c r="I144" s="816" t="s">
        <v>1841</v>
      </c>
      <c r="J144" s="441"/>
    </row>
    <row r="145" spans="1:10" s="6" customFormat="1" ht="42" customHeight="1" x14ac:dyDescent="0.2">
      <c r="A145" s="1463"/>
      <c r="B145" s="1637"/>
      <c r="C145" s="1593"/>
      <c r="D145" s="1468"/>
      <c r="E145" s="608"/>
      <c r="F145" s="608"/>
      <c r="G145" s="608"/>
      <c r="H145" s="489"/>
      <c r="I145" s="1431" t="s">
        <v>529</v>
      </c>
      <c r="J145" s="441"/>
    </row>
    <row r="146" spans="1:10" s="6" customFormat="1" ht="34.5" customHeight="1" x14ac:dyDescent="0.2">
      <c r="A146" s="1463"/>
      <c r="B146" s="1637"/>
      <c r="C146" s="1593"/>
      <c r="D146" s="1468"/>
      <c r="E146" s="608"/>
      <c r="F146" s="608"/>
      <c r="G146" s="608"/>
      <c r="H146" s="489"/>
      <c r="I146" s="1431" t="s">
        <v>1847</v>
      </c>
      <c r="J146" s="441"/>
    </row>
    <row r="147" spans="1:10" s="6" customFormat="1" ht="31.5" customHeight="1" x14ac:dyDescent="0.2">
      <c r="A147" s="1463"/>
      <c r="B147" s="1593"/>
      <c r="C147" s="1593"/>
      <c r="D147" s="1468"/>
      <c r="E147" s="608"/>
      <c r="F147" s="608"/>
      <c r="G147" s="608"/>
      <c r="H147" s="489"/>
      <c r="I147" s="818" t="s">
        <v>1848</v>
      </c>
      <c r="J147" s="441"/>
    </row>
    <row r="148" spans="1:10" ht="42" customHeight="1" thickBot="1" x14ac:dyDescent="0.25">
      <c r="A148" s="5"/>
      <c r="D148" s="5"/>
      <c r="E148" s="5"/>
      <c r="F148" s="5"/>
      <c r="G148" s="5"/>
      <c r="H148" s="940"/>
      <c r="I148" s="312" t="s">
        <v>1849</v>
      </c>
      <c r="J148" s="441"/>
    </row>
    <row r="149" spans="1:10" x14ac:dyDescent="0.2">
      <c r="A149" s="5"/>
      <c r="D149" s="5"/>
      <c r="E149" s="5"/>
      <c r="F149" s="5"/>
      <c r="G149" s="5"/>
      <c r="H149" s="940"/>
      <c r="I149" s="110"/>
      <c r="J149" s="441"/>
    </row>
    <row r="150" spans="1:10" ht="27" customHeight="1" x14ac:dyDescent="0.2">
      <c r="A150" s="5"/>
      <c r="D150" s="5"/>
      <c r="E150" s="5"/>
      <c r="F150" s="5"/>
      <c r="G150" s="5"/>
      <c r="H150" s="940"/>
      <c r="I150" s="110"/>
      <c r="J150" s="441"/>
    </row>
    <row r="151" spans="1:10" ht="42" customHeight="1" x14ac:dyDescent="0.2">
      <c r="A151" s="5"/>
      <c r="D151" s="5"/>
      <c r="E151" s="5"/>
      <c r="F151" s="5"/>
      <c r="G151" s="5"/>
      <c r="H151" s="940"/>
      <c r="I151" s="110"/>
      <c r="J151" s="441"/>
    </row>
    <row r="152" spans="1:10" ht="42" customHeight="1" x14ac:dyDescent="0.2">
      <c r="A152" s="5"/>
      <c r="D152" s="5"/>
      <c r="E152" s="5"/>
      <c r="F152" s="5"/>
      <c r="G152" s="5"/>
      <c r="H152" s="940"/>
      <c r="I152" s="110"/>
      <c r="J152" s="441"/>
    </row>
    <row r="153" spans="1:10" ht="42" customHeight="1" x14ac:dyDescent="0.2">
      <c r="A153" s="5"/>
      <c r="D153" s="5"/>
      <c r="E153" s="5"/>
      <c r="F153" s="5"/>
      <c r="G153" s="5"/>
      <c r="H153" s="940"/>
      <c r="I153" s="110"/>
      <c r="J153" s="441"/>
    </row>
    <row r="154" spans="1:10" x14ac:dyDescent="0.2">
      <c r="J154" s="441"/>
    </row>
    <row r="166" spans="1:7" ht="21" customHeight="1" x14ac:dyDescent="0.2">
      <c r="A166" s="574"/>
      <c r="B166" s="574"/>
      <c r="D166" s="574"/>
      <c r="E166" s="574"/>
      <c r="F166" s="574"/>
      <c r="G166" s="573"/>
    </row>
    <row r="167" spans="1:7" ht="42" customHeight="1" x14ac:dyDescent="0.2">
      <c r="A167" s="574"/>
      <c r="B167" s="574"/>
      <c r="D167" s="574"/>
      <c r="E167" s="574"/>
      <c r="F167" s="574"/>
      <c r="G167" s="573"/>
    </row>
    <row r="168" spans="1:7" ht="42" customHeight="1" x14ac:dyDescent="0.2">
      <c r="A168" s="574"/>
      <c r="B168" s="574"/>
      <c r="D168" s="574"/>
      <c r="E168" s="574"/>
      <c r="F168" s="574"/>
      <c r="G168" s="573"/>
    </row>
  </sheetData>
  <sheetProtection password="C4B9" sheet="1" objects="1" scenarios="1"/>
  <sortState ref="A3:M11">
    <sortCondition ref="H3:H11"/>
  </sortState>
  <customSheetViews>
    <customSheetView guid="{B8E02330-2419-4DE6-AD01-7ACC7A5D18DD}" scale="75">
      <selection activeCell="H127" sqref="A2:H127"/>
      <pageMargins left="0.75" right="0.75" top="1" bottom="1" header="0.5" footer="0.5"/>
      <pageSetup orientation="portrait" r:id="rId1"/>
      <headerFooter alignWithMargins="0"/>
    </customSheetView>
  </customSheetViews>
  <mergeCells count="79">
    <mergeCell ref="I14:I20"/>
    <mergeCell ref="H14:H20"/>
    <mergeCell ref="B14:B20"/>
    <mergeCell ref="A116:A120"/>
    <mergeCell ref="H116:H120"/>
    <mergeCell ref="I57:I62"/>
    <mergeCell ref="H51:H56"/>
    <mergeCell ref="B116:B120"/>
    <mergeCell ref="I116:I120"/>
    <mergeCell ref="B109:B115"/>
    <mergeCell ref="A109:A115"/>
    <mergeCell ref="A104:A108"/>
    <mergeCell ref="A100:A103"/>
    <mergeCell ref="B88:B93"/>
    <mergeCell ref="A14:A20"/>
    <mergeCell ref="A1:B1"/>
    <mergeCell ref="I100:I103"/>
    <mergeCell ref="I88:I93"/>
    <mergeCell ref="A63:A69"/>
    <mergeCell ref="B63:B69"/>
    <mergeCell ref="I70:I76"/>
    <mergeCell ref="A94:A99"/>
    <mergeCell ref="B94:B99"/>
    <mergeCell ref="I84:I87"/>
    <mergeCell ref="A88:A93"/>
    <mergeCell ref="B84:B87"/>
    <mergeCell ref="I7:I13"/>
    <mergeCell ref="B70:B76"/>
    <mergeCell ref="B100:B103"/>
    <mergeCell ref="A70:A76"/>
    <mergeCell ref="A84:A87"/>
    <mergeCell ref="A7:A13"/>
    <mergeCell ref="A57:A62"/>
    <mergeCell ref="B57:B62"/>
    <mergeCell ref="B77:B83"/>
    <mergeCell ref="A77:A83"/>
    <mergeCell ref="B45:B50"/>
    <mergeCell ref="A51:A56"/>
    <mergeCell ref="B51:B56"/>
    <mergeCell ref="B7:B13"/>
    <mergeCell ref="A38:A44"/>
    <mergeCell ref="A33:A37"/>
    <mergeCell ref="A21:A26"/>
    <mergeCell ref="B38:B44"/>
    <mergeCell ref="B33:B37"/>
    <mergeCell ref="B27:B32"/>
    <mergeCell ref="B21:B26"/>
    <mergeCell ref="E1:H1"/>
    <mergeCell ref="A45:A50"/>
    <mergeCell ref="A27:A32"/>
    <mergeCell ref="H109:H115"/>
    <mergeCell ref="H38:H44"/>
    <mergeCell ref="H33:H37"/>
    <mergeCell ref="H27:H32"/>
    <mergeCell ref="H21:H26"/>
    <mergeCell ref="H104:H108"/>
    <mergeCell ref="H100:H103"/>
    <mergeCell ref="H94:H99"/>
    <mergeCell ref="H88:H93"/>
    <mergeCell ref="H84:H87"/>
    <mergeCell ref="H70:H76"/>
    <mergeCell ref="H63:H69"/>
    <mergeCell ref="B104:B108"/>
    <mergeCell ref="C134:D134"/>
    <mergeCell ref="H45:H50"/>
    <mergeCell ref="H7:H13"/>
    <mergeCell ref="I109:I115"/>
    <mergeCell ref="I33:I37"/>
    <mergeCell ref="I94:I99"/>
    <mergeCell ref="I51:I56"/>
    <mergeCell ref="I21:I26"/>
    <mergeCell ref="I104:I108"/>
    <mergeCell ref="I38:I44"/>
    <mergeCell ref="I27:I32"/>
    <mergeCell ref="I77:I83"/>
    <mergeCell ref="I63:I69"/>
    <mergeCell ref="H77:H83"/>
    <mergeCell ref="H57:H62"/>
    <mergeCell ref="I45:I50"/>
  </mergeCells>
  <phoneticPr fontId="12" type="noConversion"/>
  <conditionalFormatting sqref="D133 D129:D130 D126:D127 D109 D123:D124 D111:D115 D117:D121 D27:D31 D33 D35:D40 D92:D94 D96:D102 D104:D107 D86:D90 D72:D77 D63 D65:D70 D51:D55 D44:D49 D7:D13 D15:D25 D57:D61 D79:D84">
    <cfRule type="cellIs" dxfId="7" priority="1" operator="greaterThan">
      <formula>0</formula>
    </cfRule>
  </conditionalFormatting>
  <pageMargins left="0.75" right="0.75" top="1" bottom="1" header="0.5"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237"/>
  <sheetViews>
    <sheetView zoomScaleNormal="100" workbookViewId="0">
      <selection activeCell="C7" sqref="C7"/>
    </sheetView>
  </sheetViews>
  <sheetFormatPr defaultColWidth="9.33203125" defaultRowHeight="16.5" x14ac:dyDescent="0.2"/>
  <cols>
    <col min="1" max="1" width="5.83203125" style="135" customWidth="1"/>
    <col min="2" max="2" width="18.83203125" style="136" customWidth="1"/>
    <col min="3" max="3" width="69.83203125" style="940" customWidth="1"/>
    <col min="4" max="5" width="6.83203125" style="579" customWidth="1"/>
    <col min="6" max="6" width="6.83203125" style="203" customWidth="1"/>
    <col min="7" max="7" width="10.83203125" style="142" customWidth="1"/>
    <col min="8" max="8" width="19.1640625" style="126" bestFit="1" customWidth="1"/>
    <col min="9" max="9" width="67.83203125" style="110" customWidth="1"/>
    <col min="10" max="10" width="6" style="141" customWidth="1"/>
    <col min="11" max="11" width="6.1640625" style="110" customWidth="1"/>
    <col min="12" max="12" width="22.1640625" style="110" customWidth="1"/>
    <col min="13" max="14" width="9.33203125" style="110"/>
    <col min="15" max="15" width="64.5" style="110" customWidth="1"/>
    <col min="16" max="16" width="9.33203125" style="110"/>
    <col min="17" max="16384" width="9.33203125" style="940"/>
  </cols>
  <sheetData>
    <row r="1" spans="1:11" ht="90.75" thickBot="1" x14ac:dyDescent="0.25">
      <c r="A1" s="2033" t="s">
        <v>738</v>
      </c>
      <c r="B1" s="2034"/>
      <c r="C1" s="60" t="s">
        <v>524</v>
      </c>
      <c r="D1" s="641" t="s">
        <v>513</v>
      </c>
      <c r="E1" s="2134"/>
      <c r="F1" s="2135"/>
      <c r="G1" s="2135"/>
      <c r="H1" s="2135"/>
      <c r="I1" s="2136"/>
    </row>
    <row r="2" spans="1:11" s="109" customFormat="1" ht="50.25" thickBot="1" x14ac:dyDescent="0.35">
      <c r="A2" s="1008" t="s">
        <v>78</v>
      </c>
      <c r="B2" s="1009" t="s">
        <v>701</v>
      </c>
      <c r="C2" s="1010" t="s">
        <v>866</v>
      </c>
      <c r="D2" s="1008"/>
      <c r="E2" s="1011"/>
      <c r="F2" s="1012"/>
      <c r="G2" s="1013" t="s">
        <v>710</v>
      </c>
      <c r="H2" s="1009" t="s">
        <v>2028</v>
      </c>
      <c r="I2" s="1009" t="s">
        <v>255</v>
      </c>
      <c r="J2" s="170"/>
    </row>
    <row r="3" spans="1:11" s="1325" customFormat="1" ht="42" customHeight="1" thickBot="1" x14ac:dyDescent="0.25">
      <c r="A3" s="317" t="str">
        <f>OF!A6</f>
        <v>OF5</v>
      </c>
      <c r="B3" s="318" t="str">
        <f>OF!C6</f>
        <v>Wetland Class Richness Within Wetland</v>
      </c>
      <c r="C3" s="486" t="s">
        <v>406</v>
      </c>
      <c r="D3" s="320"/>
      <c r="E3" s="321"/>
      <c r="F3" s="321"/>
      <c r="G3" s="330" t="str">
        <f>IF((ClassRichIn=""),"",ClassRichIn)</f>
        <v/>
      </c>
      <c r="H3" s="332" t="s">
        <v>685</v>
      </c>
      <c r="I3" s="1323" t="s">
        <v>998</v>
      </c>
      <c r="J3" s="1620"/>
    </row>
    <row r="4" spans="1:11" s="1325" customFormat="1" ht="30" customHeight="1" thickBot="1" x14ac:dyDescent="0.25">
      <c r="A4" s="418" t="str">
        <f>OF!A16</f>
        <v>OF15</v>
      </c>
      <c r="B4" s="323" t="str">
        <f>OF!C16</f>
        <v>Growing Degree Days</v>
      </c>
      <c r="C4" s="484" t="s">
        <v>406</v>
      </c>
      <c r="D4" s="324"/>
      <c r="E4" s="325"/>
      <c r="F4" s="325"/>
      <c r="G4" s="345" t="str">
        <f>IF((GrowDD=""),"",GrowDD)</f>
        <v/>
      </c>
      <c r="H4" s="1360" t="s">
        <v>698</v>
      </c>
      <c r="I4" s="1424" t="s">
        <v>465</v>
      </c>
      <c r="J4" s="1324"/>
    </row>
    <row r="5" spans="1:11" s="1325" customFormat="1" ht="39" thickBot="1" x14ac:dyDescent="0.25">
      <c r="A5" s="317" t="str">
        <f>OF!A17</f>
        <v>OF16</v>
      </c>
      <c r="B5" s="1308" t="str">
        <f>OF!C17</f>
        <v>Groundwater Discharge Area or Spring</v>
      </c>
      <c r="C5" s="486"/>
      <c r="D5" s="1259"/>
      <c r="E5" s="1260"/>
      <c r="F5" s="865"/>
      <c r="G5" s="1333" t="str">
        <f>IF((GWDspring=""),"",GWDspring)</f>
        <v/>
      </c>
      <c r="H5" s="1261" t="s">
        <v>668</v>
      </c>
      <c r="I5" s="1323" t="s">
        <v>2265</v>
      </c>
      <c r="J5" s="1324"/>
    </row>
    <row r="6" spans="1:11" s="1325" customFormat="1" ht="42" customHeight="1" thickBot="1" x14ac:dyDescent="0.25">
      <c r="A6" s="317" t="str">
        <f>OF!A22</f>
        <v>OF21</v>
      </c>
      <c r="B6" s="318" t="str">
        <f>OF!C22</f>
        <v>% Natural Cover Within 1km</v>
      </c>
      <c r="C6" s="486" t="s">
        <v>406</v>
      </c>
      <c r="D6" s="320"/>
      <c r="E6" s="321"/>
      <c r="F6" s="321"/>
      <c r="G6" s="330" t="str">
        <f>IF((NatCov1k=""),"",NatCov1k)</f>
        <v/>
      </c>
      <c r="H6" s="332" t="s">
        <v>687</v>
      </c>
      <c r="I6" s="839" t="s">
        <v>1352</v>
      </c>
      <c r="J6" s="1620"/>
    </row>
    <row r="7" spans="1:11" s="1325" customFormat="1" ht="64.5" thickBot="1" x14ac:dyDescent="0.25">
      <c r="A7" s="1308" t="str">
        <f>OF!A42</f>
        <v>OF41</v>
      </c>
      <c r="B7" s="1308" t="str">
        <f>OF!C42</f>
        <v>Marsh or Shallow Open Water Area/All Marsh &amp; Shallow Open Water Area Within 1k</v>
      </c>
      <c r="C7" s="1638"/>
      <c r="D7" s="1259"/>
      <c r="E7" s="1260"/>
      <c r="F7" s="1260"/>
      <c r="G7" s="809" t="str">
        <f>IF((UniqMarshShallowOW=""),"",UniqMarshShallowOW)</f>
        <v/>
      </c>
      <c r="H7" s="1639" t="str">
        <f>OF!B42</f>
        <v>UniqMarshShallowOW</v>
      </c>
      <c r="I7" s="399" t="s">
        <v>2397</v>
      </c>
      <c r="J7" s="1332"/>
      <c r="K7" s="1332"/>
    </row>
    <row r="8" spans="1:11" s="1325" customFormat="1" ht="33" customHeight="1" thickBot="1" x14ac:dyDescent="0.25">
      <c r="A8" s="540" t="str">
        <f>OF!A49</f>
        <v>OF48</v>
      </c>
      <c r="B8" s="397" t="str">
        <f>OF!C49</f>
        <v>Upland Edge Index</v>
      </c>
      <c r="C8" s="1640"/>
      <c r="D8" s="1641"/>
      <c r="E8" s="1642"/>
      <c r="F8" s="1642"/>
      <c r="G8" s="1643" t="str">
        <f>IF((WetPerim2Area=""),"", WetPerim2Area)</f>
        <v/>
      </c>
      <c r="H8" s="1644" t="s">
        <v>657</v>
      </c>
      <c r="I8" s="1501" t="s">
        <v>2398</v>
      </c>
      <c r="J8" s="1332"/>
      <c r="K8" s="1332"/>
    </row>
    <row r="9" spans="1:11" s="1325" customFormat="1" ht="39" thickBot="1" x14ac:dyDescent="0.25">
      <c r="A9" s="540" t="str">
        <f>OF!A50</f>
        <v>OF49</v>
      </c>
      <c r="B9" s="397" t="str">
        <f>OF!C50</f>
        <v>Wetland Vegetated Area (in hectares)</v>
      </c>
      <c r="C9" s="1640"/>
      <c r="D9" s="1641"/>
      <c r="E9" s="1642"/>
      <c r="F9" s="1642"/>
      <c r="G9" s="1643" t="str">
        <f>IF((WetVegArea=""),"",WetVegArea)</f>
        <v/>
      </c>
      <c r="H9" s="1644" t="s">
        <v>656</v>
      </c>
      <c r="I9" s="1501" t="s">
        <v>2399</v>
      </c>
      <c r="J9" s="1332"/>
      <c r="K9" s="1332"/>
    </row>
    <row r="10" spans="1:11" s="1007" customFormat="1" ht="66.75" thickBot="1" x14ac:dyDescent="0.35">
      <c r="A10" s="1090" t="s">
        <v>78</v>
      </c>
      <c r="B10" s="1326" t="s">
        <v>709</v>
      </c>
      <c r="C10" s="1092" t="s">
        <v>708</v>
      </c>
      <c r="D10" s="1327" t="s">
        <v>33</v>
      </c>
      <c r="E10" s="1328" t="s">
        <v>1131</v>
      </c>
      <c r="F10" s="1329" t="s">
        <v>1130</v>
      </c>
      <c r="G10" s="1330" t="s">
        <v>710</v>
      </c>
      <c r="H10" s="1331" t="s">
        <v>2028</v>
      </c>
      <c r="I10" s="1098" t="s">
        <v>917</v>
      </c>
      <c r="J10" s="1006"/>
    </row>
    <row r="11" spans="1:11" s="6" customFormat="1" ht="21" customHeight="1" thickBot="1" x14ac:dyDescent="0.25">
      <c r="A11" s="1867" t="str">
        <f>F!A5</f>
        <v>F1</v>
      </c>
      <c r="B11" s="1867" t="str">
        <f>F!B5</f>
        <v>Wetland Type - Predominant</v>
      </c>
      <c r="C11" s="352" t="str">
        <f>F!C5</f>
        <v>Follow the key below and mark the ONE row that best describes MOST of the AA:</v>
      </c>
      <c r="D11" s="777"/>
      <c r="E11" s="777"/>
      <c r="F11" s="856"/>
      <c r="G11" s="225">
        <f>MAX(F13,F14,F16,F17)/MAX(E12:E17)</f>
        <v>0</v>
      </c>
      <c r="H11" s="1867" t="s">
        <v>88</v>
      </c>
      <c r="I11" s="2008" t="s">
        <v>1956</v>
      </c>
      <c r="J11" s="149"/>
    </row>
    <row r="12" spans="1:11" s="6" customFormat="1" ht="38.25" x14ac:dyDescent="0.2">
      <c r="A12" s="1911"/>
      <c r="B12" s="1911"/>
      <c r="C12" s="934" t="str">
        <f>F!C6</f>
        <v>A. Moss and/or lichen cover more than 25% of the ground. Substrate is mostly undecomposed peat. Choose between A1 and A2 and mark the choice with a 1 in their adjoining column. Otherwise go to B below.</v>
      </c>
      <c r="D12" s="734"/>
      <c r="E12" s="734"/>
      <c r="F12" s="722"/>
      <c r="G12" s="735"/>
      <c r="H12" s="1911"/>
      <c r="I12" s="2009"/>
      <c r="J12" s="149"/>
    </row>
    <row r="13" spans="1:11" s="6" customFormat="1" ht="89.25" x14ac:dyDescent="0.2">
      <c r="A13" s="1911"/>
      <c r="B13" s="1911"/>
      <c r="C13" s="935"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3" s="733">
        <f>F!D7</f>
        <v>0</v>
      </c>
      <c r="E13" s="734">
        <v>1</v>
      </c>
      <c r="F13" s="722">
        <f t="shared" ref="F13:F17" si="0">D13*E13</f>
        <v>0</v>
      </c>
      <c r="G13" s="735"/>
      <c r="H13" s="1911"/>
      <c r="I13" s="2009"/>
      <c r="J13" s="149"/>
    </row>
    <row r="14" spans="1:11" s="6" customFormat="1" ht="63.75" x14ac:dyDescent="0.2">
      <c r="A14" s="1911"/>
      <c r="B14" s="1911"/>
      <c r="C14" s="935"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4" s="733">
        <f>F!D8</f>
        <v>0</v>
      </c>
      <c r="E14" s="734">
        <v>2</v>
      </c>
      <c r="F14" s="722">
        <f t="shared" si="0"/>
        <v>0</v>
      </c>
      <c r="G14" s="735"/>
      <c r="H14" s="1911"/>
      <c r="I14" s="2009"/>
      <c r="J14" s="149"/>
    </row>
    <row r="15" spans="1:11" s="6" customFormat="1" ht="38.25" x14ac:dyDescent="0.2">
      <c r="A15" s="1911"/>
      <c r="B15" s="1911"/>
      <c r="C15" s="935" t="str">
        <f>F!C9</f>
        <v>B. Moss and/or lichen cover less than 25% of the ground. Soil is mineral or decomposed organic (muck). Choose between B1 and B2 and mark the choice with a 1 in their adjoining column:</v>
      </c>
      <c r="D15" s="734"/>
      <c r="E15" s="734"/>
      <c r="F15" s="722"/>
      <c r="G15" s="735"/>
      <c r="H15" s="1911"/>
      <c r="I15" s="2009"/>
      <c r="J15" s="149"/>
    </row>
    <row r="16" spans="1:11" s="6" customFormat="1" ht="51" customHeight="1" x14ac:dyDescent="0.2">
      <c r="A16" s="1911"/>
      <c r="B16" s="1911"/>
      <c r="C16" s="935"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16" s="733">
        <f>F!D10</f>
        <v>0</v>
      </c>
      <c r="E16" s="734">
        <v>3</v>
      </c>
      <c r="F16" s="722">
        <f t="shared" si="0"/>
        <v>0</v>
      </c>
      <c r="G16" s="735"/>
      <c r="H16" s="1911"/>
      <c r="I16" s="2009"/>
      <c r="J16" s="149"/>
    </row>
    <row r="17" spans="1:12" s="6" customFormat="1" ht="74.25" customHeight="1" thickBot="1" x14ac:dyDescent="0.25">
      <c r="A17" s="1911"/>
      <c r="B17" s="1911"/>
      <c r="C17" s="935"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17" s="733">
        <f>F!D11</f>
        <v>0</v>
      </c>
      <c r="E17" s="734">
        <v>4</v>
      </c>
      <c r="F17" s="722">
        <f t="shared" si="0"/>
        <v>0</v>
      </c>
      <c r="G17" s="735"/>
      <c r="H17" s="1911"/>
      <c r="I17" s="2009"/>
      <c r="J17" s="149"/>
    </row>
    <row r="18" spans="1:12" s="6" customFormat="1" ht="59.25" customHeight="1" thickBot="1" x14ac:dyDescent="0.25">
      <c r="A18" s="1867" t="str">
        <f>F!A12</f>
        <v>F2</v>
      </c>
      <c r="B18" s="1867" t="str">
        <f>F!B12</f>
        <v>Wetland Types - Subordinate</v>
      </c>
      <c r="C18" s="352" t="str">
        <f>F!C12</f>
        <v>If the AA is smaller than 1 ha, mark all other types that occupy more than 1% of the vegetated AA.  If the AA is larger than 1 ha, mark all other types which adjoin directly (are contiguous with) the AA and occupy more than 1 ha, as visible from the AA or as interpreted from aerial imagery.  Do not mark again the type marked in F1.</v>
      </c>
      <c r="D18" s="282"/>
      <c r="E18" s="777"/>
      <c r="F18" s="376"/>
      <c r="G18" s="232">
        <f>SUM(D19:D22)/3</f>
        <v>0</v>
      </c>
      <c r="H18" s="1867" t="s">
        <v>819</v>
      </c>
      <c r="I18" s="2008" t="s">
        <v>2391</v>
      </c>
      <c r="J18" s="149"/>
    </row>
    <row r="19" spans="1:12" s="6" customFormat="1" ht="15" customHeight="1" x14ac:dyDescent="0.2">
      <c r="A19" s="1911"/>
      <c r="B19" s="1911"/>
      <c r="C19" s="934" t="str">
        <f>F!C13</f>
        <v>A1</v>
      </c>
      <c r="D19" s="733">
        <f>F!D13</f>
        <v>0</v>
      </c>
      <c r="E19" s="736"/>
      <c r="F19" s="239"/>
      <c r="G19" s="857"/>
      <c r="H19" s="1911"/>
      <c r="I19" s="2009"/>
      <c r="J19" s="149"/>
    </row>
    <row r="20" spans="1:12" s="6" customFormat="1" ht="15" customHeight="1" x14ac:dyDescent="0.2">
      <c r="A20" s="1911"/>
      <c r="B20" s="1911"/>
      <c r="C20" s="935" t="str">
        <f>F!C14</f>
        <v>A2</v>
      </c>
      <c r="D20" s="733">
        <f>F!D14</f>
        <v>0</v>
      </c>
      <c r="E20" s="736"/>
      <c r="F20" s="239"/>
      <c r="G20" s="857"/>
      <c r="H20" s="1911"/>
      <c r="I20" s="2009"/>
      <c r="J20" s="149"/>
    </row>
    <row r="21" spans="1:12" s="6" customFormat="1" ht="15" customHeight="1" x14ac:dyDescent="0.2">
      <c r="A21" s="1911"/>
      <c r="B21" s="1911"/>
      <c r="C21" s="935" t="str">
        <f>F!C15</f>
        <v>B1</v>
      </c>
      <c r="D21" s="733">
        <f>F!D15</f>
        <v>0</v>
      </c>
      <c r="E21" s="736"/>
      <c r="F21" s="239"/>
      <c r="G21" s="857"/>
      <c r="H21" s="1911"/>
      <c r="I21" s="2009"/>
      <c r="J21" s="149"/>
    </row>
    <row r="22" spans="1:12" s="6" customFormat="1" ht="15" customHeight="1" x14ac:dyDescent="0.2">
      <c r="A22" s="1911"/>
      <c r="B22" s="1911"/>
      <c r="C22" s="935" t="str">
        <f>F!C16</f>
        <v>B2</v>
      </c>
      <c r="D22" s="733">
        <f>F!D16</f>
        <v>0</v>
      </c>
      <c r="E22" s="736"/>
      <c r="F22" s="239"/>
      <c r="G22" s="857"/>
      <c r="H22" s="1911"/>
      <c r="I22" s="2009"/>
      <c r="J22" s="149"/>
    </row>
    <row r="23" spans="1:12" s="6" customFormat="1" ht="15" customHeight="1" thickBot="1" x14ac:dyDescent="0.25">
      <c r="A23" s="1911"/>
      <c r="B23" s="1911"/>
      <c r="C23" s="762" t="str">
        <f>F!C17</f>
        <v>no types other than the predominant one in F1 meet the stated conditions.</v>
      </c>
      <c r="D23" s="370">
        <f>F!D17</f>
        <v>0</v>
      </c>
      <c r="E23" s="1257"/>
      <c r="F23" s="271"/>
      <c r="G23" s="720"/>
      <c r="H23" s="1911"/>
      <c r="I23" s="2009"/>
      <c r="J23" s="149"/>
    </row>
    <row r="24" spans="1:12" s="6" customFormat="1" ht="51.75" thickBot="1" x14ac:dyDescent="0.25">
      <c r="A24" s="1992" t="str">
        <f>F!A18</f>
        <v>F3</v>
      </c>
      <c r="B24" s="1867" t="str">
        <f>F!B18</f>
        <v>Woody Cover by Height</v>
      </c>
      <c r="C24" s="1318" t="str">
        <f>F!C18</f>
        <v>Following EACH row below, indicate with a number code the percentage of the of the living vegetation in the AA occupied by that feature (5 if &gt;75%,   4 if 50-75%,   3 if 25-50%,   2 if 5-25%,   1 if &lt;5%, 0 if none).  If the AA has no trees or shrubs, SKIP to F8.</v>
      </c>
      <c r="D24" s="777"/>
      <c r="E24" s="376"/>
      <c r="F24" s="376"/>
      <c r="G24" s="1258">
        <f>IF((D26&gt;3),1,IF((D28&gt;3),1, IF((D29&gt;3),0,0.5)))</f>
        <v>0.5</v>
      </c>
      <c r="H24" s="2011" t="s">
        <v>2264</v>
      </c>
      <c r="I24" s="2008" t="s">
        <v>2392</v>
      </c>
      <c r="J24" s="149"/>
    </row>
    <row r="25" spans="1:12" s="6" customFormat="1" x14ac:dyDescent="0.2">
      <c r="A25" s="1991"/>
      <c r="B25" s="1911"/>
      <c r="C25" s="934" t="str">
        <f>F!C19</f>
        <v>coniferous trees (including tamarack) taller than 3 m.</v>
      </c>
      <c r="D25" s="733">
        <f>F!D19</f>
        <v>0</v>
      </c>
      <c r="E25" s="722"/>
      <c r="F25" s="857"/>
      <c r="G25" s="722"/>
      <c r="H25" s="2007"/>
      <c r="I25" s="2009"/>
      <c r="J25" s="149"/>
    </row>
    <row r="26" spans="1:12" s="6" customFormat="1" x14ac:dyDescent="0.2">
      <c r="A26" s="1991"/>
      <c r="B26" s="1911"/>
      <c r="C26" s="935" t="str">
        <f>F!C20</f>
        <v>deciduous trees taller than 3 m.</v>
      </c>
      <c r="D26" s="733">
        <f>F!D20</f>
        <v>0</v>
      </c>
      <c r="E26" s="722"/>
      <c r="F26" s="857"/>
      <c r="G26" s="722"/>
      <c r="H26" s="2007"/>
      <c r="I26" s="2009"/>
      <c r="J26" s="149"/>
    </row>
    <row r="27" spans="1:12" s="6" customFormat="1" ht="21" customHeight="1" x14ac:dyDescent="0.2">
      <c r="A27" s="1991"/>
      <c r="B27" s="1911"/>
      <c r="C27" s="935" t="str">
        <f>F!C21</f>
        <v>coniferous or ericaceous shrubs or trees 1-3 m tall not directly below the canopy of trees.</v>
      </c>
      <c r="D27" s="733">
        <f>F!D21</f>
        <v>0</v>
      </c>
      <c r="E27" s="722"/>
      <c r="F27" s="857"/>
      <c r="G27" s="722"/>
      <c r="H27" s="2007"/>
      <c r="I27" s="2009"/>
      <c r="J27" s="149"/>
    </row>
    <row r="28" spans="1:12" s="6" customFormat="1" ht="25.5" x14ac:dyDescent="0.2">
      <c r="A28" s="1991"/>
      <c r="B28" s="1911"/>
      <c r="C28" s="935" t="str">
        <f>F!C22</f>
        <v>deciduous shrubs or trees 1-3 m tall not directly below the canopy of trees &gt;3 m (e.g., deciduous saplings).</v>
      </c>
      <c r="D28" s="733">
        <f>F!D22</f>
        <v>0</v>
      </c>
      <c r="E28" s="722"/>
      <c r="F28" s="857"/>
      <c r="G28" s="722"/>
      <c r="H28" s="2007"/>
      <c r="I28" s="2009"/>
      <c r="J28" s="149"/>
    </row>
    <row r="29" spans="1:12" s="6" customFormat="1" ht="25.5" x14ac:dyDescent="0.2">
      <c r="A29" s="1991"/>
      <c r="B29" s="1911"/>
      <c r="C29" s="935" t="str">
        <f>F!C23</f>
        <v>coniferous or ericaceous shrubs or trees &lt;1 m tall not directly below the canopy of taller vegetation.</v>
      </c>
      <c r="D29" s="733">
        <f>F!D23</f>
        <v>0</v>
      </c>
      <c r="E29" s="722"/>
      <c r="F29" s="857"/>
      <c r="G29" s="722"/>
      <c r="H29" s="2007"/>
      <c r="I29" s="2009"/>
      <c r="J29" s="149"/>
    </row>
    <row r="30" spans="1:12" s="6" customFormat="1" ht="17.25" thickBot="1" x14ac:dyDescent="0.25">
      <c r="A30" s="1993"/>
      <c r="B30" s="1978"/>
      <c r="C30" s="762" t="str">
        <f>F!C24</f>
        <v>deciduous shrubs or trees &lt;1 m tall (e.g., deciduous seedlings).</v>
      </c>
      <c r="D30" s="370">
        <f>F!D24</f>
        <v>0</v>
      </c>
      <c r="E30" s="380"/>
      <c r="F30" s="720"/>
      <c r="G30" s="380"/>
      <c r="H30" s="2012"/>
      <c r="I30" s="2010"/>
      <c r="J30" s="149"/>
    </row>
    <row r="31" spans="1:12" ht="20.25" customHeight="1" thickBot="1" x14ac:dyDescent="0.25">
      <c r="A31" s="1989" t="str">
        <f>F!A34</f>
        <v>F5</v>
      </c>
      <c r="B31" s="1989" t="str">
        <f>F!B34</f>
        <v>Interspersion of Tall and Short Vegetation</v>
      </c>
      <c r="C31" s="1235" t="str">
        <f>F!C34</f>
        <v>Follow the key below and mark the ONE row that best describes MOST of the AA:</v>
      </c>
      <c r="D31" s="777"/>
      <c r="E31" s="376"/>
      <c r="F31" s="376"/>
      <c r="G31" s="1258">
        <f>MAX(F33:F37)/MAX(E33:E37)</f>
        <v>0</v>
      </c>
      <c r="H31" s="1911" t="s">
        <v>737</v>
      </c>
      <c r="I31" s="2141" t="s">
        <v>999</v>
      </c>
    </row>
    <row r="32" spans="1:12" ht="51" x14ac:dyDescent="0.2">
      <c r="A32" s="1989"/>
      <c r="B32" s="1989"/>
      <c r="C32" s="1319" t="str">
        <f>F!C35</f>
        <v>A. Neither the vegetation taller than 1m nor the vegetation shorter than that comprise &gt;70% of the vegetated part of the AA. They each comprise 30-70%.  If false, go to B below.  Otherwise choose between A1 and A2 and mark the choice with a 1 in the adjoining column:</v>
      </c>
      <c r="D32" s="722"/>
      <c r="E32" s="722"/>
      <c r="F32" s="722"/>
      <c r="G32" s="859"/>
      <c r="H32" s="1911"/>
      <c r="I32" s="2142"/>
      <c r="L32" s="110" t="s">
        <v>406</v>
      </c>
    </row>
    <row r="33" spans="1:9" x14ac:dyDescent="0.2">
      <c r="A33" s="1989"/>
      <c r="B33" s="1989"/>
      <c r="C33" s="1319" t="str">
        <f>F!C36</f>
        <v xml:space="preserve">   A1. The two height classes are mostly scattered and intermixed throughout the AA.</v>
      </c>
      <c r="D33" s="1597">
        <f>F!D36</f>
        <v>0</v>
      </c>
      <c r="E33" s="722">
        <v>3</v>
      </c>
      <c r="F33" s="857">
        <f>D34*E34</f>
        <v>0</v>
      </c>
      <c r="G33" s="859"/>
      <c r="H33" s="1911"/>
      <c r="I33" s="2142"/>
    </row>
    <row r="34" spans="1:9" ht="29.45" customHeight="1" x14ac:dyDescent="0.2">
      <c r="A34" s="1989"/>
      <c r="B34" s="1989"/>
      <c r="C34" s="1319" t="str">
        <f>F!C37</f>
        <v xml:space="preserve">   A2. Not A1.  The two height classes are mostly in separate zones or bands, or in proportionately large clumps.</v>
      </c>
      <c r="D34" s="1597">
        <f>F!D37</f>
        <v>0</v>
      </c>
      <c r="E34" s="722">
        <v>2</v>
      </c>
      <c r="F34" s="857">
        <f>D35*E35</f>
        <v>0</v>
      </c>
      <c r="G34" s="859"/>
      <c r="H34" s="1911"/>
      <c r="I34" s="2142"/>
    </row>
    <row r="35" spans="1:9" ht="42" customHeight="1" x14ac:dyDescent="0.2">
      <c r="A35" s="1989"/>
      <c r="B35" s="1989"/>
      <c r="C35" s="1320" t="str">
        <f>F!C38</f>
        <v>B. Either the vegetation taller than 1m or the vegetation shorter than 1m comprise &gt;70% of the vegetated part of the AA.  One size class might even be totally absent.  Choose between B1 and B2 and mark the choice with a 1 in the adjoining column:</v>
      </c>
      <c r="D35" s="722"/>
      <c r="E35" s="722"/>
      <c r="F35" s="722"/>
      <c r="G35" s="859"/>
      <c r="H35" s="1911"/>
      <c r="I35" s="2142"/>
    </row>
    <row r="36" spans="1:9" ht="25.5" x14ac:dyDescent="0.2">
      <c r="A36" s="1989"/>
      <c r="B36" s="1989"/>
      <c r="C36" s="1320" t="str">
        <f>F!C39</f>
        <v xml:space="preserve">   B1. The less prevalent height class is mostly scattered and intermixed within the prevalent one.</v>
      </c>
      <c r="D36" s="737">
        <f>F!D39</f>
        <v>0</v>
      </c>
      <c r="E36" s="722">
        <v>1</v>
      </c>
      <c r="F36" s="857">
        <f>D36*E36</f>
        <v>0</v>
      </c>
      <c r="G36" s="859"/>
      <c r="H36" s="1911"/>
      <c r="I36" s="2142"/>
    </row>
    <row r="37" spans="1:9" ht="31.9" customHeight="1" thickBot="1" x14ac:dyDescent="0.25">
      <c r="A37" s="1990"/>
      <c r="B37" s="1990"/>
      <c r="C37" s="1321" t="str">
        <f>F!C40</f>
        <v xml:space="preserve">   B2. Not B1.  The less prevalent height class is mostly located apart from the prevalent one, in separate zones or clumps, or is completely absent</v>
      </c>
      <c r="D37" s="81">
        <f>F!D40</f>
        <v>0</v>
      </c>
      <c r="E37" s="244">
        <v>0</v>
      </c>
      <c r="F37" s="266">
        <f>D37*E37</f>
        <v>0</v>
      </c>
      <c r="G37" s="1322"/>
      <c r="H37" s="1978"/>
      <c r="I37" s="2143"/>
    </row>
    <row r="38" spans="1:9" ht="45" customHeight="1" thickBot="1" x14ac:dyDescent="0.25">
      <c r="A38" s="1992" t="str">
        <f>F!A41</f>
        <v>F6</v>
      </c>
      <c r="B38" s="1867" t="str">
        <f>F!B41</f>
        <v>Downed Wood</v>
      </c>
      <c r="C38" s="90" t="str">
        <f>F!C41</f>
        <v>If trees taller than 3 m comprise &lt;5% of the vegetative cover, SKIP to F10 (Sphagnum Moss Extent). Otherwise, answer this: The number of downed wood pieces longer than 2 m and with diameter &gt;5 cm, and not persistently submerged, is:</v>
      </c>
      <c r="D38" s="372"/>
      <c r="E38" s="376"/>
      <c r="F38" s="262"/>
      <c r="G38" s="225">
        <f>IF((NoWoodyVeg=1),"",MAX(F39:F40))</f>
        <v>0</v>
      </c>
      <c r="H38" s="1867" t="s">
        <v>96</v>
      </c>
      <c r="I38" s="2132" t="s">
        <v>1173</v>
      </c>
    </row>
    <row r="39" spans="1:9" ht="15" customHeight="1" x14ac:dyDescent="0.2">
      <c r="A39" s="1991"/>
      <c r="B39" s="1911"/>
      <c r="C39" s="426" t="str">
        <f>F!C42</f>
        <v>Several (&gt;5 if AA is &gt;5 hectares, less for smaller AAs).</v>
      </c>
      <c r="D39" s="180">
        <f>F!D42</f>
        <v>0</v>
      </c>
      <c r="E39" s="377">
        <v>1</v>
      </c>
      <c r="F39" s="377">
        <f>D39*E39</f>
        <v>0</v>
      </c>
      <c r="G39" s="202"/>
      <c r="H39" s="1911"/>
      <c r="I39" s="2133"/>
    </row>
    <row r="40" spans="1:9" ht="15" customHeight="1" thickBot="1" x14ac:dyDescent="0.25">
      <c r="A40" s="1993"/>
      <c r="B40" s="1978"/>
      <c r="C40" s="82" t="str">
        <f>F!C43</f>
        <v>Few or none that meet these criteria.</v>
      </c>
      <c r="D40" s="81">
        <f>F!D43</f>
        <v>0</v>
      </c>
      <c r="E40" s="244">
        <v>0</v>
      </c>
      <c r="F40" s="244">
        <f>D40*E40</f>
        <v>0</v>
      </c>
      <c r="G40" s="258"/>
      <c r="H40" s="1978"/>
      <c r="I40" s="2140"/>
    </row>
    <row r="41" spans="1:9" ht="30" customHeight="1" thickBot="1" x14ac:dyDescent="0.25">
      <c r="A41" s="2075" t="str">
        <f>F!A47</f>
        <v>F8</v>
      </c>
      <c r="B41" s="1911" t="str">
        <f>F!B47</f>
        <v>N Fixers</v>
      </c>
      <c r="C41" s="877" t="str">
        <f>F!C47</f>
        <v>The percent of the AA's vegetated cover that is nitrogen-fixing plants (e.g., alder, baltic (wire) rush, sweetgale, lupine, clover, other legumes) is:</v>
      </c>
      <c r="D41" s="437"/>
      <c r="E41" s="239"/>
      <c r="F41" s="259"/>
      <c r="G41" s="219">
        <f>MAX(F42:F46)/MAX(E42:E46)</f>
        <v>0</v>
      </c>
      <c r="H41" s="1867" t="s">
        <v>95</v>
      </c>
      <c r="I41" s="2133" t="s">
        <v>1254</v>
      </c>
    </row>
    <row r="42" spans="1:9" ht="15" customHeight="1" x14ac:dyDescent="0.2">
      <c r="A42" s="2075"/>
      <c r="B42" s="1911"/>
      <c r="C42" s="426" t="str">
        <f>F!C48</f>
        <v>&lt;1% or none.</v>
      </c>
      <c r="D42" s="40">
        <f>F!D48</f>
        <v>0</v>
      </c>
      <c r="E42" s="241">
        <v>0</v>
      </c>
      <c r="F42" s="241">
        <f>D42*E42</f>
        <v>0</v>
      </c>
      <c r="G42" s="202"/>
      <c r="H42" s="1911"/>
      <c r="I42" s="2133"/>
    </row>
    <row r="43" spans="1:9" ht="25.5" x14ac:dyDescent="0.2">
      <c r="A43" s="2075"/>
      <c r="B43" s="1911"/>
      <c r="C43" s="362" t="str">
        <f>F!C49</f>
        <v>1-25% of the shrub plus ground cover, in the AA or along its water edge (whichever has more).</v>
      </c>
      <c r="D43" s="40">
        <f>F!D49</f>
        <v>0</v>
      </c>
      <c r="E43" s="241">
        <v>1</v>
      </c>
      <c r="F43" s="241">
        <f>D43*E43</f>
        <v>0</v>
      </c>
      <c r="G43" s="257"/>
      <c r="H43" s="1911"/>
      <c r="I43" s="2133"/>
    </row>
    <row r="44" spans="1:9" ht="25.5" x14ac:dyDescent="0.2">
      <c r="A44" s="2075"/>
      <c r="B44" s="1911"/>
      <c r="C44" s="362" t="str">
        <f>F!C50</f>
        <v>25-50% of the shrub plus ground cover, in the AA or along its water edge (whichever has more).</v>
      </c>
      <c r="D44" s="40">
        <f>F!D50</f>
        <v>0</v>
      </c>
      <c r="E44" s="241">
        <v>2</v>
      </c>
      <c r="F44" s="241">
        <f>D44*E44</f>
        <v>0</v>
      </c>
      <c r="G44" s="257"/>
      <c r="H44" s="1911"/>
      <c r="I44" s="2133"/>
    </row>
    <row r="45" spans="1:9" ht="25.5" x14ac:dyDescent="0.2">
      <c r="A45" s="2075"/>
      <c r="B45" s="1911"/>
      <c r="C45" s="362" t="str">
        <f>F!C51</f>
        <v>50-75% of the shrub plus ground cover, in the AA or along its water edge (whichever has more).</v>
      </c>
      <c r="D45" s="40">
        <f>F!D51</f>
        <v>0</v>
      </c>
      <c r="E45" s="241">
        <v>3</v>
      </c>
      <c r="F45" s="241">
        <f>D45*E45</f>
        <v>0</v>
      </c>
      <c r="G45" s="257"/>
      <c r="H45" s="1911"/>
      <c r="I45" s="2133"/>
    </row>
    <row r="46" spans="1:9" ht="26.25" thickBot="1" x14ac:dyDescent="0.25">
      <c r="A46" s="2075"/>
      <c r="B46" s="1911"/>
      <c r="C46" s="361" t="str">
        <f>F!C52</f>
        <v>&gt;75% of the shrub plus ground cover, in the AA or along its water edge (whichever has more).</v>
      </c>
      <c r="D46" s="370">
        <f>F!D52</f>
        <v>0</v>
      </c>
      <c r="E46" s="380">
        <v>4</v>
      </c>
      <c r="F46" s="380">
        <f>D46*E46</f>
        <v>0</v>
      </c>
      <c r="G46" s="433"/>
      <c r="H46" s="1978"/>
      <c r="I46" s="2133"/>
    </row>
    <row r="47" spans="1:9" ht="39" thickBot="1" x14ac:dyDescent="0.25">
      <c r="A47" s="2036" t="str">
        <f>F!A57</f>
        <v>F10</v>
      </c>
      <c r="B47" s="1867" t="str">
        <f>F!B57</f>
        <v>Sphagnum Moss Extent</v>
      </c>
      <c r="C47" s="77" t="str">
        <f>F!C57</f>
        <v>The cover of Sphagnum moss (or any moss that forms a dense cushion many centimeters thick), including the moss obscured by taller sedges and other plants rooted in it, is:</v>
      </c>
      <c r="D47" s="372"/>
      <c r="E47" s="376"/>
      <c r="F47" s="376"/>
      <c r="G47" s="225">
        <f>MAX(F48:F52)/MAX(E48:E52)</f>
        <v>0</v>
      </c>
      <c r="H47" s="1867" t="s">
        <v>736</v>
      </c>
      <c r="I47" s="2008" t="s">
        <v>1000</v>
      </c>
    </row>
    <row r="48" spans="1:9" ht="15" customHeight="1" x14ac:dyDescent="0.2">
      <c r="A48" s="2035"/>
      <c r="B48" s="1911"/>
      <c r="C48" s="395" t="str">
        <f>F!C58</f>
        <v>&lt;5% of the ground cover, or none.</v>
      </c>
      <c r="D48" s="359">
        <f>F!D58</f>
        <v>0</v>
      </c>
      <c r="E48" s="377">
        <v>3</v>
      </c>
      <c r="F48" s="377">
        <f>D48*E48</f>
        <v>0</v>
      </c>
      <c r="G48" s="257"/>
      <c r="H48" s="1911"/>
      <c r="I48" s="2009"/>
    </row>
    <row r="49" spans="1:10" ht="15" customHeight="1" x14ac:dyDescent="0.2">
      <c r="A49" s="2035"/>
      <c r="B49" s="1911"/>
      <c r="C49" s="342" t="str">
        <f>F!C59</f>
        <v>5-25% of the ground cover.</v>
      </c>
      <c r="D49" s="359">
        <f>F!D59</f>
        <v>0</v>
      </c>
      <c r="E49" s="377">
        <v>3</v>
      </c>
      <c r="F49" s="377">
        <f>D49*E49</f>
        <v>0</v>
      </c>
      <c r="G49" s="257"/>
      <c r="H49" s="1911"/>
      <c r="I49" s="2009"/>
    </row>
    <row r="50" spans="1:10" ht="15" customHeight="1" x14ac:dyDescent="0.2">
      <c r="A50" s="2035"/>
      <c r="B50" s="1911"/>
      <c r="C50" s="342" t="str">
        <f>F!C60</f>
        <v>25-50% of the ground cover.</v>
      </c>
      <c r="D50" s="359">
        <f>F!D60</f>
        <v>0</v>
      </c>
      <c r="E50" s="377">
        <v>2</v>
      </c>
      <c r="F50" s="377">
        <f>D50*E50</f>
        <v>0</v>
      </c>
      <c r="G50" s="257"/>
      <c r="H50" s="1911"/>
      <c r="I50" s="2009"/>
    </row>
    <row r="51" spans="1:10" ht="15" customHeight="1" x14ac:dyDescent="0.2">
      <c r="A51" s="2035"/>
      <c r="B51" s="1911"/>
      <c r="C51" s="342" t="str">
        <f>F!C61</f>
        <v>50-95% of the ground cover.</v>
      </c>
      <c r="D51" s="359">
        <f>F!D61</f>
        <v>0</v>
      </c>
      <c r="E51" s="377">
        <v>1</v>
      </c>
      <c r="F51" s="377">
        <f>D51*E51</f>
        <v>0</v>
      </c>
      <c r="G51" s="257"/>
      <c r="H51" s="1911"/>
      <c r="I51" s="2009"/>
    </row>
    <row r="52" spans="1:10" ht="15" customHeight="1" thickBot="1" x14ac:dyDescent="0.25">
      <c r="A52" s="2037"/>
      <c r="B52" s="1978"/>
      <c r="C52" s="340" t="str">
        <f>F!C62</f>
        <v>&gt;95% of the ground cover.</v>
      </c>
      <c r="D52" s="81">
        <f>F!D62</f>
        <v>0</v>
      </c>
      <c r="E52" s="244">
        <v>0</v>
      </c>
      <c r="F52" s="244">
        <f>D52*E52</f>
        <v>0</v>
      </c>
      <c r="G52" s="258"/>
      <c r="H52" s="1978"/>
      <c r="I52" s="2010"/>
    </row>
    <row r="53" spans="1:10" ht="60" customHeight="1" thickBot="1" x14ac:dyDescent="0.25">
      <c r="A53" s="2075" t="str">
        <f>F!A69</f>
        <v>F12</v>
      </c>
      <c r="B53" s="1911" t="str">
        <f>F!B69</f>
        <v>Ground Irregularity</v>
      </c>
      <c r="C53" s="877"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53" s="437"/>
      <c r="E53" s="239"/>
      <c r="F53" s="259"/>
      <c r="G53" s="219">
        <f>MAX(F54:F56)/MAX(E54:E56)</f>
        <v>0</v>
      </c>
      <c r="H53" s="1867" t="s">
        <v>97</v>
      </c>
      <c r="I53" s="2133" t="s">
        <v>48</v>
      </c>
    </row>
    <row r="54" spans="1:10" ht="25.5" x14ac:dyDescent="0.2">
      <c r="A54" s="2075"/>
      <c r="B54" s="1911"/>
      <c r="C54" s="426" t="str">
        <f>F!C70</f>
        <v xml:space="preserve">Few or none (minimal microtopography; &lt;1% of the land has such features, or entire site is always water-covered). </v>
      </c>
      <c r="D54" s="91">
        <f>F!D70</f>
        <v>0</v>
      </c>
      <c r="E54" s="241">
        <v>0</v>
      </c>
      <c r="F54" s="241">
        <f>D54*E54</f>
        <v>0</v>
      </c>
      <c r="G54" s="202"/>
      <c r="H54" s="1911"/>
      <c r="I54" s="2133"/>
    </row>
    <row r="55" spans="1:10" ht="15" customHeight="1" x14ac:dyDescent="0.2">
      <c r="A55" s="2075"/>
      <c r="B55" s="1911"/>
      <c r="C55" s="362" t="str">
        <f>F!C71</f>
        <v>Intermediate.</v>
      </c>
      <c r="D55" s="91">
        <f>F!D71</f>
        <v>0</v>
      </c>
      <c r="E55" s="241">
        <v>1</v>
      </c>
      <c r="F55" s="241">
        <f>D55*E55</f>
        <v>0</v>
      </c>
      <c r="G55" s="257"/>
      <c r="H55" s="1911"/>
      <c r="I55" s="2133"/>
    </row>
    <row r="56" spans="1:10" ht="15" customHeight="1" thickBot="1" x14ac:dyDescent="0.25">
      <c r="A56" s="2075"/>
      <c r="B56" s="1911"/>
      <c r="C56" s="361" t="str">
        <f>F!C72</f>
        <v>Several (extensive micro-topography).</v>
      </c>
      <c r="D56" s="370">
        <f>F!D72</f>
        <v>0</v>
      </c>
      <c r="E56" s="380">
        <v>2</v>
      </c>
      <c r="F56" s="380">
        <f>D56*E56</f>
        <v>0</v>
      </c>
      <c r="G56" s="433"/>
      <c r="H56" s="1978"/>
      <c r="I56" s="2133"/>
    </row>
    <row r="57" spans="1:10" ht="39" thickBot="1" x14ac:dyDescent="0.25">
      <c r="A57" s="1979" t="str">
        <f>F!A107</f>
        <v>F19</v>
      </c>
      <c r="B57" s="1984" t="str">
        <f>F!B107</f>
        <v xml:space="preserve">Dominance of Most Abundant Herbaceous Species </v>
      </c>
      <c r="C57" s="452" t="str">
        <f>F!C107</f>
        <v>Determine which two native herbaceous (forb and graminoid) species comprise the greatest portion of the herbaceous cover that is unshaded by a woody canopy.  Then choose one of the following:</v>
      </c>
      <c r="D57" s="372"/>
      <c r="E57" s="376"/>
      <c r="F57" s="262"/>
      <c r="G57" s="225">
        <f>IF((NoHerbCov=1),"", MAX(F58:F59)/MAX(E58:E59))</f>
        <v>0</v>
      </c>
      <c r="H57" s="1867" t="s">
        <v>481</v>
      </c>
      <c r="I57" s="2008" t="s">
        <v>1174</v>
      </c>
    </row>
    <row r="58" spans="1:10" ht="27" customHeight="1" x14ac:dyDescent="0.2">
      <c r="A58" s="1980"/>
      <c r="B58" s="1985"/>
      <c r="C58" s="480" t="str">
        <f>F!C108</f>
        <v>those species together comprise &gt; 50% of the areal cover of native herbaceous plants at any time during the year.</v>
      </c>
      <c r="D58" s="382">
        <f>F!D108</f>
        <v>0</v>
      </c>
      <c r="E58" s="377">
        <v>0</v>
      </c>
      <c r="F58" s="380">
        <f>D58*E58</f>
        <v>0</v>
      </c>
      <c r="G58" s="202"/>
      <c r="H58" s="1911"/>
      <c r="I58" s="2009"/>
    </row>
    <row r="59" spans="1:10" ht="27" customHeight="1" thickBot="1" x14ac:dyDescent="0.25">
      <c r="A59" s="2021"/>
      <c r="B59" s="2005"/>
      <c r="C59" s="449" t="str">
        <f>F!C109</f>
        <v>those species together do not comprise &gt; 50% of the areal cover of native herbaceous plants at any time during the year.</v>
      </c>
      <c r="D59" s="191">
        <f>F!D109</f>
        <v>0</v>
      </c>
      <c r="E59" s="244">
        <v>1</v>
      </c>
      <c r="F59" s="244">
        <f>D59*E59</f>
        <v>0</v>
      </c>
      <c r="G59" s="258"/>
      <c r="H59" s="1978"/>
      <c r="I59" s="2010"/>
    </row>
    <row r="60" spans="1:10" s="6" customFormat="1" ht="39" customHeight="1" thickBot="1" x14ac:dyDescent="0.25">
      <c r="A60" s="2075" t="str">
        <f>F!A121</f>
        <v>F22</v>
      </c>
      <c r="B60" s="1911" t="str">
        <f>F!B121</f>
        <v>% Never With Surface Water</v>
      </c>
      <c r="C60" s="1397" t="str">
        <f>F!C121</f>
        <v>The percentage of the AA that never contains surface water during an average year (that is, except perhaps for a few hours after snowmelt or rainstorms), but which is still a wetland, is:</v>
      </c>
      <c r="D60" s="736"/>
      <c r="E60" s="736"/>
      <c r="F60" s="239"/>
      <c r="G60" s="231">
        <f>MAX(F61:F65)/MAX(E61:E65)</f>
        <v>0</v>
      </c>
      <c r="H60" s="1911" t="s">
        <v>284</v>
      </c>
      <c r="I60" s="2009" t="s">
        <v>470</v>
      </c>
      <c r="J60" s="149"/>
    </row>
    <row r="61" spans="1:10" s="6" customFormat="1" ht="38.25" x14ac:dyDescent="0.2">
      <c r="A61" s="2075"/>
      <c r="B61" s="1911"/>
      <c r="C61" s="476" t="str">
        <f>F!C122</f>
        <v>&lt;0.01 hectare (about 10 m on a side) and &lt;1% of the AA never has surface water.  In other words, all or nearly all of the AA is covered by water permanently or at least seasonally.</v>
      </c>
      <c r="D61" s="189">
        <f>F!D122</f>
        <v>0</v>
      </c>
      <c r="E61" s="241">
        <v>5</v>
      </c>
      <c r="F61" s="241">
        <f>D61*E61</f>
        <v>0</v>
      </c>
      <c r="G61" s="265"/>
      <c r="H61" s="1911"/>
      <c r="I61" s="2009"/>
      <c r="J61" s="149"/>
    </row>
    <row r="62" spans="1:10" s="6" customFormat="1" ht="15" customHeight="1" x14ac:dyDescent="0.2">
      <c r="A62" s="2075"/>
      <c r="B62" s="1911"/>
      <c r="C62" s="476" t="str">
        <f>F!C123</f>
        <v>1-25% of the AA never contains surface water.</v>
      </c>
      <c r="D62" s="189">
        <f>F!D123</f>
        <v>0</v>
      </c>
      <c r="E62" s="241">
        <v>4</v>
      </c>
      <c r="F62" s="241">
        <f>D62*E62</f>
        <v>0</v>
      </c>
      <c r="G62" s="265"/>
      <c r="H62" s="1911"/>
      <c r="I62" s="2009"/>
      <c r="J62" s="149"/>
    </row>
    <row r="63" spans="1:10" s="6" customFormat="1" ht="15" customHeight="1" x14ac:dyDescent="0.2">
      <c r="A63" s="2075"/>
      <c r="B63" s="1911"/>
      <c r="C63" s="476" t="str">
        <f>F!C124</f>
        <v>25-50% of the AA never contains surface water.</v>
      </c>
      <c r="D63" s="189">
        <f>F!D124</f>
        <v>0</v>
      </c>
      <c r="E63" s="241">
        <v>3</v>
      </c>
      <c r="F63" s="241">
        <f>D63*E63</f>
        <v>0</v>
      </c>
      <c r="G63" s="265"/>
      <c r="H63" s="1911"/>
      <c r="I63" s="2009"/>
      <c r="J63" s="149"/>
    </row>
    <row r="64" spans="1:10" s="6" customFormat="1" ht="15" customHeight="1" x14ac:dyDescent="0.2">
      <c r="A64" s="2075"/>
      <c r="B64" s="1911"/>
      <c r="C64" s="476" t="str">
        <f>F!C125</f>
        <v>50-99% of the AA never contains surface water.</v>
      </c>
      <c r="D64" s="189">
        <f>F!D125</f>
        <v>0</v>
      </c>
      <c r="E64" s="241">
        <v>2</v>
      </c>
      <c r="F64" s="241">
        <f>D64*E64</f>
        <v>0</v>
      </c>
      <c r="G64" s="265"/>
      <c r="H64" s="1911"/>
      <c r="I64" s="2009"/>
      <c r="J64" s="149"/>
    </row>
    <row r="65" spans="1:10" s="6" customFormat="1" ht="39" customHeight="1" thickBot="1" x14ac:dyDescent="0.25">
      <c r="A65" s="2075"/>
      <c r="B65" s="1911"/>
      <c r="C65" s="476" t="str">
        <f>F!C126</f>
        <v>&gt;99% of the AA never contains surface water, except perhaps for water flowing in channels and/or in pools that occupy &lt;1% of the AA. SKIP to F48 (Channel Connection &amp; Outflow Duration).</v>
      </c>
      <c r="D65" s="189">
        <f>F!D126</f>
        <v>0</v>
      </c>
      <c r="E65" s="241">
        <v>1</v>
      </c>
      <c r="F65" s="241">
        <f>D65*E65</f>
        <v>0</v>
      </c>
      <c r="G65" s="265"/>
      <c r="H65" s="1911"/>
      <c r="I65" s="2009"/>
      <c r="J65" s="149"/>
    </row>
    <row r="66" spans="1:10" s="5" customFormat="1" ht="27" customHeight="1" thickBot="1" x14ac:dyDescent="0.25">
      <c r="A66" s="1992" t="str">
        <f>F!A127</f>
        <v>F23</v>
      </c>
      <c r="B66" s="1867" t="str">
        <f>F!B127</f>
        <v>% with Persistent Surface Water</v>
      </c>
      <c r="C66" s="352" t="str">
        <f>F!C127</f>
        <v>The percentage of the AA that has surface water (either ponded or flowing, either open or obscured by vegetation) during all of the growing season during most years is:</v>
      </c>
      <c r="D66" s="282"/>
      <c r="E66" s="376"/>
      <c r="F66" s="262"/>
      <c r="G66" s="225">
        <f>IF((AllSat1&gt;0),"",MAX(F67:F72)/MAX(E67:E72))</f>
        <v>0</v>
      </c>
      <c r="H66" s="2000" t="s">
        <v>91</v>
      </c>
      <c r="I66" s="2132" t="s">
        <v>1165</v>
      </c>
      <c r="J66" s="130"/>
    </row>
    <row r="67" spans="1:10" ht="25.5" customHeight="1" x14ac:dyDescent="0.2">
      <c r="A67" s="1991"/>
      <c r="B67" s="1911"/>
      <c r="C67" s="338" t="str">
        <f>F!C128</f>
        <v>&lt;0.01 hectare and &lt;1% of the AA.  SKIP to F27 (% Flooded Only Seasonally).</v>
      </c>
      <c r="D67" s="370">
        <f>F!D128</f>
        <v>0</v>
      </c>
      <c r="E67" s="381">
        <v>0</v>
      </c>
      <c r="F67" s="377">
        <f t="shared" ref="F67:F72" si="1">D67*E67</f>
        <v>0</v>
      </c>
      <c r="G67" s="202"/>
      <c r="H67" s="1989"/>
      <c r="I67" s="2133"/>
    </row>
    <row r="68" spans="1:10" ht="15" customHeight="1" x14ac:dyDescent="0.2">
      <c r="A68" s="1991"/>
      <c r="B68" s="1911"/>
      <c r="C68" s="533" t="str">
        <f>F!C129</f>
        <v>1-5% of the AA.</v>
      </c>
      <c r="D68" s="370">
        <f>F!D129</f>
        <v>0</v>
      </c>
      <c r="E68" s="377">
        <v>1</v>
      </c>
      <c r="F68" s="377">
        <f t="shared" si="1"/>
        <v>0</v>
      </c>
      <c r="G68" s="257"/>
      <c r="H68" s="1989"/>
      <c r="I68" s="2133"/>
    </row>
    <row r="69" spans="1:10" ht="15" customHeight="1" x14ac:dyDescent="0.2">
      <c r="A69" s="1991"/>
      <c r="B69" s="1911"/>
      <c r="C69" s="533" t="str">
        <f>F!C130</f>
        <v>5-25% of the AA.</v>
      </c>
      <c r="D69" s="370">
        <f>F!D130</f>
        <v>0</v>
      </c>
      <c r="E69" s="377">
        <v>2</v>
      </c>
      <c r="F69" s="377">
        <f t="shared" si="1"/>
        <v>0</v>
      </c>
      <c r="G69" s="257"/>
      <c r="H69" s="1989"/>
      <c r="I69" s="2133"/>
    </row>
    <row r="70" spans="1:10" ht="15" customHeight="1" x14ac:dyDescent="0.2">
      <c r="A70" s="1991"/>
      <c r="B70" s="1911"/>
      <c r="C70" s="533" t="str">
        <f>F!C131</f>
        <v>25-50% of the AA.</v>
      </c>
      <c r="D70" s="370">
        <f>F!D131</f>
        <v>0</v>
      </c>
      <c r="E70" s="377">
        <v>2</v>
      </c>
      <c r="F70" s="377">
        <f t="shared" si="1"/>
        <v>0</v>
      </c>
      <c r="G70" s="257"/>
      <c r="H70" s="1989"/>
      <c r="I70" s="2133"/>
    </row>
    <row r="71" spans="1:10" ht="15" customHeight="1" x14ac:dyDescent="0.2">
      <c r="A71" s="1991"/>
      <c r="B71" s="1911"/>
      <c r="C71" s="533" t="str">
        <f>F!C132</f>
        <v>50-95% of the AA.</v>
      </c>
      <c r="D71" s="370">
        <f>F!D132</f>
        <v>0</v>
      </c>
      <c r="E71" s="377">
        <v>3</v>
      </c>
      <c r="F71" s="377">
        <f t="shared" si="1"/>
        <v>0</v>
      </c>
      <c r="G71" s="257"/>
      <c r="H71" s="1989"/>
      <c r="I71" s="2133"/>
    </row>
    <row r="72" spans="1:10" ht="15" customHeight="1" thickBot="1" x14ac:dyDescent="0.25">
      <c r="A72" s="1993"/>
      <c r="B72" s="1978"/>
      <c r="C72" s="445" t="str">
        <f>F!C133</f>
        <v>&gt;95% of the AA.</v>
      </c>
      <c r="D72" s="94">
        <f>F!D133</f>
        <v>0</v>
      </c>
      <c r="E72" s="272">
        <v>4</v>
      </c>
      <c r="F72" s="244">
        <f t="shared" si="1"/>
        <v>0</v>
      </c>
      <c r="G72" s="258"/>
      <c r="H72" s="1990"/>
      <c r="I72" s="2140"/>
    </row>
    <row r="73" spans="1:10" ht="33" customHeight="1" thickBot="1" x14ac:dyDescent="0.25">
      <c r="A73" s="2075" t="str">
        <f>F!A142</f>
        <v>F27</v>
      </c>
      <c r="B73" s="1911" t="str">
        <f>F!B142</f>
        <v>% Flooded Only Seasonally</v>
      </c>
      <c r="C73" s="1397" t="str">
        <f>F!C142</f>
        <v>The percentage of the AA that is covered by unfrozen surface water only during the wettest time of the year is:</v>
      </c>
      <c r="D73" s="437"/>
      <c r="E73" s="239"/>
      <c r="F73" s="259"/>
      <c r="G73" s="231">
        <f>IF((AllSat1&gt;0),"",MAX(F74:F78)/MAX(E74:E78))</f>
        <v>0</v>
      </c>
      <c r="H73" s="1867" t="s">
        <v>89</v>
      </c>
      <c r="I73" s="2133" t="s">
        <v>1166</v>
      </c>
    </row>
    <row r="74" spans="1:10" ht="15" customHeight="1" x14ac:dyDescent="0.2">
      <c r="A74" s="2075"/>
      <c r="B74" s="1911"/>
      <c r="C74" s="575" t="str">
        <f>F!C143</f>
        <v xml:space="preserve">None, or &lt;0.01 hectare and &lt;1% of the AA. </v>
      </c>
      <c r="D74" s="91">
        <f>F!D143</f>
        <v>0</v>
      </c>
      <c r="E74" s="241">
        <v>3</v>
      </c>
      <c r="F74" s="241">
        <f>D74*E74</f>
        <v>0</v>
      </c>
      <c r="G74" s="202"/>
      <c r="H74" s="1911"/>
      <c r="I74" s="2133"/>
    </row>
    <row r="75" spans="1:10" ht="15" customHeight="1" x14ac:dyDescent="0.2">
      <c r="A75" s="2075"/>
      <c r="B75" s="1911"/>
      <c r="C75" s="576" t="str">
        <f>F!C144</f>
        <v xml:space="preserve">1-25% </v>
      </c>
      <c r="D75" s="91">
        <f>F!D144</f>
        <v>0</v>
      </c>
      <c r="E75" s="241">
        <v>4</v>
      </c>
      <c r="F75" s="241">
        <f>D75*E75</f>
        <v>0</v>
      </c>
      <c r="G75" s="257"/>
      <c r="H75" s="1911"/>
      <c r="I75" s="2133"/>
    </row>
    <row r="76" spans="1:10" ht="15" customHeight="1" x14ac:dyDescent="0.2">
      <c r="A76" s="2075"/>
      <c r="B76" s="1911"/>
      <c r="C76" s="576" t="str">
        <f>F!C145</f>
        <v xml:space="preserve">25-50% </v>
      </c>
      <c r="D76" s="91">
        <f>F!D145</f>
        <v>0</v>
      </c>
      <c r="E76" s="241">
        <v>3</v>
      </c>
      <c r="F76" s="241">
        <f>D76*E76</f>
        <v>0</v>
      </c>
      <c r="G76" s="257"/>
      <c r="H76" s="1911"/>
      <c r="I76" s="2133"/>
    </row>
    <row r="77" spans="1:10" ht="15" customHeight="1" x14ac:dyDescent="0.2">
      <c r="A77" s="2075"/>
      <c r="B77" s="1911"/>
      <c r="C77" s="576" t="str">
        <f>F!C146</f>
        <v xml:space="preserve">50-95% </v>
      </c>
      <c r="D77" s="91">
        <f>F!D146</f>
        <v>0</v>
      </c>
      <c r="E77" s="241">
        <v>2</v>
      </c>
      <c r="F77" s="241">
        <f>D77*E77</f>
        <v>0</v>
      </c>
      <c r="G77" s="257"/>
      <c r="H77" s="1911"/>
      <c r="I77" s="2133"/>
    </row>
    <row r="78" spans="1:10" ht="30" customHeight="1" thickBot="1" x14ac:dyDescent="0.25">
      <c r="A78" s="2075"/>
      <c r="B78" s="1911"/>
      <c r="C78" s="533" t="str">
        <f>F!C147</f>
        <v xml:space="preserve">&gt;95% </v>
      </c>
      <c r="D78" s="370">
        <f>F!D147</f>
        <v>0</v>
      </c>
      <c r="E78" s="380">
        <v>1</v>
      </c>
      <c r="F78" s="380">
        <f>D78*E78</f>
        <v>0</v>
      </c>
      <c r="G78" s="433"/>
      <c r="H78" s="1978"/>
      <c r="I78" s="2133"/>
    </row>
    <row r="79" spans="1:10" ht="30" customHeight="1" thickBot="1" x14ac:dyDescent="0.25">
      <c r="A79" s="1992" t="str">
        <f>F!A148</f>
        <v>F28</v>
      </c>
      <c r="B79" s="1867" t="str">
        <f>F!B148</f>
        <v>Annual Water Fluctuation Range</v>
      </c>
      <c r="C79" s="90" t="str">
        <f>F!C148</f>
        <v>The annual fluctuation in surface water level within most of the parts of the AA that contain surface water is:</v>
      </c>
      <c r="D79" s="372"/>
      <c r="E79" s="376"/>
      <c r="F79" s="262"/>
      <c r="G79" s="232">
        <f>IF((AllSat1&gt;0),"",IF((NoSeasonal=1),"",MAX(F80:F84)/MAX(E80:E84)))</f>
        <v>0</v>
      </c>
      <c r="H79" s="1867" t="s">
        <v>739</v>
      </c>
      <c r="I79" s="2147" t="s">
        <v>2393</v>
      </c>
    </row>
    <row r="80" spans="1:10" ht="15" customHeight="1" x14ac:dyDescent="0.2">
      <c r="A80" s="1991"/>
      <c r="B80" s="1911"/>
      <c r="C80" s="426" t="str">
        <f>F!C149</f>
        <v xml:space="preserve">&lt;10 cm change (stable or nearly so) </v>
      </c>
      <c r="D80" s="359">
        <f>F!D149</f>
        <v>0</v>
      </c>
      <c r="E80" s="377">
        <v>1</v>
      </c>
      <c r="F80" s="377">
        <f>D80*E80</f>
        <v>0</v>
      </c>
      <c r="G80" s="202"/>
      <c r="H80" s="1911"/>
      <c r="I80" s="2148"/>
    </row>
    <row r="81" spans="1:9" ht="15" customHeight="1" x14ac:dyDescent="0.2">
      <c r="A81" s="1991"/>
      <c r="B81" s="1911"/>
      <c r="C81" s="362" t="str">
        <f>F!C150</f>
        <v>10 cm - 50 cm change</v>
      </c>
      <c r="D81" s="354">
        <f>F!D150</f>
        <v>0</v>
      </c>
      <c r="E81" s="377">
        <v>4</v>
      </c>
      <c r="F81" s="377">
        <f>D81*E81</f>
        <v>0</v>
      </c>
      <c r="G81" s="257"/>
      <c r="H81" s="1911"/>
      <c r="I81" s="2148"/>
    </row>
    <row r="82" spans="1:9" ht="15" customHeight="1" x14ac:dyDescent="0.2">
      <c r="A82" s="1991"/>
      <c r="B82" s="1911"/>
      <c r="C82" s="362" t="str">
        <f>F!C151</f>
        <v>0.5 - 1 m change</v>
      </c>
      <c r="D82" s="354">
        <f>F!D151</f>
        <v>0</v>
      </c>
      <c r="E82" s="722">
        <v>3</v>
      </c>
      <c r="F82" s="722">
        <f>D82*E82</f>
        <v>0</v>
      </c>
      <c r="G82" s="775"/>
      <c r="H82" s="1911"/>
      <c r="I82" s="2148"/>
    </row>
    <row r="83" spans="1:9" ht="15" customHeight="1" x14ac:dyDescent="0.2">
      <c r="A83" s="1991"/>
      <c r="B83" s="1911"/>
      <c r="C83" s="362" t="str">
        <f>F!C152</f>
        <v>1-2 m change</v>
      </c>
      <c r="D83" s="359">
        <f>F!D152</f>
        <v>0</v>
      </c>
      <c r="E83" s="377">
        <v>2</v>
      </c>
      <c r="F83" s="377">
        <f>D83*E83</f>
        <v>0</v>
      </c>
      <c r="G83" s="257"/>
      <c r="H83" s="1911"/>
      <c r="I83" s="2148"/>
    </row>
    <row r="84" spans="1:9" ht="15" customHeight="1" thickBot="1" x14ac:dyDescent="0.25">
      <c r="A84" s="1993"/>
      <c r="B84" s="1978"/>
      <c r="C84" s="82" t="str">
        <f>F!C153</f>
        <v>&gt;2 m change</v>
      </c>
      <c r="D84" s="81">
        <f>F!D153</f>
        <v>0</v>
      </c>
      <c r="E84" s="244">
        <v>1</v>
      </c>
      <c r="F84" s="244">
        <f>D84*E84</f>
        <v>0</v>
      </c>
      <c r="G84" s="258"/>
      <c r="H84" s="1978"/>
      <c r="I84" s="2149"/>
    </row>
    <row r="85" spans="1:9" ht="51.75" thickBot="1" x14ac:dyDescent="0.25">
      <c r="A85" s="2075" t="str">
        <f>F!A155</f>
        <v>F29</v>
      </c>
      <c r="B85" s="1911" t="str">
        <f>F!B155</f>
        <v>Predominant Depth Class</v>
      </c>
      <c r="C85" s="877"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85" s="437"/>
      <c r="E85" s="239"/>
      <c r="F85" s="259"/>
      <c r="G85" s="231">
        <f>IF((AllSat1&gt;0),"", IF((SmallAA=1),"", MAX(F86:F90)/MAX(E86:E90)))</f>
        <v>0</v>
      </c>
      <c r="H85" s="1867" t="s">
        <v>92</v>
      </c>
      <c r="I85" s="2133" t="s">
        <v>1167</v>
      </c>
    </row>
    <row r="86" spans="1:9" ht="15" customHeight="1" x14ac:dyDescent="0.2">
      <c r="A86" s="2075"/>
      <c r="B86" s="1911"/>
      <c r="C86" s="426" t="str">
        <f>F!C156</f>
        <v>&lt;10 cm deep (but &gt;0).</v>
      </c>
      <c r="D86" s="40">
        <f>F!D156</f>
        <v>0</v>
      </c>
      <c r="E86" s="241">
        <v>3</v>
      </c>
      <c r="F86" s="241">
        <f>D86*E86</f>
        <v>0</v>
      </c>
      <c r="G86" s="202"/>
      <c r="H86" s="1911"/>
      <c r="I86" s="2133"/>
    </row>
    <row r="87" spans="1:9" ht="15" customHeight="1" x14ac:dyDescent="0.2">
      <c r="A87" s="2075"/>
      <c r="B87" s="1911"/>
      <c r="C87" s="362" t="str">
        <f>F!C157</f>
        <v>10 - 50 cm deep.</v>
      </c>
      <c r="D87" s="91">
        <f>F!D157</f>
        <v>0</v>
      </c>
      <c r="E87" s="241">
        <v>5</v>
      </c>
      <c r="F87" s="241">
        <f>D87*E87</f>
        <v>0</v>
      </c>
      <c r="G87" s="257"/>
      <c r="H87" s="1911"/>
      <c r="I87" s="2133"/>
    </row>
    <row r="88" spans="1:9" ht="15" customHeight="1" x14ac:dyDescent="0.2">
      <c r="A88" s="2075"/>
      <c r="B88" s="1911"/>
      <c r="C88" s="362" t="str">
        <f>F!C158</f>
        <v>0.5 - 1 m deep.</v>
      </c>
      <c r="D88" s="40">
        <f>F!D158</f>
        <v>0</v>
      </c>
      <c r="E88" s="241">
        <v>4</v>
      </c>
      <c r="F88" s="241">
        <f>D88*E88</f>
        <v>0</v>
      </c>
      <c r="G88" s="257"/>
      <c r="H88" s="1911"/>
      <c r="I88" s="2133"/>
    </row>
    <row r="89" spans="1:9" ht="15" customHeight="1" x14ac:dyDescent="0.2">
      <c r="A89" s="2075"/>
      <c r="B89" s="1911"/>
      <c r="C89" s="362" t="str">
        <f>F!C159</f>
        <v>1 - 2 m deep.</v>
      </c>
      <c r="D89" s="40">
        <f>F!D159</f>
        <v>0</v>
      </c>
      <c r="E89" s="241">
        <v>2</v>
      </c>
      <c r="F89" s="241">
        <f>D89*E89</f>
        <v>0</v>
      </c>
      <c r="G89" s="257"/>
      <c r="H89" s="1911"/>
      <c r="I89" s="2133"/>
    </row>
    <row r="90" spans="1:9" ht="15" customHeight="1" thickBot="1" x14ac:dyDescent="0.25">
      <c r="A90" s="2075"/>
      <c r="B90" s="1911"/>
      <c r="C90" s="361" t="str">
        <f>F!C160</f>
        <v>&gt;2 m deep.  True for many fringe wetlands.</v>
      </c>
      <c r="D90" s="356">
        <f>F!D160</f>
        <v>0</v>
      </c>
      <c r="E90" s="380">
        <v>1</v>
      </c>
      <c r="F90" s="380">
        <f>D90*E90</f>
        <v>0</v>
      </c>
      <c r="G90" s="433"/>
      <c r="H90" s="1978"/>
      <c r="I90" s="2133"/>
    </row>
    <row r="91" spans="1:9" ht="31.15" customHeight="1" thickBot="1" x14ac:dyDescent="0.25">
      <c r="A91" s="2078" t="str">
        <f>F!A161</f>
        <v>F30</v>
      </c>
      <c r="B91" s="2080" t="str">
        <f>F!B161</f>
        <v>Depth Classes - Evenness of Proportions</v>
      </c>
      <c r="C91" s="471" t="str">
        <f>F!C161</f>
        <v>Within the area described above, and during most of the time when surface water is present, it usually is comprised of: (select one):</v>
      </c>
      <c r="D91" s="282"/>
      <c r="E91" s="376"/>
      <c r="F91" s="262"/>
      <c r="G91" s="225">
        <f>IF((AllSat1&gt;0),"", IF((SmallAA=1),"", MAX(F92:F94)/MAX(E92:E94)))</f>
        <v>0</v>
      </c>
      <c r="H91" s="1867" t="s">
        <v>480</v>
      </c>
      <c r="I91" s="2152" t="s">
        <v>1168</v>
      </c>
    </row>
    <row r="92" spans="1:9" ht="25.5" x14ac:dyDescent="0.2">
      <c r="A92" s="2039"/>
      <c r="B92" s="2081"/>
      <c r="C92" s="477" t="str">
        <f>F!C162</f>
        <v>One depth class covering &gt;90% of the AA’s inundated area (use the classes in the question above).</v>
      </c>
      <c r="D92" s="431">
        <f>F!D162</f>
        <v>0</v>
      </c>
      <c r="E92" s="377">
        <v>0</v>
      </c>
      <c r="F92" s="377">
        <f>D92*E92</f>
        <v>0</v>
      </c>
      <c r="G92" s="202"/>
      <c r="H92" s="1911"/>
      <c r="I92" s="2153"/>
    </row>
    <row r="93" spans="1:9" ht="15" customHeight="1" x14ac:dyDescent="0.2">
      <c r="A93" s="2039"/>
      <c r="B93" s="2081"/>
      <c r="C93" s="314" t="str">
        <f>F!C163</f>
        <v>One depth class covering 51-90% of the AA's inundated area.</v>
      </c>
      <c r="D93" s="431">
        <f>F!D163</f>
        <v>0</v>
      </c>
      <c r="E93" s="377">
        <v>1</v>
      </c>
      <c r="F93" s="377">
        <f>D93*E93</f>
        <v>0</v>
      </c>
      <c r="G93" s="257"/>
      <c r="H93" s="1911"/>
      <c r="I93" s="2153"/>
    </row>
    <row r="94" spans="1:9" ht="15" customHeight="1" thickBot="1" x14ac:dyDescent="0.25">
      <c r="A94" s="2079"/>
      <c r="B94" s="2082"/>
      <c r="C94" s="315" t="str">
        <f>F!C164</f>
        <v>Multiple depth classes and none occupy more than 50% of the AA.</v>
      </c>
      <c r="D94" s="102">
        <f>F!D164</f>
        <v>0</v>
      </c>
      <c r="E94" s="244">
        <v>2</v>
      </c>
      <c r="F94" s="244">
        <f>D94*E94</f>
        <v>0</v>
      </c>
      <c r="G94" s="258"/>
      <c r="H94" s="1978"/>
      <c r="I94" s="2154"/>
    </row>
    <row r="95" spans="1:9" ht="39" thickBot="1" x14ac:dyDescent="0.25">
      <c r="A95" s="1979" t="str">
        <f>F!A173</f>
        <v>F33</v>
      </c>
      <c r="B95" s="1984" t="str">
        <f>F!B173</f>
        <v xml:space="preserve">% of Ponded Water That Is Open </v>
      </c>
      <c r="C95" s="450" t="str">
        <f>F!C173</f>
        <v>In ducks-eye aerial view, the percentage of the ponded water that is open (lacking emergent vegetation during most of the growing season, and unhidden by a forest or shrub canopy) is:</v>
      </c>
      <c r="D95" s="372"/>
      <c r="E95" s="376"/>
      <c r="F95" s="262"/>
      <c r="G95" s="225">
        <f>IF((AllSat1&gt;0),"",IF((NoPonded=1),"", IF((SmallAA=1),"", MAX(F96:F101)/MAX(E96:E101))))</f>
        <v>0</v>
      </c>
      <c r="H95" s="1867" t="s">
        <v>801</v>
      </c>
      <c r="I95" s="2132" t="s">
        <v>1169</v>
      </c>
    </row>
    <row r="96" spans="1:9" ht="27" customHeight="1" x14ac:dyDescent="0.2">
      <c r="A96" s="1980"/>
      <c r="B96" s="1985"/>
      <c r="C96" s="451" t="str">
        <f>F!C174</f>
        <v>None, or &lt;1% of the AA and largest pool occupies &lt;0.01 hectares.  Enter "1" and SKIP to F41 (Floating Algae &amp; Duckweed).</v>
      </c>
      <c r="D96" s="382">
        <f>F!D174</f>
        <v>0</v>
      </c>
      <c r="E96" s="377">
        <v>1</v>
      </c>
      <c r="F96" s="377">
        <f t="shared" ref="F96:F101" si="2">D96*E96</f>
        <v>0</v>
      </c>
      <c r="G96" s="202"/>
      <c r="H96" s="1911"/>
      <c r="I96" s="2133"/>
    </row>
    <row r="97" spans="1:9" ht="15" customHeight="1" x14ac:dyDescent="0.2">
      <c r="A97" s="1980"/>
      <c r="B97" s="1985"/>
      <c r="C97" s="364" t="str">
        <f>F!C175</f>
        <v>1-5% of the ponded water.  Enter "1" and SKIP to F41.</v>
      </c>
      <c r="D97" s="382">
        <f>F!D175</f>
        <v>0</v>
      </c>
      <c r="E97" s="377">
        <v>3</v>
      </c>
      <c r="F97" s="377">
        <f t="shared" si="2"/>
        <v>0</v>
      </c>
      <c r="G97" s="257"/>
      <c r="H97" s="1911"/>
      <c r="I97" s="2133"/>
    </row>
    <row r="98" spans="1:9" ht="15" customHeight="1" x14ac:dyDescent="0.2">
      <c r="A98" s="1980"/>
      <c r="B98" s="1985"/>
      <c r="C98" s="364" t="str">
        <f>F!C176</f>
        <v>5-30% of the ponded water.</v>
      </c>
      <c r="D98" s="382">
        <f>F!D176</f>
        <v>0</v>
      </c>
      <c r="E98" s="377">
        <v>4</v>
      </c>
      <c r="F98" s="377">
        <f t="shared" si="2"/>
        <v>0</v>
      </c>
      <c r="G98" s="257"/>
      <c r="H98" s="1911"/>
      <c r="I98" s="2133"/>
    </row>
    <row r="99" spans="1:9" ht="15" customHeight="1" x14ac:dyDescent="0.2">
      <c r="A99" s="1980"/>
      <c r="B99" s="1985"/>
      <c r="C99" s="364" t="str">
        <f>F!C177</f>
        <v>30-70% of the ponded water.</v>
      </c>
      <c r="D99" s="382">
        <f>F!D177</f>
        <v>0</v>
      </c>
      <c r="E99" s="377">
        <v>6</v>
      </c>
      <c r="F99" s="377">
        <f t="shared" si="2"/>
        <v>0</v>
      </c>
      <c r="G99" s="257"/>
      <c r="H99" s="1911"/>
      <c r="I99" s="2133"/>
    </row>
    <row r="100" spans="1:9" ht="15" customHeight="1" x14ac:dyDescent="0.2">
      <c r="A100" s="1980"/>
      <c r="B100" s="1985"/>
      <c r="C100" s="364" t="str">
        <f>F!C178</f>
        <v>70-99% of the ponded water.</v>
      </c>
      <c r="D100" s="382">
        <f>F!D178</f>
        <v>0</v>
      </c>
      <c r="E100" s="377">
        <v>2</v>
      </c>
      <c r="F100" s="377">
        <f t="shared" si="2"/>
        <v>0</v>
      </c>
      <c r="G100" s="433"/>
      <c r="H100" s="1911"/>
      <c r="I100" s="2133"/>
    </row>
    <row r="101" spans="1:9" ht="15" customHeight="1" thickBot="1" x14ac:dyDescent="0.25">
      <c r="A101" s="2021"/>
      <c r="B101" s="2005"/>
      <c r="C101" s="478" t="str">
        <f>F!C179</f>
        <v xml:space="preserve">100% of the ponded water. </v>
      </c>
      <c r="D101" s="191">
        <f>F!D179</f>
        <v>0</v>
      </c>
      <c r="E101" s="244">
        <v>0</v>
      </c>
      <c r="F101" s="244">
        <f t="shared" si="2"/>
        <v>0</v>
      </c>
      <c r="G101" s="258"/>
      <c r="H101" s="1978"/>
      <c r="I101" s="2140"/>
    </row>
    <row r="102" spans="1:9" ht="30" customHeight="1" thickBot="1" x14ac:dyDescent="0.25">
      <c r="A102" s="2075" t="str">
        <f>F!A199</f>
        <v>F37</v>
      </c>
      <c r="B102" s="1911" t="str">
        <f>F!B199</f>
        <v>Interspersion of Robust Emergents &amp; Open Water</v>
      </c>
      <c r="C102" s="1397" t="str">
        <f>F!C199</f>
        <v>During most of the part of the growing season when water is present, the spatial pattern of robust herbaceous vegetation (e.g., cattail, tall bulrush, buckbean) is mostly:</v>
      </c>
      <c r="D102" s="437"/>
      <c r="E102" s="239"/>
      <c r="F102" s="259"/>
      <c r="G102" s="219">
        <f>IF((AllSat1&gt;0),"",IF((NoPonded=1),"",IF((NoOpenPonded+NoOpenPonded1&gt;0),"",IF((AllOpenPond=1),"", IF((SmallAA=1),"", MAX(F103:F105)/MAX(E103:E105))))))</f>
        <v>0</v>
      </c>
      <c r="H102" s="1911" t="s">
        <v>93</v>
      </c>
      <c r="I102" s="2009" t="s">
        <v>1170</v>
      </c>
    </row>
    <row r="103" spans="1:9" ht="15" customHeight="1" x14ac:dyDescent="0.2">
      <c r="A103" s="2075"/>
      <c r="B103" s="1911"/>
      <c r="C103" s="575" t="str">
        <f>F!C200</f>
        <v>Scattered.  More than 30% of such vegetation forms small islands or corridors surrounded by water.</v>
      </c>
      <c r="D103" s="180">
        <f>F!D200</f>
        <v>0</v>
      </c>
      <c r="E103" s="241">
        <v>2</v>
      </c>
      <c r="F103" s="241">
        <f>D103*E103</f>
        <v>0</v>
      </c>
      <c r="G103" s="265"/>
      <c r="H103" s="1911"/>
      <c r="I103" s="2009"/>
    </row>
    <row r="104" spans="1:9" ht="15" customHeight="1" x14ac:dyDescent="0.2">
      <c r="A104" s="2075"/>
      <c r="B104" s="1911"/>
      <c r="C104" s="576" t="str">
        <f>F!C201</f>
        <v>Intermediate.</v>
      </c>
      <c r="D104" s="91">
        <f>F!D201</f>
        <v>0</v>
      </c>
      <c r="E104" s="241">
        <v>1</v>
      </c>
      <c r="F104" s="241">
        <f>D104*E104</f>
        <v>0</v>
      </c>
      <c r="G104" s="265"/>
      <c r="H104" s="1911"/>
      <c r="I104" s="2009"/>
    </row>
    <row r="105" spans="1:9" ht="34.5" customHeight="1" thickBot="1" x14ac:dyDescent="0.25">
      <c r="A105" s="2075"/>
      <c r="B105" s="1911"/>
      <c r="C105" s="762" t="str">
        <f>F!C202</f>
        <v>Clumped. More than 70% of such vegetation is in bands along the wetland perimeter or is clumped at one or a few sides of the surface water area.</v>
      </c>
      <c r="D105" s="792">
        <f>F!D202</f>
        <v>0</v>
      </c>
      <c r="E105" s="380">
        <v>0</v>
      </c>
      <c r="F105" s="380">
        <f>D105*E105</f>
        <v>0</v>
      </c>
      <c r="G105" s="720"/>
      <c r="H105" s="1911"/>
      <c r="I105" s="2009"/>
    </row>
    <row r="106" spans="1:9" ht="45" customHeight="1" thickBot="1" x14ac:dyDescent="0.25">
      <c r="A106" s="1992" t="str">
        <f>F!A204</f>
        <v>F39</v>
      </c>
      <c r="B106" s="1867" t="str">
        <f>F!B204</f>
        <v>Non-vegetated Aquatic Cover</v>
      </c>
      <c r="C106" s="352" t="str">
        <f>F!C204</f>
        <v>During most of the growing season and in waters deeper than 0.5 m, the cover for fish, aquatic invertebrates, and/or amphibians that is provided NOT by living vegetation, but by accumulations of dead wood and undercut banks is:</v>
      </c>
      <c r="D106" s="372"/>
      <c r="E106" s="376"/>
      <c r="F106" s="376"/>
      <c r="G106" s="225" t="str">
        <f>IF((AllSat1&gt;0),"",IF((OpenW=0),"", IF((SmallAA=1),"", MAX(F107:F109)/MAX(E107:E109))))</f>
        <v/>
      </c>
      <c r="H106" s="1867" t="s">
        <v>90</v>
      </c>
      <c r="I106" s="2008" t="s">
        <v>1255</v>
      </c>
    </row>
    <row r="107" spans="1:9" ht="27" customHeight="1" x14ac:dyDescent="0.2">
      <c r="A107" s="1991"/>
      <c r="B107" s="1911"/>
      <c r="C107" s="575" t="str">
        <f>F!C205</f>
        <v>Little or none</v>
      </c>
      <c r="D107" s="354">
        <f>F!D205</f>
        <v>0</v>
      </c>
      <c r="E107" s="377">
        <v>0</v>
      </c>
      <c r="F107" s="377">
        <f>D107*E107</f>
        <v>0</v>
      </c>
      <c r="G107" s="257"/>
      <c r="H107" s="1911"/>
      <c r="I107" s="2009"/>
    </row>
    <row r="108" spans="1:9" ht="27" customHeight="1" x14ac:dyDescent="0.2">
      <c r="A108" s="1991"/>
      <c r="B108" s="1911"/>
      <c r="C108" s="576" t="str">
        <f>F!C206</f>
        <v>Intermediate</v>
      </c>
      <c r="D108" s="354">
        <f>F!D206</f>
        <v>0</v>
      </c>
      <c r="E108" s="377">
        <v>1</v>
      </c>
      <c r="F108" s="377">
        <f>D108*E108</f>
        <v>0</v>
      </c>
      <c r="G108" s="257"/>
      <c r="H108" s="1911"/>
      <c r="I108" s="2009"/>
    </row>
    <row r="109" spans="1:9" ht="34.5" customHeight="1" thickBot="1" x14ac:dyDescent="0.25">
      <c r="A109" s="1993"/>
      <c r="B109" s="1978"/>
      <c r="C109" s="445" t="str">
        <f>F!C207</f>
        <v>Extensive</v>
      </c>
      <c r="D109" s="94">
        <f>F!D207</f>
        <v>0</v>
      </c>
      <c r="E109" s="244">
        <v>2</v>
      </c>
      <c r="F109" s="244">
        <f>D109*E109</f>
        <v>0</v>
      </c>
      <c r="G109" s="258"/>
      <c r="H109" s="1978"/>
      <c r="I109" s="2010"/>
    </row>
    <row r="110" spans="1:9" ht="21" customHeight="1" thickBot="1" x14ac:dyDescent="0.25">
      <c r="A110" s="1979" t="str">
        <f>F!A211</f>
        <v>F43</v>
      </c>
      <c r="B110" s="1984" t="str">
        <f>F!B211</f>
        <v>pH Measurement</v>
      </c>
      <c r="C110" s="452" t="str">
        <f>F!C211</f>
        <v>The pH in most of the AA's surface water:</v>
      </c>
      <c r="D110" s="777"/>
      <c r="E110" s="376"/>
      <c r="F110" s="262"/>
      <c r="G110" s="358">
        <f>IF((AllSat1&gt;0),"",IF((SmallAA=1),"", IF((D111=1),"", IF((D114&lt;4),0,IF((D114&gt;5&lt;9),1,0.5)))))</f>
        <v>0</v>
      </c>
      <c r="H110" s="1867" t="s">
        <v>649</v>
      </c>
      <c r="I110" s="2120" t="s">
        <v>2171</v>
      </c>
    </row>
    <row r="111" spans="1:9" ht="27" customHeight="1" x14ac:dyDescent="0.2">
      <c r="A111" s="1980"/>
      <c r="B111" s="1985"/>
      <c r="C111" s="924" t="str">
        <f>F!C212</f>
        <v>was not measured because no surface water could be found during this visit. Enter "1" in column to the right.</v>
      </c>
      <c r="D111" s="763">
        <f>F!D212</f>
        <v>0</v>
      </c>
      <c r="E111" s="722"/>
      <c r="F111" s="380"/>
      <c r="G111" s="259"/>
      <c r="H111" s="1911"/>
      <c r="I111" s="1987"/>
    </row>
    <row r="112" spans="1:9" ht="17.25" customHeight="1" x14ac:dyDescent="0.2">
      <c r="A112" s="1980"/>
      <c r="B112" s="1985"/>
      <c r="C112" s="924" t="str">
        <f>F!C213</f>
        <v>was not measured, and surface water is tea-colored. Enter "1" in column to the right.</v>
      </c>
      <c r="D112" s="763">
        <f>F!D213</f>
        <v>0</v>
      </c>
      <c r="E112" s="722"/>
      <c r="F112" s="380"/>
      <c r="G112" s="857"/>
      <c r="H112" s="1911"/>
      <c r="I112" s="1987"/>
    </row>
    <row r="113" spans="1:9" ht="18.75" customHeight="1" x14ac:dyDescent="0.2">
      <c r="A113" s="1980"/>
      <c r="B113" s="1985"/>
      <c r="C113" s="924" t="str">
        <f>F!C214</f>
        <v>was not measured but surface water is NOT tea-colored. Enter "1" in column to the right.</v>
      </c>
      <c r="D113" s="763">
        <f>F!D214</f>
        <v>0</v>
      </c>
      <c r="E113" s="380"/>
      <c r="F113" s="380"/>
      <c r="G113" s="720"/>
      <c r="H113" s="1911"/>
      <c r="I113" s="1987"/>
    </row>
    <row r="114" spans="1:9" ht="15" customHeight="1" thickBot="1" x14ac:dyDescent="0.25">
      <c r="A114" s="2021"/>
      <c r="B114" s="2005"/>
      <c r="C114" s="449" t="str">
        <f>F!C215</f>
        <v>was measured, and is:  [enter the reading in the column to the right]:</v>
      </c>
      <c r="D114" s="793">
        <f>F!D215</f>
        <v>0</v>
      </c>
      <c r="E114" s="244"/>
      <c r="F114" s="244"/>
      <c r="G114" s="720"/>
      <c r="H114" s="1978"/>
      <c r="I114" s="1988"/>
    </row>
    <row r="115" spans="1:9" ht="21" customHeight="1" thickBot="1" x14ac:dyDescent="0.25">
      <c r="A115" s="1867" t="str">
        <f>F!A216</f>
        <v>F44</v>
      </c>
      <c r="B115" s="1992" t="str">
        <f>F!B216</f>
        <v>TDS and/or Conductivity</v>
      </c>
      <c r="C115" s="791" t="str">
        <f>F!C216</f>
        <v>The Total Dissolved Solids (TDS) and/or Conductivity in most of the AA's surface water:</v>
      </c>
      <c r="D115" s="777"/>
      <c r="E115" s="256"/>
      <c r="F115" s="256"/>
      <c r="G115" s="784" t="str">
        <f>IF((D116=1),"",IF((D119+D120=0),"", IF((D117=1),0,MAX(G119,G120))))</f>
        <v/>
      </c>
      <c r="H115" s="2011" t="s">
        <v>1725</v>
      </c>
      <c r="I115" s="2008" t="s">
        <v>2394</v>
      </c>
    </row>
    <row r="116" spans="1:9" ht="27" customHeight="1" x14ac:dyDescent="0.2">
      <c r="A116" s="1911"/>
      <c r="B116" s="1991"/>
      <c r="C116" s="858" t="str">
        <f>F!C217</f>
        <v>was not measured because no surface water could be found during this visit. Enter "1" in column to the right.</v>
      </c>
      <c r="D116" s="733">
        <f>F!D217</f>
        <v>0</v>
      </c>
      <c r="E116" s="722"/>
      <c r="F116" s="722"/>
      <c r="G116" s="859"/>
      <c r="H116" s="2040"/>
      <c r="I116" s="2009"/>
    </row>
    <row r="117" spans="1:9" ht="27" customHeight="1" x14ac:dyDescent="0.2">
      <c r="A117" s="1911"/>
      <c r="B117" s="1991"/>
      <c r="C117" s="860" t="str">
        <f>F!C218</f>
        <v>was not measured, and plants that indicate saline conditions are absent or in trace amounts. Enter "1" in column to the right.</v>
      </c>
      <c r="D117" s="733">
        <f>F!D218</f>
        <v>0</v>
      </c>
      <c r="E117" s="722"/>
      <c r="F117" s="722"/>
      <c r="G117" s="859"/>
      <c r="H117" s="2040"/>
      <c r="I117" s="2009"/>
    </row>
    <row r="118" spans="1:9" ht="27" customHeight="1" thickBot="1" x14ac:dyDescent="0.25">
      <c r="A118" s="1911"/>
      <c r="B118" s="1991"/>
      <c r="C118" s="860" t="str">
        <f>F!C219</f>
        <v>was not measured, but plants that indicate saline conditions are present. Enter "1" in column to the right.</v>
      </c>
      <c r="D118" s="733">
        <f>F!D219</f>
        <v>0</v>
      </c>
      <c r="E118" s="722"/>
      <c r="F118" s="722"/>
      <c r="G118" s="1054"/>
      <c r="H118" s="2040"/>
      <c r="I118" s="2009"/>
    </row>
    <row r="119" spans="1:9" ht="27" customHeight="1" thickBot="1" x14ac:dyDescent="0.25">
      <c r="A119" s="1911"/>
      <c r="B119" s="1991"/>
      <c r="C119" s="860" t="str">
        <f>F!C220</f>
        <v>TDS is: [enter the reading in ppm or mg/L in the column to the right if measured, or answer next row]:</v>
      </c>
      <c r="D119" s="733">
        <f>F!D220</f>
        <v>0</v>
      </c>
      <c r="E119" s="722"/>
      <c r="F119" s="722"/>
      <c r="G119" s="784">
        <f>IF((D119=""),"", IF((D119&lt;100),0, IF((D119&gt;500),0, D119/500)))</f>
        <v>0</v>
      </c>
      <c r="H119" s="2040"/>
      <c r="I119" s="2009"/>
    </row>
    <row r="120" spans="1:9" ht="15" customHeight="1" thickBot="1" x14ac:dyDescent="0.25">
      <c r="A120" s="1978"/>
      <c r="B120" s="1991"/>
      <c r="C120" s="939" t="str">
        <f>F!C221</f>
        <v>Conductivity is  [enter the reading in µS/cm in the column to the right]:</v>
      </c>
      <c r="D120" s="370">
        <f>F!D221</f>
        <v>0</v>
      </c>
      <c r="E120" s="380"/>
      <c r="F120" s="380"/>
      <c r="G120" s="784">
        <f>IF((D120=""),"", IF((D120&lt;20),0, IF((D120&gt;800),0, D120/800)))</f>
        <v>0</v>
      </c>
      <c r="H120" s="2041"/>
      <c r="I120" s="2009"/>
    </row>
    <row r="121" spans="1:9" ht="21" customHeight="1" thickBot="1" x14ac:dyDescent="0.25">
      <c r="A121" s="2089" t="str">
        <f>F!A222</f>
        <v>F45</v>
      </c>
      <c r="B121" s="2089" t="str">
        <f>F!B222</f>
        <v>Beaver Probability</v>
      </c>
      <c r="C121" s="1051" t="str">
        <f>F!C222</f>
        <v>Use of the AA by beaver during the past 5 years is (select most applicable ONE):</v>
      </c>
      <c r="D121" s="777"/>
      <c r="E121" s="376"/>
      <c r="F121" s="376"/>
      <c r="G121" s="225">
        <f>MAX(F122:F124)/MAX(E122:E124)</f>
        <v>0</v>
      </c>
      <c r="H121" s="2150" t="s">
        <v>1723</v>
      </c>
      <c r="I121" s="2144" t="s">
        <v>1331</v>
      </c>
    </row>
    <row r="122" spans="1:9" ht="28.5" customHeight="1" x14ac:dyDescent="0.2">
      <c r="A122" s="2090"/>
      <c r="B122" s="2090"/>
      <c r="C122" s="1079" t="str">
        <f>F!C223</f>
        <v>evident from direct observation or presence of gnawed limbs, dams, tracks, dens, lodges, or extensive stands of water-killed trees (snags).</v>
      </c>
      <c r="D122" s="1080">
        <f>F!D223</f>
        <v>0</v>
      </c>
      <c r="E122" s="722">
        <v>2</v>
      </c>
      <c r="F122" s="380">
        <f>D122*E122</f>
        <v>0</v>
      </c>
      <c r="G122" s="202"/>
      <c r="H122" s="2058"/>
      <c r="I122" s="2145"/>
    </row>
    <row r="123" spans="1:9" ht="54" customHeight="1" x14ac:dyDescent="0.2">
      <c r="A123" s="2090"/>
      <c r="B123" s="2090"/>
      <c r="C123" s="1081"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123" s="795">
        <f>F!D224</f>
        <v>0</v>
      </c>
      <c r="E123" s="722">
        <v>1</v>
      </c>
      <c r="F123" s="380">
        <f>D123*E123</f>
        <v>0</v>
      </c>
      <c r="G123" s="202"/>
      <c r="H123" s="2058"/>
      <c r="I123" s="2145"/>
    </row>
    <row r="124" spans="1:9" ht="43.5" customHeight="1" thickBot="1" x14ac:dyDescent="0.25">
      <c r="A124" s="2091"/>
      <c r="B124" s="2091"/>
      <c r="C124" s="1082" t="str">
        <f>F!C225</f>
        <v>unlikely because site characteristics above are deficient, and/or this is a settled area or other area where beaver are routinely removed.  But beaver occur in this part of the region (i.e., within 25 km).</v>
      </c>
      <c r="D124" s="1083">
        <f>F!D225</f>
        <v>0</v>
      </c>
      <c r="E124" s="244">
        <v>0</v>
      </c>
      <c r="F124" s="244">
        <f>D124*E124</f>
        <v>0</v>
      </c>
      <c r="G124" s="277"/>
      <c r="H124" s="2059"/>
      <c r="I124" s="2146"/>
    </row>
    <row r="125" spans="1:9" ht="30" customHeight="1" thickBot="1" x14ac:dyDescent="0.25">
      <c r="A125" s="1911" t="str">
        <f>F!A227</f>
        <v>F47</v>
      </c>
      <c r="B125" s="1911" t="str">
        <f>F!B227</f>
        <v>Through Flow Pattern</v>
      </c>
      <c r="C125" s="1416" t="str">
        <f>F!C227</f>
        <v>During its travel through the AA at the time of peak annual flow, water arriving in channels: [select only the ONE encountered by most of the incoming water].</v>
      </c>
      <c r="D125" s="736"/>
      <c r="E125" s="239"/>
      <c r="F125" s="259"/>
      <c r="G125" s="219" t="str">
        <f>IF((AllSat1=1),"", IF((Inflows=0),"", MAX(F126:F130)/MAX(E126:E130)))</f>
        <v/>
      </c>
      <c r="H125" s="1911" t="s">
        <v>94</v>
      </c>
      <c r="I125" s="2133" t="s">
        <v>1171</v>
      </c>
    </row>
    <row r="126" spans="1:9" ht="42" customHeight="1" x14ac:dyDescent="0.2">
      <c r="A126" s="1911"/>
      <c r="B126" s="1911"/>
      <c r="C126" s="495" t="str">
        <f>F!C228</f>
        <v>Does not bump into plant stems as it travels through the AA.  Nearly all the water continues to travel in unvegetated (often incised) channels that have minimal contact with wetland vegetation, or through a zone of open water such as an instream pond or lake.</v>
      </c>
      <c r="D126" s="493">
        <f>F!D228</f>
        <v>0</v>
      </c>
      <c r="E126" s="239">
        <v>0</v>
      </c>
      <c r="F126" s="239">
        <f>D126*E126</f>
        <v>0</v>
      </c>
      <c r="G126" s="202"/>
      <c r="H126" s="1911"/>
      <c r="I126" s="2133"/>
    </row>
    <row r="127" spans="1:9" x14ac:dyDescent="0.2">
      <c r="A127" s="1911"/>
      <c r="B127" s="1911"/>
      <c r="C127" s="112" t="str">
        <f>F!C229</f>
        <v>bumps into herbaceous vegetation but mostly remains in fairly straight channels.</v>
      </c>
      <c r="D127" s="468">
        <f>F!D229</f>
        <v>0</v>
      </c>
      <c r="E127" s="377">
        <v>1</v>
      </c>
      <c r="F127" s="377">
        <f>D127*E127</f>
        <v>0</v>
      </c>
      <c r="G127" s="257"/>
      <c r="H127" s="1911"/>
      <c r="I127" s="2133"/>
    </row>
    <row r="128" spans="1:9" ht="27" customHeight="1" x14ac:dyDescent="0.2">
      <c r="A128" s="1911"/>
      <c r="B128" s="1911"/>
      <c r="C128" s="404" t="str">
        <f>F!C230</f>
        <v>bumps into herbaceous vegetation and mostly spreads throughout, or is in widely  meandering, multi-branched, or braided channels.</v>
      </c>
      <c r="D128" s="494">
        <f>F!D230</f>
        <v>0</v>
      </c>
      <c r="E128" s="377">
        <v>2</v>
      </c>
      <c r="F128" s="377">
        <f>D128*E128</f>
        <v>0</v>
      </c>
      <c r="G128" s="257"/>
      <c r="H128" s="1911"/>
      <c r="I128" s="2133"/>
    </row>
    <row r="129" spans="1:9" ht="18.75" customHeight="1" x14ac:dyDescent="0.2">
      <c r="A129" s="1911"/>
      <c r="B129" s="1911"/>
      <c r="C129" s="457" t="str">
        <f>F!C231</f>
        <v>bumps into tree trunks and/or shrub stems but mostly remains in fairly straight channels.</v>
      </c>
      <c r="D129" s="359">
        <f>F!D231</f>
        <v>0</v>
      </c>
      <c r="E129" s="377">
        <v>1</v>
      </c>
      <c r="F129" s="377">
        <f>D129*E129</f>
        <v>0</v>
      </c>
      <c r="G129" s="257"/>
      <c r="H129" s="1911"/>
      <c r="I129" s="2133"/>
    </row>
    <row r="130" spans="1:9" ht="27.6" customHeight="1" thickBot="1" x14ac:dyDescent="0.25">
      <c r="A130" s="1978"/>
      <c r="B130" s="1978"/>
      <c r="C130" s="405" t="str">
        <f>F!C232</f>
        <v>bumps into tree trunks and/or shrub stems and follows a fairly indirect path from entrance to exit (meandering, multi-branched, or braided).</v>
      </c>
      <c r="D130" s="496">
        <f>F!D232</f>
        <v>0</v>
      </c>
      <c r="E130" s="244">
        <v>2</v>
      </c>
      <c r="F130" s="244">
        <f>D130*E130</f>
        <v>0</v>
      </c>
      <c r="G130" s="258"/>
      <c r="H130" s="1978"/>
      <c r="I130" s="2140"/>
    </row>
    <row r="131" spans="1:9" ht="21" customHeight="1" thickBot="1" x14ac:dyDescent="0.25">
      <c r="A131" s="1867" t="str">
        <f>F!A243</f>
        <v>F50</v>
      </c>
      <c r="B131" s="1867" t="str">
        <f>F!B243</f>
        <v>Groundwater: Strength of Evidence</v>
      </c>
      <c r="C131" s="352" t="str">
        <f>F!C243</f>
        <v xml:space="preserve">Select first applicable choice. </v>
      </c>
      <c r="D131" s="372"/>
      <c r="E131" s="376"/>
      <c r="F131" s="262"/>
      <c r="G131" s="225">
        <f>IF((D134=1),"",MAX(F132:F134)/MAX(E132:E134))</f>
        <v>0</v>
      </c>
      <c r="H131" s="1867" t="s">
        <v>101</v>
      </c>
      <c r="I131" s="2008" t="s">
        <v>1172</v>
      </c>
    </row>
    <row r="132" spans="1:9" ht="53.25" customHeight="1" x14ac:dyDescent="0.2">
      <c r="A132" s="1911"/>
      <c r="B132" s="1911"/>
      <c r="C132" s="575"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132" s="180">
        <f>F!D244</f>
        <v>0</v>
      </c>
      <c r="E132" s="377">
        <v>3</v>
      </c>
      <c r="F132" s="436">
        <f>D132*E132</f>
        <v>0</v>
      </c>
      <c r="G132" s="202"/>
      <c r="H132" s="1911"/>
      <c r="I132" s="2009"/>
    </row>
    <row r="133" spans="1:9" ht="84" customHeight="1" x14ac:dyDescent="0.2">
      <c r="A133" s="1911"/>
      <c r="B133" s="1911"/>
      <c r="C133" s="576"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133" s="354">
        <f>F!D245</f>
        <v>0</v>
      </c>
      <c r="E133" s="377">
        <v>2</v>
      </c>
      <c r="F133" s="436">
        <f>D133*E133</f>
        <v>0</v>
      </c>
      <c r="G133" s="257"/>
      <c r="H133" s="1911"/>
      <c r="I133" s="2009"/>
    </row>
    <row r="134" spans="1:9" ht="27" customHeight="1" thickBot="1" x14ac:dyDescent="0.25">
      <c r="A134" s="1978"/>
      <c r="B134" s="1978"/>
      <c r="C134" s="445" t="str">
        <f>F!C246</f>
        <v>Neither of above is true, although some groundwater may discharge to or flow through the AA.  Or groundwater influx is unknown.</v>
      </c>
      <c r="D134" s="94">
        <f>F!D246</f>
        <v>0</v>
      </c>
      <c r="E134" s="244">
        <v>0</v>
      </c>
      <c r="F134" s="266">
        <f>D134*E134</f>
        <v>0</v>
      </c>
      <c r="G134" s="258"/>
      <c r="H134" s="1978"/>
      <c r="I134" s="2010"/>
    </row>
    <row r="135" spans="1:9" ht="54" customHeight="1" thickBot="1" x14ac:dyDescent="0.25">
      <c r="A135" s="2075" t="str">
        <f>F!A252</f>
        <v>F52</v>
      </c>
      <c r="B135" s="1911" t="str">
        <f>F!B252</f>
        <v>Percent of Buffer with Perennial Vegetation</v>
      </c>
      <c r="C135" s="877" t="str">
        <f>F!C252</f>
        <v>Extending 30 m on all sides from the AA's edge,  the percentage that contains water or perennial vegetation taller than 10 cm during most of the growing season is:</v>
      </c>
      <c r="D135" s="437"/>
      <c r="E135" s="239"/>
      <c r="F135" s="259"/>
      <c r="G135" s="231">
        <f>MAX(F136:F140)/MAX(E136:E140)</f>
        <v>0</v>
      </c>
      <c r="H135" s="1867" t="s">
        <v>559</v>
      </c>
      <c r="I135" s="2133" t="s">
        <v>405</v>
      </c>
    </row>
    <row r="136" spans="1:9" ht="51" customHeight="1" x14ac:dyDescent="0.2">
      <c r="A136" s="2075"/>
      <c r="B136" s="1911"/>
      <c r="C136" s="426" t="str">
        <f>F!C253</f>
        <v xml:space="preserve">&lt;5% </v>
      </c>
      <c r="D136" s="91">
        <f>F!D253</f>
        <v>0</v>
      </c>
      <c r="E136" s="241">
        <v>0</v>
      </c>
      <c r="F136" s="241">
        <f t="shared" ref="F136:F147" si="3">D136*E136</f>
        <v>0</v>
      </c>
      <c r="G136" s="202"/>
      <c r="H136" s="1911"/>
      <c r="I136" s="2133"/>
    </row>
    <row r="137" spans="1:9" ht="51" customHeight="1" x14ac:dyDescent="0.2">
      <c r="A137" s="2075"/>
      <c r="B137" s="1911"/>
      <c r="C137" s="362" t="str">
        <f>F!C254</f>
        <v>5 to 30%</v>
      </c>
      <c r="D137" s="91">
        <f>F!D254</f>
        <v>0</v>
      </c>
      <c r="E137" s="241">
        <v>2</v>
      </c>
      <c r="F137" s="241">
        <f t="shared" si="3"/>
        <v>0</v>
      </c>
      <c r="G137" s="257"/>
      <c r="H137" s="1911"/>
      <c r="I137" s="2133"/>
    </row>
    <row r="138" spans="1:9" ht="51" customHeight="1" x14ac:dyDescent="0.2">
      <c r="A138" s="2075"/>
      <c r="B138" s="1911"/>
      <c r="C138" s="362" t="str">
        <f>F!C255</f>
        <v>30 to 60%</v>
      </c>
      <c r="D138" s="91">
        <f>F!D255</f>
        <v>0</v>
      </c>
      <c r="E138" s="241">
        <v>3</v>
      </c>
      <c r="F138" s="241">
        <f t="shared" si="3"/>
        <v>0</v>
      </c>
      <c r="G138" s="257"/>
      <c r="H138" s="1911"/>
      <c r="I138" s="2133"/>
    </row>
    <row r="139" spans="1:9" ht="51" customHeight="1" x14ac:dyDescent="0.2">
      <c r="A139" s="2075"/>
      <c r="B139" s="1911"/>
      <c r="C139" s="362" t="str">
        <f>F!C256</f>
        <v>60 to 90%</v>
      </c>
      <c r="D139" s="91">
        <f>F!D256</f>
        <v>0</v>
      </c>
      <c r="E139" s="241">
        <v>4</v>
      </c>
      <c r="F139" s="241">
        <f t="shared" si="3"/>
        <v>0</v>
      </c>
      <c r="G139" s="257"/>
      <c r="H139" s="1911"/>
      <c r="I139" s="2133"/>
    </row>
    <row r="140" spans="1:9" ht="63" customHeight="1" thickBot="1" x14ac:dyDescent="0.25">
      <c r="A140" s="2075"/>
      <c r="B140" s="1911"/>
      <c r="C140" s="361" t="str">
        <f>F!C257</f>
        <v>&gt;90%, or the AA does not adjoin any upland  SKIP to F54 (Cliffs).</v>
      </c>
      <c r="D140" s="370">
        <f>F!D257</f>
        <v>0</v>
      </c>
      <c r="E140" s="380">
        <v>6</v>
      </c>
      <c r="F140" s="380">
        <f t="shared" si="3"/>
        <v>0</v>
      </c>
      <c r="G140" s="433"/>
      <c r="H140" s="1978"/>
      <c r="I140" s="2133"/>
    </row>
    <row r="141" spans="1:9" ht="26.25" thickBot="1" x14ac:dyDescent="0.25">
      <c r="A141" s="1992" t="str">
        <f>F!A258</f>
        <v>F53</v>
      </c>
      <c r="B141" s="1867" t="str">
        <f>F!B258</f>
        <v>Type of Cover in Buffer</v>
      </c>
      <c r="C141" s="90" t="str">
        <f>F!C258</f>
        <v>Within the 30 m zone described above, the area that is NOT perennial vegetation or water is mostly (mark ONE):</v>
      </c>
      <c r="D141" s="372"/>
      <c r="E141" s="376"/>
      <c r="F141" s="262"/>
      <c r="G141" s="225">
        <f>IF((BuffAllNat=1),"",MAX(F142:F143)/MAX(E142:E143))</f>
        <v>0</v>
      </c>
      <c r="H141" s="1867" t="s">
        <v>2400</v>
      </c>
      <c r="I141" s="2151" t="s">
        <v>864</v>
      </c>
    </row>
    <row r="142" spans="1:9" ht="15" customHeight="1" x14ac:dyDescent="0.2">
      <c r="A142" s="1991"/>
      <c r="B142" s="1911"/>
      <c r="C142" s="426" t="str">
        <f>F!C259</f>
        <v>impervious surface, e.g., paved road, parking lot, building, exposed rock.</v>
      </c>
      <c r="D142" s="354">
        <f>F!D259</f>
        <v>0</v>
      </c>
      <c r="E142" s="377">
        <v>0</v>
      </c>
      <c r="F142" s="377">
        <f t="shared" si="3"/>
        <v>0</v>
      </c>
      <c r="G142" s="202"/>
      <c r="H142" s="1911"/>
      <c r="I142" s="2133"/>
    </row>
    <row r="143" spans="1:9" ht="26.25" thickBot="1" x14ac:dyDescent="0.25">
      <c r="A143" s="1991"/>
      <c r="B143" s="1911"/>
      <c r="C143" s="747" t="str">
        <f>F!C260</f>
        <v>bare or nearly bare pervious surface or managed vegetation, e.g., lawn, annual crops, mostly-unvegetated clearcut, landslide, unpaved road, drill pad, dike.</v>
      </c>
      <c r="D143" s="370">
        <f>F!D260</f>
        <v>0</v>
      </c>
      <c r="E143" s="380">
        <v>1</v>
      </c>
      <c r="F143" s="380">
        <f t="shared" si="3"/>
        <v>0</v>
      </c>
      <c r="G143" s="721"/>
      <c r="H143" s="1911"/>
      <c r="I143" s="2133"/>
    </row>
    <row r="144" spans="1:9" ht="20.45" customHeight="1" thickBot="1" x14ac:dyDescent="0.25">
      <c r="A144" s="2067" t="str">
        <f>F!A269</f>
        <v>F56</v>
      </c>
      <c r="B144" s="2067" t="str">
        <f>F!B269</f>
        <v>Burn History</v>
      </c>
      <c r="C144" s="1053" t="str">
        <f>F!C269</f>
        <v>More than 1% of the AA's previously vegetated area:</v>
      </c>
      <c r="D144" s="376"/>
      <c r="E144" s="376"/>
      <c r="F144" s="262"/>
      <c r="G144" s="1085">
        <f>IF((D148=1), "", MAX(F145:F147)/MAX(E145:E147))</f>
        <v>0</v>
      </c>
      <c r="H144" s="1867" t="s">
        <v>1724</v>
      </c>
      <c r="I144" s="2008" t="s">
        <v>2470</v>
      </c>
    </row>
    <row r="145" spans="1:16" ht="20.45" customHeight="1" x14ac:dyDescent="0.2">
      <c r="A145" s="2068"/>
      <c r="B145" s="2068"/>
      <c r="C145" s="725" t="str">
        <f>F!C270</f>
        <v>burned within past 5 years.</v>
      </c>
      <c r="D145" s="752">
        <f>F!D270</f>
        <v>0</v>
      </c>
      <c r="E145" s="722">
        <v>0</v>
      </c>
      <c r="F145" s="722">
        <f t="shared" si="3"/>
        <v>0</v>
      </c>
      <c r="G145" s="775"/>
      <c r="H145" s="1911"/>
      <c r="I145" s="2009"/>
    </row>
    <row r="146" spans="1:16" ht="20.45" customHeight="1" x14ac:dyDescent="0.2">
      <c r="A146" s="2068"/>
      <c r="B146" s="2068"/>
      <c r="C146" s="724" t="str">
        <f>F!C271</f>
        <v>burned 6-10 years ago.</v>
      </c>
      <c r="D146" s="752">
        <f>F!D271</f>
        <v>0</v>
      </c>
      <c r="E146" s="722">
        <v>2</v>
      </c>
      <c r="F146" s="722">
        <f t="shared" si="3"/>
        <v>0</v>
      </c>
      <c r="G146" s="775"/>
      <c r="H146" s="1911"/>
      <c r="I146" s="2009"/>
    </row>
    <row r="147" spans="1:16" ht="20.45" customHeight="1" x14ac:dyDescent="0.2">
      <c r="A147" s="2068"/>
      <c r="B147" s="2068"/>
      <c r="C147" s="724" t="str">
        <f>F!C272</f>
        <v>burned 11-30 years ago.</v>
      </c>
      <c r="D147" s="752">
        <f>F!D272</f>
        <v>0</v>
      </c>
      <c r="E147" s="722">
        <v>1</v>
      </c>
      <c r="F147" s="722">
        <f t="shared" si="3"/>
        <v>0</v>
      </c>
      <c r="G147" s="775"/>
      <c r="H147" s="1911"/>
      <c r="I147" s="2009"/>
    </row>
    <row r="148" spans="1:16" ht="27" customHeight="1" thickBot="1" x14ac:dyDescent="0.25">
      <c r="A148" s="2069"/>
      <c r="B148" s="2069"/>
      <c r="C148" s="727" t="str">
        <f>F!C273</f>
        <v>burned &gt;30 years ago, or no evidence of a burn and no data.</v>
      </c>
      <c r="D148" s="1052">
        <f>F!D273</f>
        <v>0</v>
      </c>
      <c r="E148" s="244"/>
      <c r="F148" s="266"/>
      <c r="G148" s="258"/>
      <c r="H148" s="1978"/>
      <c r="I148" s="2010"/>
    </row>
    <row r="149" spans="1:16" s="10" customFormat="1" ht="75" customHeight="1" thickBot="1" x14ac:dyDescent="0.25">
      <c r="A149" s="475" t="str">
        <f>S!A3</f>
        <v>S1</v>
      </c>
      <c r="B149" s="1401" t="str">
        <f>S!B3</f>
        <v>Aberrant Hydrologic Regime</v>
      </c>
      <c r="C149" s="610" t="str">
        <f>S!E24</f>
        <v>Stressor Subscore=</v>
      </c>
      <c r="D149" s="1055">
        <f>S!F24</f>
        <v>0</v>
      </c>
      <c r="E149" s="1056"/>
      <c r="F149" s="283"/>
      <c r="G149" s="219">
        <f>1-S!F24</f>
        <v>1</v>
      </c>
      <c r="H149" s="1401" t="s">
        <v>98</v>
      </c>
      <c r="I149" s="1422" t="s">
        <v>2395</v>
      </c>
      <c r="J149" s="150"/>
      <c r="K149" s="21"/>
      <c r="L149" s="110"/>
      <c r="M149" s="21"/>
      <c r="N149" s="21"/>
      <c r="O149" s="21"/>
      <c r="P149" s="21"/>
    </row>
    <row r="150" spans="1:16" s="10" customFormat="1" ht="99" customHeight="1" thickBot="1" x14ac:dyDescent="0.25">
      <c r="A150" s="488" t="str">
        <f>S!A25</f>
        <v>S2</v>
      </c>
      <c r="B150" s="1400" t="str">
        <f>S!B25</f>
        <v>Accelerated Inputs of Contaminants and/or Salts</v>
      </c>
      <c r="C150" s="489" t="s">
        <v>469</v>
      </c>
      <c r="D150" s="1057">
        <f>S!F39</f>
        <v>0</v>
      </c>
      <c r="E150" s="1056"/>
      <c r="F150" s="490"/>
      <c r="G150" s="491">
        <f>1-(S!F25)</f>
        <v>1</v>
      </c>
      <c r="H150" s="1400" t="s">
        <v>648</v>
      </c>
      <c r="I150" s="1417" t="s">
        <v>1859</v>
      </c>
      <c r="J150" s="150"/>
      <c r="K150" s="21"/>
      <c r="M150" s="21"/>
      <c r="N150" s="21"/>
      <c r="O150" s="21"/>
      <c r="P150" s="21"/>
    </row>
    <row r="151" spans="1:16" s="10" customFormat="1" ht="84" customHeight="1" thickBot="1" x14ac:dyDescent="0.25">
      <c r="A151" s="474" t="str">
        <f>S!A53</f>
        <v>S4</v>
      </c>
      <c r="B151" s="482" t="str">
        <f>S!B53</f>
        <v>Excessive Sediment Loading from Contributing Area</v>
      </c>
      <c r="C151" s="85" t="str">
        <f>S!E70</f>
        <v>Stressor Subscore=</v>
      </c>
      <c r="D151" s="1055">
        <f>(S!F70)</f>
        <v>0</v>
      </c>
      <c r="E151" s="1056"/>
      <c r="F151" s="284"/>
      <c r="G151" s="225">
        <f>1-(S!F70)</f>
        <v>1</v>
      </c>
      <c r="H151" s="481" t="s">
        <v>99</v>
      </c>
      <c r="I151" s="797" t="s">
        <v>1336</v>
      </c>
      <c r="J151" s="150"/>
      <c r="K151" s="21"/>
      <c r="L151" s="21"/>
      <c r="M151" s="21"/>
      <c r="N151" s="21"/>
      <c r="O151" s="21"/>
      <c r="P151" s="21"/>
    </row>
    <row r="152" spans="1:16" s="10" customFormat="1" ht="45" customHeight="1" thickBot="1" x14ac:dyDescent="0.25">
      <c r="A152" s="475" t="str">
        <f>S!A71</f>
        <v>S5</v>
      </c>
      <c r="B152" s="483" t="str">
        <f>S!B71</f>
        <v>Soil or Sediment Alteration Within the Assessment Area</v>
      </c>
      <c r="C152" s="1059" t="str">
        <f>S!E88</f>
        <v>Stressor Subscore=</v>
      </c>
      <c r="D152" s="1058">
        <f>S!F88</f>
        <v>0</v>
      </c>
      <c r="E152" s="1056"/>
      <c r="F152" s="283"/>
      <c r="G152" s="219">
        <f>1-(S!F88)</f>
        <v>1</v>
      </c>
      <c r="H152" s="1401" t="s">
        <v>100</v>
      </c>
      <c r="I152" s="1422" t="s">
        <v>57</v>
      </c>
      <c r="J152" s="150"/>
      <c r="K152" s="21"/>
      <c r="L152" s="21"/>
      <c r="M152" s="21"/>
      <c r="N152" s="21"/>
      <c r="O152" s="21"/>
      <c r="P152" s="21"/>
    </row>
    <row r="153" spans="1:16" ht="21" customHeight="1" thickBot="1" x14ac:dyDescent="0.25">
      <c r="A153" s="394"/>
      <c r="B153" s="394"/>
      <c r="D153" s="609"/>
      <c r="E153" s="609"/>
      <c r="F153" s="609"/>
      <c r="G153" s="609"/>
      <c r="H153" s="827" t="s">
        <v>406</v>
      </c>
      <c r="I153" s="827"/>
    </row>
    <row r="154" spans="1:16" s="5" customFormat="1" ht="21" customHeight="1" thickBot="1" x14ac:dyDescent="0.25">
      <c r="A154" s="110"/>
      <c r="B154" s="110"/>
      <c r="C154" s="391" t="s">
        <v>740</v>
      </c>
      <c r="D154" s="610"/>
      <c r="E154" s="610"/>
      <c r="F154" s="610"/>
      <c r="G154" s="610"/>
      <c r="J154" s="441"/>
      <c r="K154" s="110"/>
    </row>
    <row r="155" spans="1:16" s="5" customFormat="1" ht="26.25" thickBot="1" x14ac:dyDescent="0.25">
      <c r="A155" s="110"/>
      <c r="B155" s="110"/>
      <c r="C155" s="83" t="s">
        <v>2396</v>
      </c>
      <c r="D155" s="507"/>
      <c r="E155" s="507"/>
      <c r="F155" s="507"/>
      <c r="G155" s="285">
        <f>AVERAGE(Girreg8, Groundw8, GWDspring, SatPct8, PermWpct8, SeasPct8, Beaver8)</f>
        <v>0</v>
      </c>
      <c r="J155" s="140"/>
      <c r="K155" s="110"/>
    </row>
    <row r="156" spans="1:16" s="5" customFormat="1" ht="21" customHeight="1" thickBot="1" x14ac:dyDescent="0.25">
      <c r="A156" s="110"/>
      <c r="B156" s="110"/>
      <c r="D156" s="827"/>
      <c r="E156" s="827"/>
      <c r="F156" s="827"/>
      <c r="G156" s="827"/>
      <c r="J156" s="441"/>
      <c r="K156" s="110"/>
    </row>
    <row r="157" spans="1:16" s="5" customFormat="1" ht="21" customHeight="1" thickBot="1" x14ac:dyDescent="0.25">
      <c r="A157" s="110"/>
      <c r="B157" s="110"/>
      <c r="C157" s="392" t="s">
        <v>741</v>
      </c>
      <c r="D157" s="1027"/>
      <c r="E157" s="1027"/>
      <c r="F157" s="1027"/>
      <c r="G157" s="1027"/>
      <c r="J157" s="441"/>
      <c r="K157" s="110"/>
    </row>
    <row r="158" spans="1:16" s="5" customFormat="1" ht="39" thickBot="1" x14ac:dyDescent="0.25">
      <c r="C158" s="408" t="s">
        <v>2471</v>
      </c>
      <c r="D158" s="293"/>
      <c r="E158" s="293"/>
      <c r="F158" s="293"/>
      <c r="G158" s="285">
        <f>AVERAGE(WetPerim2Area, WetVegArea, MAX(ClassRichIn, ClassRichIn8),OWpct8, HerbDiv8, ThruFlo8, WoodDown8, Burn8, Interspers8, VegIntersp8, DepthDiv8, AqCov8)</f>
        <v>0</v>
      </c>
      <c r="J158" s="441"/>
      <c r="K158" s="110"/>
    </row>
    <row r="159" spans="1:16" s="5" customFormat="1" ht="21" customHeight="1" thickBot="1" x14ac:dyDescent="0.25">
      <c r="A159" s="1246"/>
      <c r="B159" s="1246"/>
      <c r="D159" s="827"/>
      <c r="E159" s="827"/>
      <c r="F159" s="827"/>
      <c r="G159" s="827"/>
      <c r="J159" s="441"/>
      <c r="K159" s="110"/>
    </row>
    <row r="160" spans="1:16" s="5" customFormat="1" ht="21" customHeight="1" thickBot="1" x14ac:dyDescent="0.25">
      <c r="A160" s="1246"/>
      <c r="B160" s="1246"/>
      <c r="C160" s="391" t="s">
        <v>742</v>
      </c>
      <c r="D160" s="1027"/>
      <c r="E160" s="1027"/>
      <c r="F160" s="1027"/>
      <c r="G160" s="1027"/>
      <c r="J160" s="441"/>
      <c r="K160" s="110"/>
    </row>
    <row r="161" spans="1:11" s="5" customFormat="1" ht="30.6" customHeight="1" thickBot="1" x14ac:dyDescent="0.25">
      <c r="A161" s="1246"/>
      <c r="B161" s="1246"/>
      <c r="C161" s="83" t="s">
        <v>2472</v>
      </c>
      <c r="D161" s="507"/>
      <c r="E161" s="507"/>
      <c r="F161" s="507"/>
      <c r="G161" s="285">
        <f>AVERAGE(GrowDD, Conduc8, AVERAGE(Wettype8,Stain8,Moss8), Depth8, Fluctu8, Nfixers8,WoodyPct8)</f>
        <v>0.1</v>
      </c>
      <c r="J161" s="441"/>
      <c r="K161" s="110"/>
    </row>
    <row r="162" spans="1:11" s="6" customFormat="1" ht="21" customHeight="1" thickBot="1" x14ac:dyDescent="0.25">
      <c r="A162" s="1246"/>
      <c r="B162" s="1246"/>
      <c r="C162" s="110"/>
      <c r="D162" s="617"/>
      <c r="E162" s="617"/>
      <c r="F162" s="617"/>
      <c r="G162" s="142"/>
      <c r="H162" s="5"/>
      <c r="I162" s="5"/>
      <c r="J162" s="441"/>
      <c r="K162" s="110"/>
    </row>
    <row r="163" spans="1:11" s="5" customFormat="1" ht="21" customHeight="1" thickBot="1" x14ac:dyDescent="0.25">
      <c r="A163" s="1246"/>
      <c r="B163" s="1246"/>
      <c r="C163" s="391" t="s">
        <v>746</v>
      </c>
      <c r="D163" s="618"/>
      <c r="E163" s="618"/>
      <c r="F163" s="618"/>
      <c r="G163" s="458"/>
      <c r="J163" s="441"/>
      <c r="K163" s="110"/>
    </row>
    <row r="164" spans="1:11" s="5" customFormat="1" ht="26.25" thickBot="1" x14ac:dyDescent="0.25">
      <c r="A164" s="1246"/>
      <c r="B164" s="1246"/>
      <c r="C164" s="83" t="s">
        <v>2473</v>
      </c>
      <c r="D164" s="507"/>
      <c r="E164" s="507"/>
      <c r="F164" s="507"/>
      <c r="G164" s="285">
        <f>AVERAGE(SedCA8, Toxic8, AltTime8, SoilDisturb8, BuffNatPct8, NatCov1k,CUbuffPctNat8)</f>
        <v>0.66666666666666663</v>
      </c>
      <c r="J164" s="441"/>
      <c r="K164" s="110"/>
    </row>
    <row r="165" spans="1:11" s="5" customFormat="1" ht="21" customHeight="1" thickBot="1" x14ac:dyDescent="0.25">
      <c r="A165" s="1246"/>
      <c r="B165" s="1246"/>
      <c r="D165" s="827"/>
      <c r="E165" s="827"/>
      <c r="F165" s="827"/>
      <c r="G165" s="827"/>
      <c r="J165" s="441"/>
      <c r="K165" s="110"/>
    </row>
    <row r="166" spans="1:11" s="5" customFormat="1" ht="21" customHeight="1" thickBot="1" x14ac:dyDescent="0.25">
      <c r="A166" s="1246"/>
      <c r="B166" s="1246"/>
      <c r="C166" s="393" t="s">
        <v>846</v>
      </c>
      <c r="J166" s="441"/>
      <c r="K166" s="110"/>
    </row>
    <row r="167" spans="1:11" s="5" customFormat="1" ht="21" customHeight="1" thickBot="1" x14ac:dyDescent="0.25">
      <c r="A167" s="1246"/>
      <c r="B167" s="1246"/>
      <c r="C167" s="409" t="s">
        <v>738</v>
      </c>
      <c r="D167" s="1027"/>
      <c r="E167" s="1027"/>
      <c r="F167" s="1027"/>
      <c r="G167" s="1027"/>
      <c r="J167" s="441"/>
      <c r="K167" s="110"/>
    </row>
    <row r="168" spans="1:11" s="5" customFormat="1" ht="30" customHeight="1" thickBot="1" x14ac:dyDescent="0.25">
      <c r="A168" s="1246"/>
      <c r="B168" s="1246"/>
      <c r="C168" s="83" t="s">
        <v>2474</v>
      </c>
      <c r="D168" s="507"/>
      <c r="E168" s="507"/>
      <c r="F168" s="507"/>
      <c r="G168" s="297">
        <f>10*AVERAGE(Wettype8, UniqMarshShallowOW, AVERAGE(WaterI1a, HabStrucI1a,  CfixI1a, StressI1a))</f>
        <v>0.95833333333333326</v>
      </c>
      <c r="J168" s="441"/>
      <c r="K168" s="110"/>
    </row>
    <row r="169" spans="1:11" ht="21" customHeight="1" thickBot="1" x14ac:dyDescent="0.25">
      <c r="A169" s="110"/>
      <c r="B169" s="110"/>
      <c r="C169" s="110"/>
      <c r="D169" s="110"/>
      <c r="E169" s="110"/>
      <c r="F169" s="110"/>
      <c r="G169" s="110"/>
      <c r="H169" s="1389"/>
      <c r="I169" s="120" t="s">
        <v>293</v>
      </c>
    </row>
    <row r="170" spans="1:11" ht="42" customHeight="1" x14ac:dyDescent="0.2">
      <c r="A170" s="588"/>
      <c r="B170" s="412"/>
      <c r="C170" s="1589"/>
      <c r="D170" s="1497"/>
      <c r="E170" s="110"/>
      <c r="F170" s="110"/>
      <c r="G170" s="110"/>
      <c r="H170" s="1389"/>
      <c r="I170" s="1435" t="s">
        <v>324</v>
      </c>
    </row>
    <row r="171" spans="1:11" ht="38.25" x14ac:dyDescent="0.3">
      <c r="A171" s="588"/>
      <c r="B171" s="1645"/>
      <c r="C171" s="1646"/>
      <c r="D171" s="1497"/>
      <c r="E171" s="110"/>
      <c r="F171" s="110"/>
      <c r="G171" s="110"/>
      <c r="H171" s="1389"/>
      <c r="I171" s="1436" t="s">
        <v>331</v>
      </c>
    </row>
    <row r="172" spans="1:11" ht="51" x14ac:dyDescent="0.3">
      <c r="A172" s="588"/>
      <c r="B172" s="1647"/>
      <c r="C172" s="1593"/>
      <c r="D172" s="1468"/>
      <c r="E172" s="110"/>
      <c r="F172" s="110"/>
      <c r="G172" s="110"/>
      <c r="H172" s="1389"/>
      <c r="I172" s="1436" t="s">
        <v>1098</v>
      </c>
    </row>
    <row r="173" spans="1:11" ht="38.25" x14ac:dyDescent="0.3">
      <c r="A173" s="588"/>
      <c r="B173" s="1647"/>
      <c r="C173" s="1593"/>
      <c r="D173" s="1468"/>
      <c r="E173" s="110"/>
      <c r="F173" s="110"/>
      <c r="G173" s="110"/>
      <c r="H173" s="1389"/>
      <c r="I173" s="1436" t="s">
        <v>533</v>
      </c>
    </row>
    <row r="174" spans="1:11" ht="42" customHeight="1" x14ac:dyDescent="0.3">
      <c r="A174" s="588"/>
      <c r="B174" s="1647"/>
      <c r="C174" s="1593"/>
      <c r="D174" s="1468"/>
      <c r="E174" s="110"/>
      <c r="F174" s="110"/>
      <c r="G174" s="110"/>
      <c r="H174" s="1389"/>
      <c r="I174" s="114" t="s">
        <v>332</v>
      </c>
    </row>
    <row r="175" spans="1:11" ht="38.25" x14ac:dyDescent="0.3">
      <c r="A175" s="588"/>
      <c r="B175" s="1647"/>
      <c r="C175" s="1593"/>
      <c r="D175" s="1468"/>
      <c r="E175" s="110"/>
      <c r="F175" s="110"/>
      <c r="G175" s="110"/>
      <c r="H175" s="1389"/>
      <c r="I175" s="1436" t="s">
        <v>333</v>
      </c>
    </row>
    <row r="176" spans="1:11" ht="30.75" customHeight="1" x14ac:dyDescent="0.3">
      <c r="A176" s="588"/>
      <c r="B176" s="1645"/>
      <c r="C176" s="1593"/>
      <c r="D176" s="1469"/>
      <c r="E176" s="110"/>
      <c r="F176" s="110"/>
      <c r="G176" s="110"/>
      <c r="H176" s="1389"/>
      <c r="I176" s="1436" t="s">
        <v>334</v>
      </c>
    </row>
    <row r="177" spans="1:9" ht="51" x14ac:dyDescent="0.2">
      <c r="A177" s="588"/>
      <c r="B177" s="412"/>
      <c r="C177" s="588"/>
      <c r="D177" s="1554"/>
      <c r="E177" s="110"/>
      <c r="F177" s="110"/>
      <c r="G177" s="110"/>
      <c r="H177" s="1389"/>
      <c r="I177" s="1436" t="s">
        <v>335</v>
      </c>
    </row>
    <row r="178" spans="1:9" ht="54" customHeight="1" x14ac:dyDescent="0.2">
      <c r="A178" s="588"/>
      <c r="B178" s="412"/>
      <c r="C178" s="1464"/>
      <c r="D178" s="1554"/>
      <c r="E178" s="110"/>
      <c r="F178" s="110"/>
      <c r="G178" s="110"/>
      <c r="H178" s="1389"/>
      <c r="I178" s="1436" t="s">
        <v>336</v>
      </c>
    </row>
    <row r="179" spans="1:9" ht="39" thickBot="1" x14ac:dyDescent="0.35">
      <c r="A179" s="588"/>
      <c r="B179" s="1645"/>
      <c r="C179" s="1646"/>
      <c r="D179" s="1554"/>
      <c r="E179" s="110"/>
      <c r="F179" s="110"/>
      <c r="G179" s="110"/>
      <c r="H179" s="1389"/>
      <c r="I179" s="1432" t="s">
        <v>337</v>
      </c>
    </row>
    <row r="180" spans="1:9" ht="64.5" thickBot="1" x14ac:dyDescent="0.35">
      <c r="A180" s="588"/>
      <c r="B180" s="1645"/>
      <c r="C180" s="1646"/>
      <c r="D180" s="1554"/>
      <c r="E180" s="110"/>
      <c r="F180" s="110"/>
      <c r="G180" s="110"/>
      <c r="H180" s="1389"/>
      <c r="I180" s="794" t="s">
        <v>2015</v>
      </c>
    </row>
    <row r="181" spans="1:9" ht="42" customHeight="1" x14ac:dyDescent="0.3">
      <c r="A181" s="588"/>
      <c r="B181" s="1647"/>
      <c r="C181" s="1593"/>
      <c r="D181" s="1468"/>
      <c r="E181" s="110"/>
      <c r="F181" s="110"/>
      <c r="G181" s="110"/>
      <c r="H181" s="1389"/>
      <c r="I181" s="1430" t="s">
        <v>327</v>
      </c>
    </row>
    <row r="182" spans="1:9" ht="51" x14ac:dyDescent="0.3">
      <c r="A182" s="588"/>
      <c r="B182" s="1647"/>
      <c r="C182" s="1593"/>
      <c r="D182" s="1468"/>
      <c r="E182" s="110"/>
      <c r="F182" s="110"/>
      <c r="G182" s="110"/>
      <c r="H182" s="1389"/>
      <c r="I182" s="1436" t="s">
        <v>338</v>
      </c>
    </row>
    <row r="183" spans="1:9" ht="38.25" x14ac:dyDescent="0.3">
      <c r="A183" s="588"/>
      <c r="B183" s="1647"/>
      <c r="C183" s="1593"/>
      <c r="D183" s="1468"/>
      <c r="E183" s="110"/>
      <c r="F183" s="110"/>
      <c r="G183" s="110"/>
      <c r="H183" s="1389"/>
      <c r="I183" s="1436" t="s">
        <v>339</v>
      </c>
    </row>
    <row r="184" spans="1:9" ht="42" customHeight="1" x14ac:dyDescent="0.3">
      <c r="A184" s="588"/>
      <c r="B184" s="1647"/>
      <c r="C184" s="1593"/>
      <c r="D184" s="1468"/>
      <c r="E184" s="110"/>
      <c r="F184" s="110"/>
      <c r="G184" s="110"/>
      <c r="H184" s="1389"/>
      <c r="I184" s="1436" t="s">
        <v>1243</v>
      </c>
    </row>
    <row r="185" spans="1:9" ht="54" customHeight="1" thickBot="1" x14ac:dyDescent="0.35">
      <c r="A185" s="588"/>
      <c r="B185" s="1645"/>
      <c r="C185" s="1593"/>
      <c r="D185" s="1469"/>
      <c r="E185" s="110"/>
      <c r="F185" s="110"/>
      <c r="G185" s="110"/>
      <c r="H185" s="1389"/>
      <c r="I185" s="1432" t="s">
        <v>1242</v>
      </c>
    </row>
    <row r="186" spans="1:9" ht="42" customHeight="1" thickBot="1" x14ac:dyDescent="0.35">
      <c r="A186" s="588"/>
      <c r="B186" s="1645"/>
      <c r="C186" s="1593"/>
      <c r="D186" s="1469"/>
      <c r="E186" s="110"/>
      <c r="F186" s="110"/>
      <c r="G186" s="110"/>
      <c r="H186" s="1389"/>
      <c r="I186" s="838" t="s">
        <v>2017</v>
      </c>
    </row>
    <row r="187" spans="1:9" ht="42" customHeight="1" x14ac:dyDescent="0.2">
      <c r="A187" s="588"/>
      <c r="B187" s="588"/>
      <c r="C187" s="588"/>
      <c r="D187" s="588"/>
      <c r="E187" s="110"/>
      <c r="F187" s="110"/>
      <c r="G187" s="110"/>
      <c r="H187" s="1389"/>
      <c r="I187" s="1084" t="s">
        <v>340</v>
      </c>
    </row>
    <row r="188" spans="1:9" ht="44.25" customHeight="1" x14ac:dyDescent="0.2">
      <c r="A188" s="110"/>
      <c r="B188" s="110"/>
      <c r="C188" s="110"/>
      <c r="D188" s="110"/>
      <c r="E188" s="110"/>
      <c r="F188" s="110"/>
      <c r="G188" s="110"/>
      <c r="H188" s="1389"/>
      <c r="I188" s="1436" t="s">
        <v>341</v>
      </c>
    </row>
    <row r="189" spans="1:9" ht="31.5" customHeight="1" x14ac:dyDescent="0.2">
      <c r="A189" s="110"/>
      <c r="B189" s="110"/>
      <c r="C189" s="110"/>
      <c r="D189" s="110"/>
      <c r="E189" s="110"/>
      <c r="F189" s="110"/>
      <c r="G189" s="110"/>
      <c r="H189" s="1389"/>
      <c r="I189" s="1436" t="s">
        <v>342</v>
      </c>
    </row>
    <row r="190" spans="1:9" ht="42" customHeight="1" x14ac:dyDescent="0.2">
      <c r="A190" s="110"/>
      <c r="B190" s="110"/>
      <c r="C190" s="110"/>
      <c r="D190" s="110"/>
      <c r="E190" s="110"/>
      <c r="F190" s="110"/>
      <c r="G190" s="110"/>
      <c r="H190" s="1389"/>
      <c r="I190" s="1436" t="s">
        <v>343</v>
      </c>
    </row>
    <row r="191" spans="1:9" ht="38.25" x14ac:dyDescent="0.2">
      <c r="A191" s="110"/>
      <c r="B191" s="110"/>
      <c r="C191" s="110"/>
      <c r="D191" s="110"/>
      <c r="E191" s="110"/>
      <c r="F191" s="110"/>
      <c r="G191" s="110"/>
      <c r="H191" s="1389"/>
      <c r="I191" s="1436" t="s">
        <v>344</v>
      </c>
    </row>
    <row r="192" spans="1:9" ht="38.25" x14ac:dyDescent="0.2">
      <c r="A192" s="110"/>
      <c r="B192" s="110"/>
      <c r="C192" s="110"/>
      <c r="D192" s="110"/>
      <c r="E192" s="110"/>
      <c r="F192" s="110"/>
      <c r="G192" s="110"/>
      <c r="H192" s="1389"/>
      <c r="I192" s="1436" t="s">
        <v>345</v>
      </c>
    </row>
    <row r="193" spans="1:9" ht="29.25" customHeight="1" x14ac:dyDescent="0.2">
      <c r="A193" s="110"/>
      <c r="B193" s="110"/>
      <c r="C193" s="110"/>
      <c r="D193" s="110"/>
      <c r="E193" s="110"/>
      <c r="F193" s="110"/>
      <c r="G193" s="110"/>
      <c r="H193" s="1389"/>
      <c r="I193" s="1436" t="s">
        <v>346</v>
      </c>
    </row>
    <row r="194" spans="1:9" ht="69" customHeight="1" x14ac:dyDescent="0.2">
      <c r="A194" s="110"/>
      <c r="B194" s="110"/>
      <c r="C194" s="110"/>
      <c r="D194" s="110"/>
      <c r="E194" s="110"/>
      <c r="F194" s="110"/>
      <c r="G194" s="110"/>
      <c r="H194" s="1389"/>
      <c r="I194" s="121" t="s">
        <v>347</v>
      </c>
    </row>
    <row r="195" spans="1:9" ht="25.5" x14ac:dyDescent="0.2">
      <c r="A195" s="110"/>
      <c r="B195" s="110"/>
      <c r="C195" s="110"/>
      <c r="D195" s="110"/>
      <c r="E195" s="110"/>
      <c r="F195" s="110"/>
      <c r="G195" s="110"/>
      <c r="H195" s="1389"/>
      <c r="I195" s="1436" t="s">
        <v>348</v>
      </c>
    </row>
    <row r="196" spans="1:9" ht="38.25" x14ac:dyDescent="0.2">
      <c r="A196" s="110"/>
      <c r="B196" s="110"/>
      <c r="C196" s="110"/>
      <c r="D196" s="110"/>
      <c r="E196" s="110"/>
      <c r="F196" s="110"/>
      <c r="G196" s="110"/>
      <c r="H196" s="1389"/>
      <c r="I196" s="1436" t="s">
        <v>1262</v>
      </c>
    </row>
    <row r="197" spans="1:9" ht="38.25" x14ac:dyDescent="0.2">
      <c r="A197" s="110"/>
      <c r="B197" s="110"/>
      <c r="C197" s="110"/>
      <c r="D197" s="110"/>
      <c r="E197" s="110"/>
      <c r="F197" s="110"/>
      <c r="G197" s="110"/>
      <c r="H197" s="1389"/>
      <c r="I197" s="1436" t="s">
        <v>349</v>
      </c>
    </row>
    <row r="198" spans="1:9" ht="38.25" x14ac:dyDescent="0.2">
      <c r="A198" s="110"/>
      <c r="B198" s="110"/>
      <c r="C198" s="110"/>
      <c r="D198" s="110"/>
      <c r="E198" s="110"/>
      <c r="F198" s="110"/>
      <c r="G198" s="110"/>
      <c r="H198" s="1389"/>
      <c r="I198" s="1436" t="s">
        <v>350</v>
      </c>
    </row>
    <row r="199" spans="1:9" ht="42" customHeight="1" x14ac:dyDescent="0.2">
      <c r="A199" s="110"/>
      <c r="B199" s="110"/>
      <c r="C199" s="110"/>
      <c r="D199" s="110"/>
      <c r="E199" s="110"/>
      <c r="F199" s="110"/>
      <c r="G199" s="110"/>
      <c r="H199" s="1389"/>
      <c r="I199" s="1436" t="s">
        <v>351</v>
      </c>
    </row>
    <row r="200" spans="1:9" ht="30.75" customHeight="1" x14ac:dyDescent="0.2">
      <c r="A200" s="110"/>
      <c r="B200" s="110"/>
      <c r="C200" s="110"/>
      <c r="D200" s="110"/>
      <c r="E200" s="110"/>
      <c r="F200" s="110"/>
      <c r="G200" s="110"/>
      <c r="H200" s="1389"/>
      <c r="I200" s="1436" t="s">
        <v>352</v>
      </c>
    </row>
    <row r="201" spans="1:9" ht="51" x14ac:dyDescent="0.2">
      <c r="A201" s="110"/>
      <c r="B201" s="110"/>
      <c r="C201" s="110"/>
      <c r="D201" s="110"/>
      <c r="E201" s="110"/>
      <c r="F201" s="110"/>
      <c r="G201" s="110"/>
      <c r="H201" s="1389"/>
      <c r="I201" s="1436" t="s">
        <v>353</v>
      </c>
    </row>
    <row r="202" spans="1:9" ht="42" customHeight="1" x14ac:dyDescent="0.2">
      <c r="A202" s="110"/>
      <c r="B202" s="110"/>
      <c r="C202" s="110"/>
      <c r="D202" s="110"/>
      <c r="E202" s="110"/>
      <c r="F202" s="110"/>
      <c r="G202" s="110"/>
      <c r="H202" s="1389"/>
      <c r="I202" s="1436" t="s">
        <v>328</v>
      </c>
    </row>
    <row r="203" spans="1:9" ht="42" customHeight="1" x14ac:dyDescent="0.2">
      <c r="A203" s="110"/>
      <c r="B203" s="110"/>
      <c r="C203" s="110"/>
      <c r="D203" s="110"/>
      <c r="E203" s="110"/>
      <c r="F203" s="110"/>
      <c r="G203" s="110"/>
      <c r="H203" s="1389"/>
      <c r="I203" s="1436" t="s">
        <v>354</v>
      </c>
    </row>
    <row r="204" spans="1:9" ht="30" customHeight="1" x14ac:dyDescent="0.2">
      <c r="A204" s="110"/>
      <c r="B204" s="110"/>
      <c r="C204" s="110"/>
      <c r="D204" s="110"/>
      <c r="E204" s="110"/>
      <c r="F204" s="110"/>
      <c r="G204" s="110"/>
      <c r="H204" s="1389"/>
      <c r="I204" s="1436" t="s">
        <v>2018</v>
      </c>
    </row>
    <row r="205" spans="1:9" ht="63.75" x14ac:dyDescent="0.2">
      <c r="A205" s="110"/>
      <c r="B205" s="110"/>
      <c r="C205" s="110"/>
      <c r="D205" s="110"/>
      <c r="E205" s="110"/>
      <c r="F205" s="110"/>
      <c r="G205" s="110"/>
      <c r="H205" s="1389"/>
      <c r="I205" s="1436" t="s">
        <v>2019</v>
      </c>
    </row>
    <row r="206" spans="1:9" ht="42" customHeight="1" x14ac:dyDescent="0.2">
      <c r="A206" s="110"/>
      <c r="B206" s="110"/>
      <c r="C206" s="110"/>
      <c r="D206" s="110"/>
      <c r="E206" s="110"/>
      <c r="F206" s="110"/>
      <c r="G206" s="110"/>
      <c r="H206" s="1389"/>
      <c r="I206" s="1436" t="s">
        <v>355</v>
      </c>
    </row>
    <row r="207" spans="1:9" ht="42" customHeight="1" x14ac:dyDescent="0.2">
      <c r="A207" s="110"/>
      <c r="B207" s="110"/>
      <c r="C207" s="110"/>
      <c r="D207" s="110"/>
      <c r="E207" s="110"/>
      <c r="F207" s="110"/>
      <c r="G207" s="110"/>
      <c r="H207" s="1389"/>
      <c r="I207" s="1436" t="s">
        <v>1866</v>
      </c>
    </row>
    <row r="208" spans="1:9" ht="51.75" thickBot="1" x14ac:dyDescent="0.25">
      <c r="A208" s="110"/>
      <c r="B208" s="110"/>
      <c r="C208" s="110"/>
      <c r="D208" s="110"/>
      <c r="E208" s="110"/>
      <c r="F208" s="110"/>
      <c r="G208" s="110"/>
      <c r="H208" s="1389"/>
      <c r="I208" s="1434" t="s">
        <v>356</v>
      </c>
    </row>
    <row r="209" spans="1:9" ht="61.9" customHeight="1" x14ac:dyDescent="0.2">
      <c r="A209" s="110"/>
      <c r="B209" s="110"/>
      <c r="C209" s="110"/>
      <c r="D209" s="110"/>
      <c r="E209" s="110"/>
      <c r="F209" s="110"/>
      <c r="G209" s="110"/>
      <c r="H209" s="110"/>
      <c r="I209" s="940"/>
    </row>
    <row r="210" spans="1:9" ht="40.5" customHeight="1" x14ac:dyDescent="0.2">
      <c r="A210" s="110"/>
      <c r="B210" s="110"/>
      <c r="C210" s="110"/>
      <c r="D210" s="110"/>
      <c r="E210" s="110"/>
      <c r="F210" s="110"/>
      <c r="G210" s="110"/>
      <c r="H210" s="110"/>
    </row>
    <row r="211" spans="1:9" ht="27" customHeight="1" x14ac:dyDescent="0.2">
      <c r="A211" s="110"/>
      <c r="B211" s="110"/>
      <c r="C211" s="110"/>
      <c r="D211" s="110"/>
      <c r="E211" s="110"/>
      <c r="F211" s="110"/>
      <c r="G211" s="110"/>
      <c r="H211" s="110"/>
    </row>
    <row r="212" spans="1:9" ht="54.75" customHeight="1" x14ac:dyDescent="0.2">
      <c r="A212" s="110"/>
      <c r="B212" s="110"/>
      <c r="C212" s="110"/>
      <c r="D212" s="110"/>
      <c r="E212" s="110"/>
      <c r="F212" s="110"/>
      <c r="G212" s="110"/>
      <c r="H212" s="110"/>
    </row>
    <row r="213" spans="1:9" ht="42" customHeight="1" x14ac:dyDescent="0.2">
      <c r="A213" s="110"/>
      <c r="B213" s="110"/>
      <c r="C213" s="110"/>
      <c r="D213" s="110"/>
      <c r="E213" s="110"/>
      <c r="F213" s="110"/>
      <c r="G213" s="110"/>
      <c r="H213" s="110"/>
    </row>
    <row r="214" spans="1:9" ht="39" customHeight="1" x14ac:dyDescent="0.2">
      <c r="A214" s="110"/>
      <c r="B214" s="110"/>
      <c r="C214" s="110"/>
      <c r="D214" s="110"/>
      <c r="E214" s="110"/>
      <c r="F214" s="110"/>
      <c r="G214" s="110"/>
      <c r="H214" s="110"/>
    </row>
    <row r="215" spans="1:9" ht="27" customHeight="1" x14ac:dyDescent="0.2">
      <c r="A215" s="110"/>
      <c r="B215" s="110"/>
      <c r="C215" s="110"/>
      <c r="D215" s="110"/>
      <c r="E215" s="110"/>
      <c r="F215" s="110"/>
      <c r="G215" s="110"/>
      <c r="H215" s="110"/>
    </row>
    <row r="216" spans="1:9" ht="69" customHeight="1" x14ac:dyDescent="0.2">
      <c r="A216" s="110"/>
      <c r="B216" s="110"/>
      <c r="C216" s="110"/>
      <c r="D216" s="110"/>
      <c r="E216" s="110"/>
      <c r="F216" s="110"/>
      <c r="G216" s="110"/>
      <c r="H216" s="110"/>
    </row>
    <row r="217" spans="1:9" ht="42" customHeight="1" x14ac:dyDescent="0.2">
      <c r="A217" s="110"/>
      <c r="B217" s="110"/>
      <c r="C217" s="110"/>
      <c r="D217" s="110"/>
      <c r="E217" s="110"/>
      <c r="F217" s="110"/>
      <c r="G217" s="110"/>
      <c r="H217" s="110"/>
    </row>
    <row r="218" spans="1:9" ht="42" customHeight="1" x14ac:dyDescent="0.2">
      <c r="A218" s="110"/>
      <c r="B218" s="110"/>
      <c r="C218" s="110"/>
      <c r="D218" s="110"/>
      <c r="E218" s="110"/>
      <c r="F218" s="110"/>
      <c r="G218" s="110"/>
      <c r="H218" s="110"/>
    </row>
    <row r="219" spans="1:9" ht="55.5" customHeight="1" x14ac:dyDescent="0.2">
      <c r="A219" s="110"/>
      <c r="B219" s="110"/>
      <c r="C219" s="110"/>
      <c r="D219" s="110"/>
      <c r="E219" s="110"/>
      <c r="F219" s="110"/>
      <c r="G219" s="110"/>
      <c r="H219" s="110"/>
    </row>
    <row r="220" spans="1:9" ht="42" customHeight="1" x14ac:dyDescent="0.2">
      <c r="A220" s="21"/>
      <c r="B220" s="21"/>
      <c r="D220" s="175"/>
      <c r="E220" s="21"/>
      <c r="F220" s="21"/>
      <c r="G220" s="175"/>
    </row>
    <row r="221" spans="1:9" ht="42" customHeight="1" x14ac:dyDescent="0.2">
      <c r="A221" s="21"/>
      <c r="B221" s="21"/>
      <c r="D221" s="175"/>
      <c r="E221" s="21"/>
      <c r="F221" s="21"/>
      <c r="G221" s="175"/>
    </row>
    <row r="222" spans="1:9" ht="30" customHeight="1" x14ac:dyDescent="0.2">
      <c r="A222" s="21"/>
      <c r="B222" s="21"/>
      <c r="D222" s="175"/>
      <c r="E222" s="21"/>
      <c r="F222" s="21"/>
      <c r="G222" s="175"/>
    </row>
    <row r="223" spans="1:9" ht="70.150000000000006" customHeight="1" x14ac:dyDescent="0.2">
      <c r="A223" s="21"/>
      <c r="B223" s="21"/>
      <c r="D223" s="175"/>
      <c r="E223" s="21"/>
      <c r="F223" s="21"/>
      <c r="G223" s="175"/>
    </row>
    <row r="224" spans="1:9" ht="30.6" customHeight="1" x14ac:dyDescent="0.2">
      <c r="A224" s="21"/>
      <c r="B224" s="21"/>
      <c r="D224" s="175"/>
      <c r="E224" s="21"/>
      <c r="F224" s="21"/>
      <c r="G224" s="175"/>
    </row>
    <row r="225" spans="1:7" ht="30.6" customHeight="1" x14ac:dyDescent="0.2">
      <c r="A225" s="21"/>
      <c r="B225" s="21"/>
      <c r="D225" s="175"/>
      <c r="E225" s="21"/>
      <c r="F225" s="21"/>
      <c r="G225" s="175"/>
    </row>
    <row r="226" spans="1:7" ht="30.6" customHeight="1" x14ac:dyDescent="0.2">
      <c r="A226" s="21"/>
      <c r="B226" s="21"/>
      <c r="D226" s="175"/>
      <c r="E226" s="21"/>
      <c r="F226" s="21"/>
      <c r="G226" s="175"/>
    </row>
    <row r="227" spans="1:7" ht="42.6" customHeight="1" x14ac:dyDescent="0.2">
      <c r="A227" s="21"/>
      <c r="B227" s="21"/>
      <c r="D227" s="175"/>
      <c r="E227" s="21"/>
      <c r="F227" s="21"/>
      <c r="G227" s="175"/>
    </row>
    <row r="228" spans="1:7" ht="30.6" customHeight="1" x14ac:dyDescent="0.2">
      <c r="A228" s="21"/>
      <c r="B228" s="21"/>
      <c r="D228" s="175"/>
      <c r="E228" s="21"/>
      <c r="F228" s="21"/>
      <c r="G228" s="175"/>
    </row>
    <row r="229" spans="1:7" x14ac:dyDescent="0.2">
      <c r="A229" s="21"/>
      <c r="B229" s="21"/>
      <c r="D229" s="175"/>
      <c r="E229" s="21"/>
      <c r="F229" s="21"/>
      <c r="G229" s="175"/>
    </row>
    <row r="230" spans="1:7" ht="42.6" customHeight="1" x14ac:dyDescent="0.2">
      <c r="A230" s="21"/>
      <c r="B230" s="21"/>
      <c r="D230" s="175"/>
      <c r="E230" s="21"/>
      <c r="F230" s="21"/>
      <c r="G230" s="175"/>
    </row>
    <row r="231" spans="1:7" ht="42.6" customHeight="1" x14ac:dyDescent="0.2">
      <c r="A231" s="21"/>
      <c r="B231" s="21"/>
      <c r="D231" s="175"/>
      <c r="E231" s="21"/>
      <c r="F231" s="21"/>
      <c r="G231" s="175"/>
    </row>
    <row r="232" spans="1:7" ht="30.6" customHeight="1" x14ac:dyDescent="0.2">
      <c r="A232" s="21"/>
      <c r="B232" s="21"/>
      <c r="D232" s="175"/>
      <c r="E232" s="21"/>
      <c r="F232" s="21"/>
      <c r="G232" s="175"/>
    </row>
    <row r="233" spans="1:7" ht="70.900000000000006" customHeight="1" x14ac:dyDescent="0.2">
      <c r="A233" s="21"/>
      <c r="B233" s="21"/>
      <c r="D233" s="175"/>
      <c r="E233" s="21"/>
      <c r="F233" s="21"/>
      <c r="G233" s="175"/>
    </row>
    <row r="234" spans="1:7" ht="42" customHeight="1" x14ac:dyDescent="0.2">
      <c r="A234" s="21"/>
      <c r="B234" s="21"/>
      <c r="D234" s="175"/>
      <c r="E234" s="21"/>
      <c r="F234" s="21"/>
      <c r="G234" s="175"/>
    </row>
    <row r="235" spans="1:7" ht="43.15" customHeight="1" x14ac:dyDescent="0.2">
      <c r="A235" s="21"/>
      <c r="B235" s="21"/>
      <c r="D235" s="175"/>
      <c r="E235" s="21"/>
      <c r="F235" s="21"/>
      <c r="G235" s="175"/>
    </row>
    <row r="236" spans="1:7" ht="57" customHeight="1" x14ac:dyDescent="0.2">
      <c r="A236" s="21"/>
      <c r="B236" s="21"/>
      <c r="D236" s="175"/>
      <c r="E236" s="21"/>
      <c r="F236" s="21"/>
      <c r="G236" s="175"/>
    </row>
    <row r="237" spans="1:7" x14ac:dyDescent="0.2">
      <c r="A237" s="1402"/>
      <c r="C237" s="14"/>
    </row>
  </sheetData>
  <sheetProtection password="C4B9" sheet="1" objects="1" scenarios="1"/>
  <sortState ref="A3:P16">
    <sortCondition ref="H3:H16"/>
  </sortState>
  <customSheetViews>
    <customSheetView guid="{B8E02330-2419-4DE6-AD01-7ACC7A5D18DD}" scale="75" topLeftCell="A154">
      <selection activeCell="A2" sqref="A2:H175"/>
      <pageMargins left="0.75" right="0.75" top="1" bottom="1" header="0.5" footer="0.5"/>
      <pageSetup orientation="portrait" r:id="rId1"/>
      <headerFooter alignWithMargins="0"/>
    </customSheetView>
  </customSheetViews>
  <mergeCells count="106">
    <mergeCell ref="H115:H120"/>
    <mergeCell ref="A115:A120"/>
    <mergeCell ref="A144:A148"/>
    <mergeCell ref="H144:H148"/>
    <mergeCell ref="H141:H143"/>
    <mergeCell ref="H31:H37"/>
    <mergeCell ref="I141:I143"/>
    <mergeCell ref="H53:H56"/>
    <mergeCell ref="H57:H59"/>
    <mergeCell ref="H102:H105"/>
    <mergeCell ref="H125:H130"/>
    <mergeCell ref="I110:I114"/>
    <mergeCell ref="H110:H114"/>
    <mergeCell ref="I102:I105"/>
    <mergeCell ref="I135:I140"/>
    <mergeCell ref="I91:I94"/>
    <mergeCell ref="H41:H46"/>
    <mergeCell ref="H38:H40"/>
    <mergeCell ref="I47:I52"/>
    <mergeCell ref="I57:I59"/>
    <mergeCell ref="A73:A78"/>
    <mergeCell ref="B79:B84"/>
    <mergeCell ref="A95:A101"/>
    <mergeCell ref="B95:B101"/>
    <mergeCell ref="A79:A84"/>
    <mergeCell ref="A85:A90"/>
    <mergeCell ref="A106:A109"/>
    <mergeCell ref="B91:B94"/>
    <mergeCell ref="A141:A143"/>
    <mergeCell ref="A47:A52"/>
    <mergeCell ref="A41:A46"/>
    <mergeCell ref="B41:B46"/>
    <mergeCell ref="B47:B52"/>
    <mergeCell ref="B141:B143"/>
    <mergeCell ref="B135:B140"/>
    <mergeCell ref="A135:A140"/>
    <mergeCell ref="H135:H140"/>
    <mergeCell ref="B110:B114"/>
    <mergeCell ref="B102:B105"/>
    <mergeCell ref="H131:H134"/>
    <mergeCell ref="B115:B120"/>
    <mergeCell ref="A131:A134"/>
    <mergeCell ref="A38:A40"/>
    <mergeCell ref="A57:A59"/>
    <mergeCell ref="B53:B56"/>
    <mergeCell ref="A110:A114"/>
    <mergeCell ref="A102:A105"/>
    <mergeCell ref="A125:A130"/>
    <mergeCell ref="A53:A56"/>
    <mergeCell ref="B106:B109"/>
    <mergeCell ref="B125:B130"/>
    <mergeCell ref="B85:B90"/>
    <mergeCell ref="A91:A94"/>
    <mergeCell ref="H121:H124"/>
    <mergeCell ref="H47:H52"/>
    <mergeCell ref="B131:B134"/>
    <mergeCell ref="B121:B124"/>
    <mergeCell ref="A121:A124"/>
    <mergeCell ref="H79:H84"/>
    <mergeCell ref="H85:H90"/>
    <mergeCell ref="B144:B148"/>
    <mergeCell ref="I144:I148"/>
    <mergeCell ref="H91:H94"/>
    <mergeCell ref="H95:H101"/>
    <mergeCell ref="I95:I101"/>
    <mergeCell ref="H106:H109"/>
    <mergeCell ref="I18:I23"/>
    <mergeCell ref="I66:I72"/>
    <mergeCell ref="H66:H72"/>
    <mergeCell ref="B57:B59"/>
    <mergeCell ref="B31:B37"/>
    <mergeCell ref="B73:B78"/>
    <mergeCell ref="I73:I78"/>
    <mergeCell ref="H73:H78"/>
    <mergeCell ref="B38:B40"/>
    <mergeCell ref="I53:I56"/>
    <mergeCell ref="I41:I46"/>
    <mergeCell ref="I125:I130"/>
    <mergeCell ref="I121:I124"/>
    <mergeCell ref="I85:I90"/>
    <mergeCell ref="I79:I84"/>
    <mergeCell ref="I115:I120"/>
    <mergeCell ref="I131:I134"/>
    <mergeCell ref="I106:I109"/>
    <mergeCell ref="E1:I1"/>
    <mergeCell ref="A1:B1"/>
    <mergeCell ref="A60:A65"/>
    <mergeCell ref="A66:A72"/>
    <mergeCell ref="B11:B17"/>
    <mergeCell ref="B66:B72"/>
    <mergeCell ref="B60:B65"/>
    <mergeCell ref="A18:A23"/>
    <mergeCell ref="H11:H17"/>
    <mergeCell ref="H18:H23"/>
    <mergeCell ref="H60:H65"/>
    <mergeCell ref="I60:I65"/>
    <mergeCell ref="I11:I17"/>
    <mergeCell ref="B18:B23"/>
    <mergeCell ref="I38:I40"/>
    <mergeCell ref="I31:I37"/>
    <mergeCell ref="A11:A17"/>
    <mergeCell ref="A31:A37"/>
    <mergeCell ref="H24:H30"/>
    <mergeCell ref="B24:B30"/>
    <mergeCell ref="I24:I30"/>
    <mergeCell ref="A24:A30"/>
  </mergeCells>
  <phoneticPr fontId="12" type="noConversion"/>
  <conditionalFormatting sqref="D168 D161:D165 D149:D153 D155:D156 D158:D159 D141:D142 D133:D139 D129:D131 D122:D127 G110 D111:D114 D47 D49:D55 D57:D58 D25:D31 D40:D45 D60:D61 D63:D71 D88:D93 D95:D98 D83:D86 D104:D108 D73:D74 D76:D80 D100:D102 D11 D13:D14 D16:D23 D36:D38">
    <cfRule type="cellIs" dxfId="6" priority="3" operator="greaterThan">
      <formula>0</formula>
    </cfRule>
  </conditionalFormatting>
  <pageMargins left="0.75" right="0.75" top="1" bottom="1" header="0.5" footer="0.5"/>
  <pageSetup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67"/>
  <sheetViews>
    <sheetView zoomScaleNormal="100" workbookViewId="0">
      <selection activeCell="C8" sqref="C8"/>
    </sheetView>
  </sheetViews>
  <sheetFormatPr defaultColWidth="9.33203125" defaultRowHeight="16.5" x14ac:dyDescent="0.2"/>
  <cols>
    <col min="1" max="1" width="5.83203125" style="11" customWidth="1"/>
    <col min="2" max="2" width="18.83203125" style="118" customWidth="1"/>
    <col min="3" max="3" width="69.83203125" style="5" customWidth="1"/>
    <col min="4" max="6" width="6.83203125" style="249" customWidth="1"/>
    <col min="7" max="7" width="10.83203125" style="250" customWidth="1"/>
    <col min="8" max="8" width="14.6640625" style="19" customWidth="1"/>
    <col min="9" max="9" width="67.83203125" style="11" customWidth="1"/>
    <col min="10" max="10" width="9.33203125" style="172"/>
    <col min="11" max="16384" width="9.33203125" style="11"/>
  </cols>
  <sheetData>
    <row r="1" spans="1:12" ht="45" customHeight="1" thickBot="1" x14ac:dyDescent="0.25">
      <c r="A1" s="1976" t="s">
        <v>2169</v>
      </c>
      <c r="B1" s="1977"/>
      <c r="C1" s="60" t="s">
        <v>1239</v>
      </c>
      <c r="D1" s="100" t="s">
        <v>683</v>
      </c>
      <c r="E1" s="2168"/>
      <c r="F1" s="2169"/>
      <c r="G1" s="2169"/>
      <c r="H1" s="2169"/>
      <c r="I1" s="2170"/>
    </row>
    <row r="2" spans="1:12" s="109" customFormat="1" ht="50.25" thickBot="1" x14ac:dyDescent="0.35">
      <c r="A2" s="1008" t="s">
        <v>78</v>
      </c>
      <c r="B2" s="1009" t="s">
        <v>701</v>
      </c>
      <c r="C2" s="1010" t="s">
        <v>866</v>
      </c>
      <c r="D2" s="1008"/>
      <c r="E2" s="1011"/>
      <c r="F2" s="1012"/>
      <c r="G2" s="1013" t="s">
        <v>710</v>
      </c>
      <c r="H2" s="1009" t="s">
        <v>2028</v>
      </c>
      <c r="I2" s="1034" t="s">
        <v>255</v>
      </c>
      <c r="J2" s="1035"/>
    </row>
    <row r="3" spans="1:12" s="108" customFormat="1" ht="51.75" thickBot="1" x14ac:dyDescent="0.25">
      <c r="A3" s="418" t="str">
        <f>OF!A4</f>
        <v>OF3</v>
      </c>
      <c r="B3" s="323" t="str">
        <f>OF!C4</f>
        <v>Channel Connection</v>
      </c>
      <c r="C3" s="337" t="s">
        <v>1004</v>
      </c>
      <c r="D3" s="324"/>
      <c r="E3" s="325"/>
      <c r="F3" s="325"/>
      <c r="G3" s="345" t="str">
        <f>IF((ChannConn=""),"",ChannConn)</f>
        <v/>
      </c>
      <c r="H3" s="1360" t="s">
        <v>845</v>
      </c>
      <c r="I3" s="1368" t="s">
        <v>1001</v>
      </c>
      <c r="J3" s="148"/>
    </row>
    <row r="4" spans="1:12" s="1325" customFormat="1" ht="39" thickBot="1" x14ac:dyDescent="0.25">
      <c r="A4" s="318" t="str">
        <f>OF!A8</f>
        <v>OF7</v>
      </c>
      <c r="B4" s="318" t="str">
        <f>OF!C8</f>
        <v>Distance to Nearest Road (from Wetland Edge)</v>
      </c>
      <c r="C4" s="336"/>
      <c r="D4" s="320"/>
      <c r="E4" s="321"/>
      <c r="F4" s="321"/>
      <c r="G4" s="416" t="str">
        <f>IF((Dist2Road=""),"",Dist2Road)</f>
        <v/>
      </c>
      <c r="H4" s="332" t="s">
        <v>812</v>
      </c>
      <c r="I4" s="791" t="s">
        <v>1002</v>
      </c>
      <c r="J4" s="80"/>
      <c r="K4" s="110"/>
      <c r="L4" s="110"/>
    </row>
    <row r="5" spans="1:12" s="1325" customFormat="1" ht="51.75" thickBot="1" x14ac:dyDescent="0.25">
      <c r="A5" s="418" t="str">
        <f>OF!A14</f>
        <v>OF13</v>
      </c>
      <c r="B5" s="323" t="str">
        <f>OF!C14</f>
        <v>Fish Presence</v>
      </c>
      <c r="C5" s="337" t="s">
        <v>1005</v>
      </c>
      <c r="D5" s="324"/>
      <c r="E5" s="325"/>
      <c r="F5" s="325"/>
      <c r="G5" s="470" t="str">
        <f>IF((FishPres=""),"",IF((FishPres=1),1,""))</f>
        <v/>
      </c>
      <c r="H5" s="1360" t="s">
        <v>675</v>
      </c>
      <c r="I5" s="1362" t="s">
        <v>1003</v>
      </c>
      <c r="J5" s="80"/>
      <c r="K5" s="110"/>
      <c r="L5" s="110"/>
    </row>
    <row r="6" spans="1:12" s="110" customFormat="1" ht="30" customHeight="1" thickBot="1" x14ac:dyDescent="0.25">
      <c r="A6" s="317" t="str">
        <f>OF!A16</f>
        <v>OF15</v>
      </c>
      <c r="B6" s="318" t="str">
        <f>OF!C16</f>
        <v>Growing Degree Days</v>
      </c>
      <c r="C6" s="336"/>
      <c r="D6" s="320"/>
      <c r="E6" s="321"/>
      <c r="F6" s="321"/>
      <c r="G6" s="330" t="str">
        <f>IF((GrowDD=""),"",GrowDD)</f>
        <v/>
      </c>
      <c r="H6" s="332" t="s">
        <v>698</v>
      </c>
      <c r="I6" s="791" t="s">
        <v>554</v>
      </c>
      <c r="J6" s="80"/>
    </row>
    <row r="7" spans="1:12" s="110" customFormat="1" ht="30" customHeight="1" thickBot="1" x14ac:dyDescent="0.25">
      <c r="A7" s="317" t="str">
        <f>OF!A17</f>
        <v>OF16</v>
      </c>
      <c r="B7" s="318" t="str">
        <f>OF!C17</f>
        <v>Groundwater Discharge Area or Spring</v>
      </c>
      <c r="C7" s="336"/>
      <c r="D7" s="1259"/>
      <c r="E7" s="1260"/>
      <c r="F7" s="1260"/>
      <c r="G7" s="809" t="str">
        <f>IF((GWDspring=""),"",GWDspring)</f>
        <v/>
      </c>
      <c r="H7" s="1261" t="s">
        <v>668</v>
      </c>
      <c r="I7" s="1318" t="s">
        <v>2401</v>
      </c>
      <c r="J7" s="80"/>
    </row>
    <row r="8" spans="1:12" s="110" customFormat="1" ht="42" customHeight="1" thickBot="1" x14ac:dyDescent="0.25">
      <c r="A8" s="317" t="str">
        <f>OF!A24</f>
        <v>OF23</v>
      </c>
      <c r="B8" s="318" t="str">
        <f>OF!C24</f>
        <v>% of AA that is Open Water (macro scale)</v>
      </c>
      <c r="C8" s="336"/>
      <c r="D8" s="320"/>
      <c r="E8" s="321"/>
      <c r="F8" s="321"/>
      <c r="G8" s="330" t="str">
        <f>IF((OWpct=""),"",OWpct)</f>
        <v/>
      </c>
      <c r="H8" s="332" t="s">
        <v>787</v>
      </c>
      <c r="I8" s="836" t="s">
        <v>1240</v>
      </c>
      <c r="J8" s="1192"/>
      <c r="K8" s="1325"/>
      <c r="L8" s="1325"/>
    </row>
    <row r="9" spans="1:12" s="110" customFormat="1" ht="42" customHeight="1" thickBot="1" x14ac:dyDescent="0.25">
      <c r="A9" s="317" t="str">
        <f>OF!A32</f>
        <v>OF31</v>
      </c>
      <c r="B9" s="318" t="str">
        <f>OF!C32</f>
        <v>Road Density Within 1km Buffer</v>
      </c>
      <c r="C9" s="336"/>
      <c r="D9" s="320"/>
      <c r="E9" s="321"/>
      <c r="F9" s="321"/>
      <c r="G9" s="330" t="str">
        <f>IF((RdDens1k=""),"",RdDens1k)</f>
        <v/>
      </c>
      <c r="H9" s="332" t="s">
        <v>688</v>
      </c>
      <c r="I9" s="791" t="s">
        <v>1850</v>
      </c>
      <c r="J9" s="80"/>
    </row>
    <row r="10" spans="1:12" s="110" customFormat="1" ht="51.75" thickBot="1" x14ac:dyDescent="0.25">
      <c r="A10" s="317" t="str">
        <f>OF!A34</f>
        <v>OF33</v>
      </c>
      <c r="B10" s="864" t="str">
        <f>OF!C34</f>
        <v>Riparian or Floodway Location</v>
      </c>
      <c r="C10" s="336" t="s">
        <v>1085</v>
      </c>
      <c r="D10" s="764"/>
      <c r="E10" s="765"/>
      <c r="F10" s="765"/>
      <c r="G10" s="873" t="str">
        <f>IF((RipFloodpl=""),"",IF((RipFloodpl=1),1,""))</f>
        <v/>
      </c>
      <c r="H10" s="861" t="s">
        <v>697</v>
      </c>
      <c r="I10" s="791" t="s">
        <v>1326</v>
      </c>
      <c r="J10" s="80"/>
    </row>
    <row r="11" spans="1:12" s="110" customFormat="1" ht="30" customHeight="1" thickBot="1" x14ac:dyDescent="0.25">
      <c r="A11" s="317" t="str">
        <f>OF!A37</f>
        <v>OF36</v>
      </c>
      <c r="B11" s="864" t="str">
        <f>OF!C37</f>
        <v>Subzero Days</v>
      </c>
      <c r="C11" s="336"/>
      <c r="D11" s="764"/>
      <c r="E11" s="765"/>
      <c r="F11" s="765"/>
      <c r="G11" s="809" t="str">
        <f>IF((Sub0Days=""),"",Sub0Days)</f>
        <v/>
      </c>
      <c r="H11" s="861" t="s">
        <v>689</v>
      </c>
      <c r="I11" s="791" t="s">
        <v>555</v>
      </c>
      <c r="J11" s="80"/>
    </row>
    <row r="12" spans="1:12" s="110" customFormat="1" ht="30" customHeight="1" thickBot="1" x14ac:dyDescent="0.25">
      <c r="A12" s="418" t="str">
        <f>OF!A44</f>
        <v>OF43</v>
      </c>
      <c r="B12" s="323" t="str">
        <f>OF!C44</f>
        <v>AA Size</v>
      </c>
      <c r="C12" s="337"/>
      <c r="D12" s="324"/>
      <c r="E12" s="325"/>
      <c r="F12" s="325"/>
      <c r="G12" s="345" t="str">
        <f>IF((WetArea=""),"",WetArea)</f>
        <v/>
      </c>
      <c r="H12" s="1360" t="s">
        <v>655</v>
      </c>
      <c r="I12" s="1383" t="s">
        <v>1350</v>
      </c>
      <c r="J12" s="1192"/>
      <c r="K12" s="1596"/>
      <c r="L12" s="1325"/>
    </row>
    <row r="13" spans="1:12" s="1007" customFormat="1" ht="66.75" thickBot="1" x14ac:dyDescent="0.35">
      <c r="A13" s="997" t="s">
        <v>78</v>
      </c>
      <c r="B13" s="998" t="s">
        <v>709</v>
      </c>
      <c r="C13" s="999" t="s">
        <v>708</v>
      </c>
      <c r="D13" s="1000" t="s">
        <v>33</v>
      </c>
      <c r="E13" s="1001" t="s">
        <v>1131</v>
      </c>
      <c r="F13" s="1002" t="s">
        <v>1130</v>
      </c>
      <c r="G13" s="1003" t="s">
        <v>710</v>
      </c>
      <c r="H13" s="1004" t="s">
        <v>2028</v>
      </c>
      <c r="I13" s="1005" t="s">
        <v>917</v>
      </c>
      <c r="J13" s="1006"/>
    </row>
    <row r="14" spans="1:12" s="110" customFormat="1" ht="39" thickBot="1" x14ac:dyDescent="0.25">
      <c r="A14" s="2078" t="str">
        <f>F!A121</f>
        <v>F22</v>
      </c>
      <c r="B14" s="2152" t="str">
        <f>F!B121</f>
        <v>% Never With Surface Water</v>
      </c>
      <c r="C14" s="471" t="str">
        <f>F!C121</f>
        <v>The percentage of the AA that never contains surface water during an average year (that is, except perhaps for a few hours after snowmelt or rainstorms), but which is still a wetland, is:</v>
      </c>
      <c r="D14" s="282"/>
      <c r="E14" s="777"/>
      <c r="F14" s="256"/>
      <c r="G14" s="225">
        <f>MAX(F15:F19)/MAX(E15:E19)</f>
        <v>0</v>
      </c>
      <c r="H14" s="1867" t="s">
        <v>292</v>
      </c>
      <c r="I14" s="1867" t="s">
        <v>291</v>
      </c>
      <c r="J14" s="80"/>
    </row>
    <row r="15" spans="1:12" s="110" customFormat="1" ht="38.25" x14ac:dyDescent="0.2">
      <c r="A15" s="2039"/>
      <c r="B15" s="2153"/>
      <c r="C15" s="785" t="str">
        <f>F!C122</f>
        <v>&lt;0.01 hectare (about 10 m on a side) and &lt;1% of the AA never has surface water.  In other words, all or nearly all of the AA is covered by water permanently or at least seasonally.</v>
      </c>
      <c r="D15" s="778">
        <f>F!D122</f>
        <v>0</v>
      </c>
      <c r="E15" s="722">
        <v>5</v>
      </c>
      <c r="F15" s="722">
        <f>D15*E15</f>
        <v>0</v>
      </c>
      <c r="G15" s="775"/>
      <c r="H15" s="1911"/>
      <c r="I15" s="1911"/>
      <c r="J15" s="80"/>
    </row>
    <row r="16" spans="1:12" s="110" customFormat="1" ht="15" customHeight="1" x14ac:dyDescent="0.2">
      <c r="A16" s="2039"/>
      <c r="B16" s="2153"/>
      <c r="C16" s="785" t="str">
        <f>F!C123</f>
        <v>1-25% of the AA never contains surface water.</v>
      </c>
      <c r="D16" s="778">
        <f>F!D123</f>
        <v>0</v>
      </c>
      <c r="E16" s="722">
        <v>4</v>
      </c>
      <c r="F16" s="722">
        <f>D16*E16</f>
        <v>0</v>
      </c>
      <c r="G16" s="775"/>
      <c r="H16" s="1911"/>
      <c r="I16" s="1911"/>
      <c r="J16" s="80"/>
    </row>
    <row r="17" spans="1:10" s="110" customFormat="1" ht="15" customHeight="1" x14ac:dyDescent="0.2">
      <c r="A17" s="2039"/>
      <c r="B17" s="2153"/>
      <c r="C17" s="785" t="str">
        <f>F!C124</f>
        <v>25-50% of the AA never contains surface water.</v>
      </c>
      <c r="D17" s="778">
        <f>F!D124</f>
        <v>0</v>
      </c>
      <c r="E17" s="722">
        <v>3</v>
      </c>
      <c r="F17" s="722">
        <f>D17*E17</f>
        <v>0</v>
      </c>
      <c r="G17" s="775"/>
      <c r="H17" s="1911"/>
      <c r="I17" s="1911"/>
      <c r="J17" s="80"/>
    </row>
    <row r="18" spans="1:10" s="110" customFormat="1" ht="15" customHeight="1" x14ac:dyDescent="0.2">
      <c r="A18" s="2039"/>
      <c r="B18" s="2153"/>
      <c r="C18" s="785" t="str">
        <f>F!C125</f>
        <v>50-99% of the AA never contains surface water.</v>
      </c>
      <c r="D18" s="778">
        <f>F!D125</f>
        <v>0</v>
      </c>
      <c r="E18" s="722">
        <v>2</v>
      </c>
      <c r="F18" s="722">
        <f>D18*E18</f>
        <v>0</v>
      </c>
      <c r="G18" s="775"/>
      <c r="H18" s="1911"/>
      <c r="I18" s="1911"/>
      <c r="J18" s="80"/>
    </row>
    <row r="19" spans="1:10" s="110" customFormat="1" ht="39" thickBot="1" x14ac:dyDescent="0.25">
      <c r="A19" s="2079"/>
      <c r="B19" s="2154"/>
      <c r="C19" s="786" t="str">
        <f>F!C126</f>
        <v>&gt;99% of the AA never contains surface water, except perhaps for water flowing in channels and/or in pools that occupy &lt;1% of the AA. SKIP to F48 (Channel Connection &amp; Outflow Duration).</v>
      </c>
      <c r="D19" s="102">
        <f>F!D126</f>
        <v>0</v>
      </c>
      <c r="E19" s="244">
        <v>1</v>
      </c>
      <c r="F19" s="244">
        <f>D19*E19</f>
        <v>0</v>
      </c>
      <c r="G19" s="258"/>
      <c r="H19" s="1978"/>
      <c r="I19" s="1911"/>
      <c r="J19" s="80"/>
    </row>
    <row r="20" spans="1:10" s="5" customFormat="1" ht="30" customHeight="1" thickBot="1" x14ac:dyDescent="0.25">
      <c r="A20" s="2098" t="str">
        <f>F!A127</f>
        <v>F23</v>
      </c>
      <c r="B20" s="2009" t="str">
        <f>F!B127</f>
        <v>% with Persistent Surface Water</v>
      </c>
      <c r="C20" s="1391" t="str">
        <f>F!C127</f>
        <v>The percentage of the AA that has surface water (either ponded or flowing, either open or obscured by vegetation) during all of the growing season during most years is:</v>
      </c>
      <c r="D20" s="736"/>
      <c r="E20" s="239"/>
      <c r="F20" s="259"/>
      <c r="G20" s="219">
        <f>IF((AllSat1&gt;0),"",MAX(F21:F26)/MAX(E21:E26))</f>
        <v>0</v>
      </c>
      <c r="H20" s="1989" t="s">
        <v>102</v>
      </c>
      <c r="I20" s="2073" t="s">
        <v>1157</v>
      </c>
      <c r="J20" s="71"/>
    </row>
    <row r="21" spans="1:10" ht="15" customHeight="1" x14ac:dyDescent="0.2">
      <c r="A21" s="2098"/>
      <c r="B21" s="2009"/>
      <c r="C21" s="407" t="str">
        <f>F!C128</f>
        <v>&lt;0.01 hectare and &lt;1% of the AA.  SKIP to F27 (% Flooded Only Seasonally).</v>
      </c>
      <c r="D21" s="40">
        <f>F!D128</f>
        <v>0</v>
      </c>
      <c r="E21" s="241">
        <v>0</v>
      </c>
      <c r="F21" s="241">
        <f>D21*E21</f>
        <v>0</v>
      </c>
      <c r="G21" s="235"/>
      <c r="H21" s="1989"/>
      <c r="I21" s="2053"/>
    </row>
    <row r="22" spans="1:10" ht="15" customHeight="1" x14ac:dyDescent="0.2">
      <c r="A22" s="2098"/>
      <c r="B22" s="2009"/>
      <c r="C22" s="328" t="str">
        <f>F!C129</f>
        <v>1-5% of the AA.</v>
      </c>
      <c r="D22" s="40">
        <f>F!D129</f>
        <v>0</v>
      </c>
      <c r="E22" s="241">
        <v>1</v>
      </c>
      <c r="F22" s="241">
        <f>D22*E22</f>
        <v>0</v>
      </c>
      <c r="G22" s="236"/>
      <c r="H22" s="1989"/>
      <c r="I22" s="2053"/>
    </row>
    <row r="23" spans="1:10" ht="15" customHeight="1" x14ac:dyDescent="0.2">
      <c r="A23" s="2098"/>
      <c r="B23" s="2009"/>
      <c r="C23" s="328" t="str">
        <f>F!C130</f>
        <v>5-25% of the AA.</v>
      </c>
      <c r="D23" s="40">
        <f>F!D130</f>
        <v>0</v>
      </c>
      <c r="E23" s="241">
        <v>2</v>
      </c>
      <c r="F23" s="241">
        <f>D23*E23</f>
        <v>0</v>
      </c>
      <c r="G23" s="236"/>
      <c r="H23" s="1989"/>
      <c r="I23" s="2053"/>
    </row>
    <row r="24" spans="1:10" ht="15" customHeight="1" x14ac:dyDescent="0.2">
      <c r="A24" s="2098"/>
      <c r="B24" s="2009"/>
      <c r="C24" s="328" t="str">
        <f>F!C131</f>
        <v>25-50% of the AA.</v>
      </c>
      <c r="D24" s="40">
        <f>F!D131</f>
        <v>0</v>
      </c>
      <c r="E24" s="241">
        <v>3</v>
      </c>
      <c r="F24" s="241">
        <f>D24*E24</f>
        <v>0</v>
      </c>
      <c r="G24" s="236"/>
      <c r="H24" s="1989"/>
      <c r="I24" s="2053"/>
    </row>
    <row r="25" spans="1:10" ht="15" customHeight="1" x14ac:dyDescent="0.2">
      <c r="A25" s="2098"/>
      <c r="B25" s="2009"/>
      <c r="C25" s="328" t="str">
        <f>F!C132</f>
        <v>50-95% of the AA.</v>
      </c>
      <c r="D25" s="40">
        <f>F!D132</f>
        <v>0</v>
      </c>
      <c r="E25" s="241">
        <v>4</v>
      </c>
      <c r="F25" s="241">
        <f>D25*E25</f>
        <v>0</v>
      </c>
      <c r="G25" s="236"/>
      <c r="H25" s="1989"/>
      <c r="I25" s="2053"/>
    </row>
    <row r="26" spans="1:10" ht="15" customHeight="1" thickBot="1" x14ac:dyDescent="0.25">
      <c r="A26" s="2098"/>
      <c r="B26" s="2009"/>
      <c r="C26" s="366" t="str">
        <f>F!C133</f>
        <v>&gt;95% of the AA.</v>
      </c>
      <c r="D26" s="356">
        <f>F!D133</f>
        <v>0</v>
      </c>
      <c r="E26" s="384">
        <v>5</v>
      </c>
      <c r="F26" s="380">
        <f>NoPermW10*E26</f>
        <v>0</v>
      </c>
      <c r="G26" s="367"/>
      <c r="H26" s="1990"/>
      <c r="I26" s="2074"/>
    </row>
    <row r="27" spans="1:10" ht="30" customHeight="1" thickBot="1" x14ac:dyDescent="0.25">
      <c r="A27" s="2036" t="str">
        <f>F!A134</f>
        <v>F24</v>
      </c>
      <c r="B27" s="2137" t="str">
        <f>F!B134</f>
        <v>% of Summertime Water That Is Shaded</v>
      </c>
      <c r="C27" s="104" t="str">
        <f>F!C134</f>
        <v>At mid-day during the warmest time of year, the area of surface water within the AA that is shaded by vegetation and other features that are within the AA at that time is:</v>
      </c>
      <c r="D27" s="372"/>
      <c r="E27" s="372"/>
      <c r="F27" s="376"/>
      <c r="G27" s="232">
        <f>IF((AllSat1&gt;0),"", IF((NoPersis=1),"", MAX(F28:F32)/MAX(E28:E32)))</f>
        <v>0</v>
      </c>
      <c r="H27" s="2158" t="s">
        <v>556</v>
      </c>
      <c r="I27" s="1867" t="s">
        <v>1158</v>
      </c>
    </row>
    <row r="28" spans="1:10" ht="15" customHeight="1" x14ac:dyDescent="0.2">
      <c r="A28" s="2035"/>
      <c r="B28" s="2138"/>
      <c r="C28" s="407" t="str">
        <f>F!C135</f>
        <v>&lt;5% of the water is shaded, or no surface water is present then.</v>
      </c>
      <c r="D28" s="359">
        <f>F!D135</f>
        <v>0</v>
      </c>
      <c r="E28" s="377">
        <v>0</v>
      </c>
      <c r="F28" s="377">
        <f>D28*E28</f>
        <v>0</v>
      </c>
      <c r="G28" s="236"/>
      <c r="H28" s="2159"/>
      <c r="I28" s="1911"/>
    </row>
    <row r="29" spans="1:10" ht="15" customHeight="1" x14ac:dyDescent="0.2">
      <c r="A29" s="2035"/>
      <c r="B29" s="2138"/>
      <c r="C29" s="328" t="str">
        <f>F!C136</f>
        <v>5-25% of the water is shaded.</v>
      </c>
      <c r="D29" s="359">
        <f>F!D136</f>
        <v>0</v>
      </c>
      <c r="E29" s="377">
        <v>1</v>
      </c>
      <c r="F29" s="377">
        <f>D29*E29</f>
        <v>0</v>
      </c>
      <c r="G29" s="236"/>
      <c r="H29" s="2159"/>
      <c r="I29" s="1911"/>
    </row>
    <row r="30" spans="1:10" ht="15" customHeight="1" x14ac:dyDescent="0.2">
      <c r="A30" s="2035"/>
      <c r="B30" s="2138"/>
      <c r="C30" s="328" t="str">
        <f>F!C137</f>
        <v>25-50% of the water is shaded.</v>
      </c>
      <c r="D30" s="359">
        <f>F!D137</f>
        <v>0</v>
      </c>
      <c r="E30" s="377">
        <v>2</v>
      </c>
      <c r="F30" s="377">
        <f>D30*E30</f>
        <v>0</v>
      </c>
      <c r="G30" s="236"/>
      <c r="H30" s="2159"/>
      <c r="I30" s="1911"/>
    </row>
    <row r="31" spans="1:10" ht="15" customHeight="1" x14ac:dyDescent="0.2">
      <c r="A31" s="2035"/>
      <c r="B31" s="2138"/>
      <c r="C31" s="328" t="str">
        <f>F!C138</f>
        <v>50-75% of the water is shaded.</v>
      </c>
      <c r="D31" s="359">
        <f>F!D138</f>
        <v>0</v>
      </c>
      <c r="E31" s="377">
        <v>4</v>
      </c>
      <c r="F31" s="377">
        <f>D31*E31</f>
        <v>0</v>
      </c>
      <c r="G31" s="236"/>
      <c r="H31" s="2159"/>
      <c r="I31" s="1911"/>
    </row>
    <row r="32" spans="1:10" ht="15" customHeight="1" thickBot="1" x14ac:dyDescent="0.25">
      <c r="A32" s="2037"/>
      <c r="B32" s="2139"/>
      <c r="C32" s="329" t="str">
        <f>F!C139</f>
        <v>&gt;75% of the water is shaded.</v>
      </c>
      <c r="D32" s="81">
        <f>F!D139</f>
        <v>0</v>
      </c>
      <c r="E32" s="244">
        <v>3</v>
      </c>
      <c r="F32" s="244">
        <f>D32*E32</f>
        <v>0</v>
      </c>
      <c r="G32" s="237"/>
      <c r="H32" s="2160"/>
      <c r="I32" s="1978"/>
    </row>
    <row r="33" spans="1:10" ht="78.75" customHeight="1" thickBot="1" x14ac:dyDescent="0.25">
      <c r="A33" s="1386" t="str">
        <f>F!A140</f>
        <v>F25</v>
      </c>
      <c r="B33" s="1374" t="str">
        <f>F!B140</f>
        <v>Fringe Wetland</v>
      </c>
      <c r="C33" s="406" t="str">
        <f>F!C140</f>
        <v>Open water that adjoins the vegetated wetland in a lake, stream, or river during annual low water condition is much wider than the vegetated wetland. Enter "1" if true, "0" if false.</v>
      </c>
      <c r="D33" s="442">
        <f>F!D140</f>
        <v>0</v>
      </c>
      <c r="E33" s="271"/>
      <c r="F33" s="279"/>
      <c r="G33" s="289" t="str">
        <f>IF((AllSat1&gt;0),"", IF((NoPersis=1),"", IF((D33=0),"",1)))</f>
        <v/>
      </c>
      <c r="H33" s="1427" t="s">
        <v>647</v>
      </c>
      <c r="I33" s="1362" t="s">
        <v>1006</v>
      </c>
    </row>
    <row r="34" spans="1:10" s="110" customFormat="1" ht="78" customHeight="1" thickBot="1" x14ac:dyDescent="0.25">
      <c r="A34" s="310" t="str">
        <f>F!A141</f>
        <v>F26</v>
      </c>
      <c r="B34" s="465" t="str">
        <f>F!B141</f>
        <v>Lacustrine Wetland</v>
      </c>
      <c r="C34" s="311" t="str">
        <f>F!C141</f>
        <v>The AA borders a body of ponded open water whose size -- not counting the vegetated AA -- exceeds 8 hectares (about 300 x 300 m) during most of the growing season.  Enter "1" if true, "0" if false.</v>
      </c>
      <c r="D34" s="116">
        <f>F!D141</f>
        <v>0</v>
      </c>
      <c r="E34" s="278"/>
      <c r="F34" s="270"/>
      <c r="G34" s="273" t="str">
        <f>IF((AllSat1&gt;0),"", IF((NoPersis=1),"", IF((D34=0),"",1)))</f>
        <v/>
      </c>
      <c r="H34" s="43" t="s">
        <v>113</v>
      </c>
      <c r="I34" s="794" t="s">
        <v>1159</v>
      </c>
      <c r="J34" s="80"/>
    </row>
    <row r="35" spans="1:10" ht="51.75" thickBot="1" x14ac:dyDescent="0.25">
      <c r="A35" s="2052" t="str">
        <f>F!A155</f>
        <v>F29</v>
      </c>
      <c r="B35" s="2009" t="str">
        <f>F!B155</f>
        <v>Predominant Depth Class</v>
      </c>
      <c r="C35" s="1391"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35" s="437"/>
      <c r="E35" s="239"/>
      <c r="F35" s="240"/>
      <c r="G35" s="231">
        <f xml:space="preserve"> IF((AllSat1&gt;0),"", IF((SmallAA=1),"", MAX(F36:F40)/MAX(E36:E40)))</f>
        <v>0</v>
      </c>
      <c r="H35" s="2158" t="s">
        <v>105</v>
      </c>
      <c r="I35" s="2073" t="s">
        <v>1160</v>
      </c>
    </row>
    <row r="36" spans="1:10" ht="15" customHeight="1" x14ac:dyDescent="0.2">
      <c r="A36" s="2052"/>
      <c r="B36" s="2009"/>
      <c r="C36" s="407" t="str">
        <f>F!C156</f>
        <v>&lt;10 cm deep (but &gt;0).</v>
      </c>
      <c r="D36" s="40">
        <f>F!D156</f>
        <v>0</v>
      </c>
      <c r="E36" s="241">
        <v>0</v>
      </c>
      <c r="F36" s="241">
        <f t="shared" ref="F36:F44" si="0">D36*E36</f>
        <v>0</v>
      </c>
      <c r="G36" s="235"/>
      <c r="H36" s="2159"/>
      <c r="I36" s="2053"/>
    </row>
    <row r="37" spans="1:10" ht="15" customHeight="1" x14ac:dyDescent="0.2">
      <c r="A37" s="2052"/>
      <c r="B37" s="2009"/>
      <c r="C37" s="328" t="str">
        <f>F!C157</f>
        <v>10 - 50 cm deep.</v>
      </c>
      <c r="D37" s="40">
        <f>F!D157</f>
        <v>0</v>
      </c>
      <c r="E37" s="241">
        <v>1</v>
      </c>
      <c r="F37" s="241">
        <f t="shared" si="0"/>
        <v>0</v>
      </c>
      <c r="G37" s="236"/>
      <c r="H37" s="2159"/>
      <c r="I37" s="2053"/>
    </row>
    <row r="38" spans="1:10" ht="15" customHeight="1" x14ac:dyDescent="0.2">
      <c r="A38" s="2052"/>
      <c r="B38" s="2009"/>
      <c r="C38" s="328" t="str">
        <f>F!C158</f>
        <v>0.5 - 1 m deep.</v>
      </c>
      <c r="D38" s="40">
        <f>F!D158</f>
        <v>0</v>
      </c>
      <c r="E38" s="241">
        <v>2</v>
      </c>
      <c r="F38" s="241">
        <f t="shared" si="0"/>
        <v>0</v>
      </c>
      <c r="G38" s="236"/>
      <c r="H38" s="2159"/>
      <c r="I38" s="2053"/>
    </row>
    <row r="39" spans="1:10" ht="15" customHeight="1" x14ac:dyDescent="0.2">
      <c r="A39" s="2052"/>
      <c r="B39" s="2009"/>
      <c r="C39" s="328" t="str">
        <f>F!C159</f>
        <v>1 - 2 m deep.</v>
      </c>
      <c r="D39" s="40">
        <f>F!D159</f>
        <v>0</v>
      </c>
      <c r="E39" s="241">
        <v>3</v>
      </c>
      <c r="F39" s="241">
        <f t="shared" si="0"/>
        <v>0</v>
      </c>
      <c r="G39" s="236"/>
      <c r="H39" s="2159"/>
      <c r="I39" s="2053"/>
    </row>
    <row r="40" spans="1:10" ht="15" customHeight="1" thickBot="1" x14ac:dyDescent="0.25">
      <c r="A40" s="2052"/>
      <c r="B40" s="2009"/>
      <c r="C40" s="366" t="str">
        <f>F!C160</f>
        <v>&gt;2 m deep.  True for many fringe wetlands.</v>
      </c>
      <c r="D40" s="356">
        <f>F!D160</f>
        <v>0</v>
      </c>
      <c r="E40" s="380">
        <v>4</v>
      </c>
      <c r="F40" s="380">
        <f t="shared" si="0"/>
        <v>0</v>
      </c>
      <c r="G40" s="367"/>
      <c r="H40" s="2160"/>
      <c r="I40" s="2074"/>
    </row>
    <row r="41" spans="1:10" ht="30.6" customHeight="1" thickBot="1" x14ac:dyDescent="0.25">
      <c r="A41" s="2097" t="str">
        <f>F!A161</f>
        <v>F30</v>
      </c>
      <c r="B41" s="2008" t="str">
        <f>F!B161</f>
        <v>Depth Classes - Evenness of Proportions</v>
      </c>
      <c r="C41" s="104" t="str">
        <f>F!C161</f>
        <v>Within the area described above, and during most of the time when surface water is present, it usually is comprised of: (select one):</v>
      </c>
      <c r="D41" s="472"/>
      <c r="E41" s="376"/>
      <c r="F41" s="262"/>
      <c r="G41" s="232">
        <f>IF((AllSat1&gt;0),"", IF((SmallAA=1),"", MAX(F42:F44)/MAX(E42:E44)))</f>
        <v>0</v>
      </c>
      <c r="H41" s="2158" t="s">
        <v>106</v>
      </c>
      <c r="I41" s="2073" t="s">
        <v>1755</v>
      </c>
    </row>
    <row r="42" spans="1:10" ht="27" customHeight="1" x14ac:dyDescent="0.2">
      <c r="A42" s="2098"/>
      <c r="B42" s="2009"/>
      <c r="C42" s="407" t="str">
        <f>F!C162</f>
        <v>One depth class covering &gt;90% of the AA’s inundated area (use the classes in the question above).</v>
      </c>
      <c r="D42" s="359">
        <f>F!D162</f>
        <v>0</v>
      </c>
      <c r="E42" s="377">
        <v>0</v>
      </c>
      <c r="F42" s="377">
        <f t="shared" si="0"/>
        <v>0</v>
      </c>
      <c r="G42" s="235"/>
      <c r="H42" s="2159"/>
      <c r="I42" s="2053"/>
    </row>
    <row r="43" spans="1:10" ht="15" customHeight="1" x14ac:dyDescent="0.2">
      <c r="A43" s="2098"/>
      <c r="B43" s="2009"/>
      <c r="C43" s="328" t="str">
        <f>F!C163</f>
        <v>One depth class covering 51-90% of the AA's inundated area.</v>
      </c>
      <c r="D43" s="359">
        <f>F!D163</f>
        <v>0</v>
      </c>
      <c r="E43" s="377">
        <v>1</v>
      </c>
      <c r="F43" s="377">
        <f t="shared" si="0"/>
        <v>0</v>
      </c>
      <c r="G43" s="236"/>
      <c r="H43" s="2159"/>
      <c r="I43" s="2053"/>
    </row>
    <row r="44" spans="1:10" ht="15" customHeight="1" thickBot="1" x14ac:dyDescent="0.25">
      <c r="A44" s="2099"/>
      <c r="B44" s="2010"/>
      <c r="C44" s="329" t="str">
        <f>F!C164</f>
        <v>Multiple depth classes and none occupy more than 50% of the AA.</v>
      </c>
      <c r="D44" s="81">
        <f>F!D164</f>
        <v>0</v>
      </c>
      <c r="E44" s="244">
        <v>2</v>
      </c>
      <c r="F44" s="244">
        <f t="shared" si="0"/>
        <v>0</v>
      </c>
      <c r="G44" s="237"/>
      <c r="H44" s="2160"/>
      <c r="I44" s="2074"/>
    </row>
    <row r="45" spans="1:10" ht="45" customHeight="1" thickBot="1" x14ac:dyDescent="0.25">
      <c r="A45" s="2167" t="str">
        <f>F!A165</f>
        <v>F31</v>
      </c>
      <c r="B45" s="2008" t="str">
        <f>F!B165</f>
        <v xml:space="preserve">% of Water Ponded vs. Flowing </v>
      </c>
      <c r="C45" s="104" t="str">
        <f>F!C165</f>
        <v>The percentage of the AA's surface water that is ponded (stagnant, or flows so slowly that fine sediment is not held in suspension) during most of the time it is present during the growing season, and which is either open or shaded by emergent vegetation, is:</v>
      </c>
      <c r="D45" s="372"/>
      <c r="E45" s="376"/>
      <c r="F45" s="262"/>
      <c r="G45" s="225">
        <f xml:space="preserve"> IF((AllSat1&gt;0),"", IF((SmallAA=1),"", MAX(F46:F51)/MAX(E46:E51)))</f>
        <v>0</v>
      </c>
      <c r="H45" s="2158" t="s">
        <v>104</v>
      </c>
      <c r="I45" s="2073" t="s">
        <v>1162</v>
      </c>
    </row>
    <row r="46" spans="1:10" ht="27" customHeight="1" x14ac:dyDescent="0.2">
      <c r="A46" s="2098"/>
      <c r="B46" s="2009"/>
      <c r="C46" s="407" t="str">
        <f>F!C166</f>
        <v>None, or &lt;0.01 hectare and &lt;1% of the AA. Nearly all water is flowing.  Enter "1" and SKIP to F43 (pH measurement).</v>
      </c>
      <c r="D46" s="359">
        <f>F!D166</f>
        <v>0</v>
      </c>
      <c r="E46" s="377">
        <v>1</v>
      </c>
      <c r="F46" s="377">
        <f t="shared" ref="F46:F51" si="1">D46*E46</f>
        <v>0</v>
      </c>
      <c r="G46" s="236"/>
      <c r="H46" s="2159"/>
      <c r="I46" s="2053"/>
    </row>
    <row r="47" spans="1:10" ht="15" customHeight="1" x14ac:dyDescent="0.2">
      <c r="A47" s="2098"/>
      <c r="B47" s="2009"/>
      <c r="C47" s="328" t="str">
        <f>F!C167</f>
        <v>1-5% of the water.  The rest is flowing.</v>
      </c>
      <c r="D47" s="359">
        <f>F!D167</f>
        <v>0</v>
      </c>
      <c r="E47" s="377">
        <v>2</v>
      </c>
      <c r="F47" s="377">
        <f t="shared" si="1"/>
        <v>0</v>
      </c>
      <c r="G47" s="236"/>
      <c r="H47" s="2159"/>
      <c r="I47" s="2053"/>
    </row>
    <row r="48" spans="1:10" ht="15" customHeight="1" x14ac:dyDescent="0.2">
      <c r="A48" s="2098"/>
      <c r="B48" s="2009"/>
      <c r="C48" s="328" t="str">
        <f>F!C168</f>
        <v>5-30% of the water.</v>
      </c>
      <c r="D48" s="359">
        <f>F!D168</f>
        <v>0</v>
      </c>
      <c r="E48" s="377">
        <v>3</v>
      </c>
      <c r="F48" s="377">
        <f t="shared" si="1"/>
        <v>0</v>
      </c>
      <c r="G48" s="236"/>
      <c r="H48" s="2159"/>
      <c r="I48" s="2053"/>
    </row>
    <row r="49" spans="1:9" ht="15" customHeight="1" x14ac:dyDescent="0.2">
      <c r="A49" s="2098"/>
      <c r="B49" s="2009"/>
      <c r="C49" s="328" t="str">
        <f>F!C169</f>
        <v>30-70% of the water.</v>
      </c>
      <c r="D49" s="359">
        <f>F!D169</f>
        <v>0</v>
      </c>
      <c r="E49" s="377">
        <v>4</v>
      </c>
      <c r="F49" s="377">
        <f t="shared" si="1"/>
        <v>0</v>
      </c>
      <c r="G49" s="236"/>
      <c r="H49" s="2159"/>
      <c r="I49" s="2053"/>
    </row>
    <row r="50" spans="1:9" ht="15" customHeight="1" x14ac:dyDescent="0.2">
      <c r="A50" s="2098"/>
      <c r="B50" s="2009"/>
      <c r="C50" s="328" t="str">
        <f>F!C170</f>
        <v>70-99% of the water.</v>
      </c>
      <c r="D50" s="359">
        <f>F!D170</f>
        <v>0</v>
      </c>
      <c r="E50" s="377">
        <v>5</v>
      </c>
      <c r="F50" s="377">
        <f t="shared" si="1"/>
        <v>0</v>
      </c>
      <c r="G50" s="236"/>
      <c r="H50" s="2159"/>
      <c r="I50" s="2053"/>
    </row>
    <row r="51" spans="1:9" ht="15" customHeight="1" thickBot="1" x14ac:dyDescent="0.25">
      <c r="A51" s="2098"/>
      <c r="B51" s="2009"/>
      <c r="C51" s="328" t="str">
        <f>F!C171</f>
        <v>&gt;99% of the water.  Little or no visibly flowing water within the AA.</v>
      </c>
      <c r="D51" s="359">
        <f>F!D171</f>
        <v>0</v>
      </c>
      <c r="E51" s="377">
        <v>6</v>
      </c>
      <c r="F51" s="377">
        <f t="shared" si="1"/>
        <v>0</v>
      </c>
      <c r="G51" s="236"/>
      <c r="H51" s="2159"/>
      <c r="I51" s="2053"/>
    </row>
    <row r="52" spans="1:9" ht="39" thickBot="1" x14ac:dyDescent="0.25">
      <c r="A52" s="1979" t="str">
        <f>F!A173</f>
        <v>F33</v>
      </c>
      <c r="B52" s="2008" t="str">
        <f>F!B173</f>
        <v xml:space="preserve">% of Ponded Water That Is Open </v>
      </c>
      <c r="C52" s="352" t="str">
        <f>F!C173</f>
        <v>In ducks-eye aerial view, the percentage of the ponded water that is open (lacking emergent vegetation during most of the growing season, and unhidden by a forest or shrub canopy) is:</v>
      </c>
      <c r="D52" s="581"/>
      <c r="E52" s="376"/>
      <c r="F52" s="234"/>
      <c r="G52" s="232">
        <f>IF((AllSat1&gt;0),"", IF((NoPonded=1),"", IF((SmallAA=1),"", MAX(F53:F57)/MAX(E53:E57))))</f>
        <v>0</v>
      </c>
      <c r="H52" s="2158" t="s">
        <v>798</v>
      </c>
      <c r="I52" s="2073" t="s">
        <v>1007</v>
      </c>
    </row>
    <row r="53" spans="1:9" ht="27" customHeight="1" x14ac:dyDescent="0.2">
      <c r="A53" s="1980"/>
      <c r="B53" s="2009"/>
      <c r="C53" s="338" t="str">
        <f>F!C174</f>
        <v>None, or &lt;1% of the AA and largest pool occupies &lt;0.01 hectares.  Enter "1" and SKIP to F41 (Floating Algae &amp; Duckweed).</v>
      </c>
      <c r="D53" s="370">
        <f>F!D174</f>
        <v>0</v>
      </c>
      <c r="E53" s="377">
        <v>0</v>
      </c>
      <c r="F53" s="377">
        <f>D53*E53</f>
        <v>0</v>
      </c>
      <c r="G53" s="235"/>
      <c r="H53" s="2159"/>
      <c r="I53" s="2053"/>
    </row>
    <row r="54" spans="1:9" ht="15" customHeight="1" x14ac:dyDescent="0.2">
      <c r="A54" s="1980"/>
      <c r="B54" s="2009"/>
      <c r="C54" s="533" t="str">
        <f>F!C175</f>
        <v>1-5% of the ponded water.  Enter "1" and SKIP to F41.</v>
      </c>
      <c r="D54" s="370">
        <f>F!D175</f>
        <v>0</v>
      </c>
      <c r="E54" s="377">
        <v>2</v>
      </c>
      <c r="F54" s="377">
        <f>D54*E54</f>
        <v>0</v>
      </c>
      <c r="G54" s="236"/>
      <c r="H54" s="2159"/>
      <c r="I54" s="2053"/>
    </row>
    <row r="55" spans="1:9" ht="15" customHeight="1" x14ac:dyDescent="0.2">
      <c r="A55" s="1980"/>
      <c r="B55" s="2009"/>
      <c r="C55" s="533" t="str">
        <f>F!C176</f>
        <v>5-30% of the ponded water.</v>
      </c>
      <c r="D55" s="370">
        <f>F!D176</f>
        <v>0</v>
      </c>
      <c r="E55" s="377">
        <v>3</v>
      </c>
      <c r="F55" s="377">
        <f>D55*E55</f>
        <v>0</v>
      </c>
      <c r="G55" s="236"/>
      <c r="H55" s="2159"/>
      <c r="I55" s="2053"/>
    </row>
    <row r="56" spans="1:9" ht="15" customHeight="1" x14ac:dyDescent="0.2">
      <c r="A56" s="1980"/>
      <c r="B56" s="2009"/>
      <c r="C56" s="533" t="str">
        <f>F!C177</f>
        <v>30-70% of the ponded water.</v>
      </c>
      <c r="D56" s="370">
        <f>F!D177</f>
        <v>0</v>
      </c>
      <c r="E56" s="377">
        <v>2</v>
      </c>
      <c r="F56" s="377">
        <f>D56*E56</f>
        <v>0</v>
      </c>
      <c r="G56" s="236"/>
      <c r="H56" s="2159"/>
      <c r="I56" s="2053"/>
    </row>
    <row r="57" spans="1:9" ht="15" customHeight="1" x14ac:dyDescent="0.2">
      <c r="A57" s="1980"/>
      <c r="B57" s="2009"/>
      <c r="C57" s="533" t="str">
        <f>F!C178</f>
        <v>70-99% of the ponded water.</v>
      </c>
      <c r="D57" s="370">
        <f>F!D178</f>
        <v>0</v>
      </c>
      <c r="E57" s="377">
        <v>0</v>
      </c>
      <c r="F57" s="377">
        <f>D57*E57</f>
        <v>0</v>
      </c>
      <c r="G57" s="236"/>
      <c r="H57" s="2159"/>
      <c r="I57" s="2053"/>
    </row>
    <row r="58" spans="1:9" ht="15" customHeight="1" thickBot="1" x14ac:dyDescent="0.25">
      <c r="A58" s="2021"/>
      <c r="B58" s="2010"/>
      <c r="C58" s="445" t="str">
        <f>F!C179</f>
        <v xml:space="preserve">100% of the ponded water. </v>
      </c>
      <c r="D58" s="94">
        <f>F!D179</f>
        <v>0</v>
      </c>
      <c r="E58" s="244"/>
      <c r="F58" s="244"/>
      <c r="G58" s="237"/>
      <c r="H58" s="2160"/>
      <c r="I58" s="2074"/>
    </row>
    <row r="59" spans="1:9" ht="30" customHeight="1" thickBot="1" x14ac:dyDescent="0.25">
      <c r="A59" s="1992" t="str">
        <f>F!A199</f>
        <v>F37</v>
      </c>
      <c r="B59" s="2008" t="str">
        <f>F!B199</f>
        <v>Interspersion of Robust Emergents &amp; Open Water</v>
      </c>
      <c r="C59" s="90" t="str">
        <f>F!C199</f>
        <v>During most of the part of the growing season when water is present, the spatial pattern of robust herbaceous vegetation (e.g., cattail, tall bulrush, buckbean) is mostly:</v>
      </c>
      <c r="D59" s="372"/>
      <c r="E59" s="376"/>
      <c r="F59" s="234"/>
      <c r="G59" s="232">
        <f>IF((AllSat1&gt;0),"", IF((NoPonded=1),"",IF((NoOpenPonded+NoOpenPonded1&gt;0),"",IF((AllOpenPond=1),"", IF((SmallAA=1),"", MAX(F60:F62)/MAX(E60:E62))))))</f>
        <v>0</v>
      </c>
      <c r="H59" s="2158" t="s">
        <v>107</v>
      </c>
      <c r="I59" s="1867" t="s">
        <v>1163</v>
      </c>
    </row>
    <row r="60" spans="1:9" ht="27" customHeight="1" x14ac:dyDescent="0.2">
      <c r="A60" s="1991"/>
      <c r="B60" s="2009"/>
      <c r="C60" s="426" t="str">
        <f>F!C200</f>
        <v>Scattered.  More than 30% of such vegetation forms small islands or corridors surrounded by water.</v>
      </c>
      <c r="D60" s="789">
        <f>F!D200</f>
        <v>0</v>
      </c>
      <c r="E60" s="239">
        <v>3</v>
      </c>
      <c r="F60" s="377">
        <f>D60*E60</f>
        <v>0</v>
      </c>
      <c r="G60" s="202"/>
      <c r="H60" s="2159"/>
      <c r="I60" s="1911"/>
    </row>
    <row r="61" spans="1:9" ht="15" customHeight="1" x14ac:dyDescent="0.2">
      <c r="A61" s="1991"/>
      <c r="B61" s="2009"/>
      <c r="C61" s="426" t="str">
        <f>F!C201</f>
        <v>Intermediate.</v>
      </c>
      <c r="D61" s="789">
        <f>F!D201</f>
        <v>0</v>
      </c>
      <c r="E61" s="239">
        <v>2</v>
      </c>
      <c r="F61" s="377">
        <f>D61*E61</f>
        <v>0</v>
      </c>
      <c r="G61" s="202"/>
      <c r="H61" s="2159"/>
      <c r="I61" s="1911"/>
    </row>
    <row r="62" spans="1:9" ht="27" customHeight="1" thickBot="1" x14ac:dyDescent="0.25">
      <c r="A62" s="1991"/>
      <c r="B62" s="2009"/>
      <c r="C62" s="360" t="str">
        <f>F!C202</f>
        <v>Clumped. More than 70% of such vegetation is in bands along the wetland perimeter or is clumped at one or a few sides of the surface water area.</v>
      </c>
      <c r="D62" s="932">
        <f>F!D202</f>
        <v>0</v>
      </c>
      <c r="E62" s="271">
        <v>1</v>
      </c>
      <c r="F62" s="380">
        <f>D62*E62</f>
        <v>0</v>
      </c>
      <c r="G62" s="267"/>
      <c r="H62" s="2159"/>
      <c r="I62" s="1911"/>
    </row>
    <row r="63" spans="1:9" ht="45" customHeight="1" thickBot="1" x14ac:dyDescent="0.25">
      <c r="A63" s="2097" t="str">
        <f>F!A204</f>
        <v>F39</v>
      </c>
      <c r="B63" s="2008" t="str">
        <f>F!B204</f>
        <v>Non-vegetated Aquatic Cover</v>
      </c>
      <c r="C63" s="104" t="str">
        <f>F!C204</f>
        <v>During most of the growing season and in waters deeper than 0.5 m, the cover for fish, aquatic invertebrates, and/or amphibians that is provided NOT by living vegetation, but by accumulations of dead wood and undercut banks is:</v>
      </c>
      <c r="D63" s="777"/>
      <c r="E63" s="376"/>
      <c r="F63" s="234"/>
      <c r="G63" s="232" t="str">
        <f>IF((OpenW=0),"", IF((SmallAA=1),"", MAX(F64:F66)/MAX(E64:E66)))</f>
        <v/>
      </c>
      <c r="H63" s="2158" t="s">
        <v>103</v>
      </c>
      <c r="I63" s="2073" t="s">
        <v>1161</v>
      </c>
    </row>
    <row r="64" spans="1:9" ht="15" customHeight="1" x14ac:dyDescent="0.2">
      <c r="A64" s="2098"/>
      <c r="B64" s="2009"/>
      <c r="C64" s="995" t="str">
        <f>F!C205</f>
        <v>Little or none</v>
      </c>
      <c r="D64" s="737">
        <f>F!D205</f>
        <v>0</v>
      </c>
      <c r="E64" s="722">
        <v>0</v>
      </c>
      <c r="F64" s="722">
        <f>D64*E64</f>
        <v>0</v>
      </c>
      <c r="G64" s="235"/>
      <c r="H64" s="2159"/>
      <c r="I64" s="2053"/>
    </row>
    <row r="65" spans="1:10" ht="15" customHeight="1" x14ac:dyDescent="0.2">
      <c r="A65" s="2098"/>
      <c r="B65" s="2009"/>
      <c r="C65" s="996" t="str">
        <f>F!C206</f>
        <v>Intermediate</v>
      </c>
      <c r="D65" s="737">
        <f>F!D206</f>
        <v>0</v>
      </c>
      <c r="E65" s="722">
        <v>1</v>
      </c>
      <c r="F65" s="722">
        <f>D65*E65</f>
        <v>0</v>
      </c>
      <c r="G65" s="275"/>
      <c r="H65" s="2159"/>
      <c r="I65" s="2053"/>
    </row>
    <row r="66" spans="1:10" ht="15" customHeight="1" thickBot="1" x14ac:dyDescent="0.25">
      <c r="A66" s="2099"/>
      <c r="B66" s="2010"/>
      <c r="C66" s="329" t="str">
        <f>F!C207</f>
        <v>Extensive</v>
      </c>
      <c r="D66" s="81">
        <f>F!D207</f>
        <v>0</v>
      </c>
      <c r="E66" s="244">
        <v>2</v>
      </c>
      <c r="F66" s="244">
        <f>D66*E66</f>
        <v>0</v>
      </c>
      <c r="G66" s="237"/>
      <c r="H66" s="2160"/>
      <c r="I66" s="2074"/>
    </row>
    <row r="67" spans="1:10" ht="45" customHeight="1" thickBot="1" x14ac:dyDescent="0.25">
      <c r="A67" s="57" t="str">
        <f>F!A210</f>
        <v>F42</v>
      </c>
      <c r="B67" s="839" t="str">
        <f>F!B210</f>
        <v>Fish</v>
      </c>
      <c r="C67" s="1048" t="str">
        <f>F!C210</f>
        <v>Fish from connected waters can access at least part of the AA during one or more days annually, or are otherwise known to be present in the AA at least temporarily. If true, enter "1" in next column.  If untrue or unlikely, enter "0".</v>
      </c>
      <c r="D67" s="1049">
        <f>F!D210</f>
        <v>0</v>
      </c>
      <c r="E67" s="1050"/>
      <c r="F67" s="798"/>
      <c r="G67" s="855">
        <f>D67</f>
        <v>0</v>
      </c>
      <c r="H67" s="923" t="s">
        <v>501</v>
      </c>
      <c r="I67" s="791" t="s">
        <v>1164</v>
      </c>
    </row>
    <row r="68" spans="1:10" ht="40.15" customHeight="1" thickBot="1" x14ac:dyDescent="0.25">
      <c r="A68" s="2008" t="str">
        <f>F!A211</f>
        <v>F43</v>
      </c>
      <c r="B68" s="2008" t="str">
        <f>F!B211</f>
        <v>pH Measurement</v>
      </c>
      <c r="C68" s="839" t="str">
        <f>F!C211</f>
        <v>The pH in most of the AA's surface water:</v>
      </c>
      <c r="D68" s="777"/>
      <c r="E68" s="376"/>
      <c r="F68" s="262"/>
      <c r="G68" s="876">
        <f>IF((AllSat1&gt;0),"",IF((SmallAA=1),"", IF((D69=1),"", IF((D72&lt;4),0,IF((D72&gt;5&lt;9),1,0.5)))))</f>
        <v>0</v>
      </c>
      <c r="H68" s="2171" t="s">
        <v>126</v>
      </c>
      <c r="I68" s="1867" t="s">
        <v>2020</v>
      </c>
    </row>
    <row r="69" spans="1:10" ht="30" customHeight="1" x14ac:dyDescent="0.2">
      <c r="A69" s="2009"/>
      <c r="B69" s="2009"/>
      <c r="C69" s="1036" t="str">
        <f>F!C212</f>
        <v>was not measured because no surface water could be found during this visit. Enter "1" in column to the right.</v>
      </c>
      <c r="D69" s="788">
        <f>F!D212</f>
        <v>0</v>
      </c>
      <c r="E69" s="722"/>
      <c r="F69" s="377"/>
      <c r="G69" s="239"/>
      <c r="H69" s="2172"/>
      <c r="I69" s="1911"/>
    </row>
    <row r="70" spans="1:10" ht="24" customHeight="1" x14ac:dyDescent="0.2">
      <c r="A70" s="2009"/>
      <c r="B70" s="2009"/>
      <c r="C70" s="1036" t="str">
        <f>F!C213</f>
        <v>was not measured, and surface water is tea-colored. Enter "1" in column to the right.</v>
      </c>
      <c r="D70" s="788">
        <f>F!D213</f>
        <v>0</v>
      </c>
      <c r="E70" s="722"/>
      <c r="F70" s="377"/>
      <c r="G70" s="722"/>
      <c r="H70" s="2172"/>
      <c r="I70" s="1911"/>
    </row>
    <row r="71" spans="1:10" ht="24" customHeight="1" x14ac:dyDescent="0.2">
      <c r="A71" s="2009"/>
      <c r="B71" s="2009"/>
      <c r="C71" s="1036" t="str">
        <f>F!C214</f>
        <v>was not measured but surface water is NOT tea-colored. Enter "1" in column to the right.</v>
      </c>
      <c r="D71" s="788">
        <f>F!D214</f>
        <v>0</v>
      </c>
      <c r="E71" s="380"/>
      <c r="F71" s="380"/>
      <c r="G71" s="722"/>
      <c r="H71" s="2172"/>
      <c r="I71" s="1911"/>
    </row>
    <row r="72" spans="1:10" ht="26.25" customHeight="1" thickBot="1" x14ac:dyDescent="0.25">
      <c r="A72" s="2010"/>
      <c r="B72" s="2010"/>
      <c r="C72" s="1037" t="str">
        <f>F!C215</f>
        <v>was measured, and is:  [enter the reading in the column to the right]:</v>
      </c>
      <c r="D72" s="790">
        <f>F!D215</f>
        <v>0</v>
      </c>
      <c r="E72" s="380"/>
      <c r="F72" s="380"/>
      <c r="G72" s="722"/>
      <c r="H72" s="2173"/>
      <c r="I72" s="1911"/>
    </row>
    <row r="73" spans="1:10" ht="21" customHeight="1" thickBot="1" x14ac:dyDescent="0.25">
      <c r="A73" s="2008" t="str">
        <f>F!A216</f>
        <v>F44</v>
      </c>
      <c r="B73" s="2008" t="str">
        <f>F!B216</f>
        <v>TDS and/or Conductivity</v>
      </c>
      <c r="C73" s="131" t="str">
        <f>F!C216</f>
        <v>The Total Dissolved Solids (TDS) and/or Conductivity in most of the AA's surface water:</v>
      </c>
      <c r="D73" s="282"/>
      <c r="E73" s="376"/>
      <c r="F73" s="262"/>
      <c r="G73" s="1040" t="str">
        <f>IF((D74=1),"",IF((D77+D78=0),"", IF((D75=1),0,IF((G77=0),0, IF((G78=0),0, "")))))</f>
        <v/>
      </c>
      <c r="H73" s="1910" t="s">
        <v>1721</v>
      </c>
      <c r="I73" s="1867" t="s">
        <v>2021</v>
      </c>
    </row>
    <row r="74" spans="1:10" ht="27" customHeight="1" x14ac:dyDescent="0.2">
      <c r="A74" s="2009"/>
      <c r="B74" s="2009"/>
      <c r="C74" s="1041" t="str">
        <f>F!C217</f>
        <v>was not measured because no surface water could be found during this visit. Enter "1" in column to the right.</v>
      </c>
      <c r="D74" s="788">
        <f>F!D217</f>
        <v>0</v>
      </c>
      <c r="E74" s="722"/>
      <c r="F74" s="722"/>
      <c r="G74" s="259"/>
      <c r="H74" s="1881"/>
      <c r="I74" s="1911"/>
    </row>
    <row r="75" spans="1:10" ht="27" customHeight="1" x14ac:dyDescent="0.2">
      <c r="A75" s="2009"/>
      <c r="B75" s="2009"/>
      <c r="C75" s="1042" t="str">
        <f>F!C218</f>
        <v>was not measured, and plants that indicate saline conditions are absent or in trace amounts. Enter "1" in column to the right.</v>
      </c>
      <c r="D75" s="788">
        <f>F!D218</f>
        <v>0</v>
      </c>
      <c r="E75" s="722"/>
      <c r="F75" s="722"/>
      <c r="G75" s="857"/>
      <c r="H75" s="1881"/>
      <c r="I75" s="1911"/>
    </row>
    <row r="76" spans="1:10" ht="27" customHeight="1" thickBot="1" x14ac:dyDescent="0.25">
      <c r="A76" s="2009"/>
      <c r="B76" s="2009"/>
      <c r="C76" s="1042" t="str">
        <f>F!C219</f>
        <v>was not measured, but plants that indicate saline conditions are present. Enter "1" in column to the right.</v>
      </c>
      <c r="D76" s="788">
        <f>F!D219</f>
        <v>0</v>
      </c>
      <c r="E76" s="722"/>
      <c r="F76" s="722"/>
      <c r="G76" s="857"/>
      <c r="H76" s="1881"/>
      <c r="I76" s="1911"/>
    </row>
    <row r="77" spans="1:10" ht="27" customHeight="1" thickBot="1" x14ac:dyDescent="0.25">
      <c r="A77" s="2009"/>
      <c r="B77" s="2009"/>
      <c r="C77" s="1042" t="str">
        <f>F!C220</f>
        <v>TDS is: [enter the reading in ppm or mg/L in the column to the right if measured, or answer next row]:</v>
      </c>
      <c r="D77" s="788">
        <f>F!D220</f>
        <v>0</v>
      </c>
      <c r="E77" s="722"/>
      <c r="F77" s="722"/>
      <c r="G77" s="232">
        <f>IF((D77=""),"", IF((D77&lt;100),0, IF((D77&gt;2000),0, "")))</f>
        <v>0</v>
      </c>
      <c r="H77" s="1881"/>
      <c r="I77" s="1911"/>
    </row>
    <row r="78" spans="1:10" ht="15" customHeight="1" thickBot="1" x14ac:dyDescent="0.25">
      <c r="A78" s="2010"/>
      <c r="B78" s="2010"/>
      <c r="C78" s="1043" t="str">
        <f>F!C221</f>
        <v>Conductivity is  [enter the reading in µS/cm in the column to the right]:</v>
      </c>
      <c r="D78" s="291">
        <f>F!D221</f>
        <v>0</v>
      </c>
      <c r="E78" s="244"/>
      <c r="F78" s="244"/>
      <c r="G78" s="232">
        <f>IF((D78=""),"", IF((D78&lt;30),0, IF((D78&gt;3000),0, "")))</f>
        <v>0</v>
      </c>
      <c r="H78" s="1882"/>
      <c r="I78" s="1978"/>
    </row>
    <row r="79" spans="1:10" s="110" customFormat="1" ht="21" customHeight="1" thickBot="1" x14ac:dyDescent="0.25">
      <c r="A79" s="1991" t="str">
        <f>F!A222</f>
        <v>F45</v>
      </c>
      <c r="B79" s="2009" t="str">
        <f>F!B222</f>
        <v>Beaver Probability</v>
      </c>
      <c r="C79" s="1397" t="str">
        <f>F!C222</f>
        <v>Use of the AA by beaver during the past 5 years is (select most applicable ONE):</v>
      </c>
      <c r="D79" s="437"/>
      <c r="E79" s="239"/>
      <c r="F79" s="259"/>
      <c r="G79" s="219">
        <f>MAX(F80:F82)/MAX(E80:E82)</f>
        <v>0</v>
      </c>
      <c r="H79" s="1867" t="s">
        <v>830</v>
      </c>
      <c r="I79" s="1867" t="s">
        <v>863</v>
      </c>
      <c r="J79" s="80"/>
    </row>
    <row r="80" spans="1:10" s="110" customFormat="1" ht="25.5" x14ac:dyDescent="0.2">
      <c r="A80" s="1991"/>
      <c r="B80" s="2009"/>
      <c r="C80" s="575" t="str">
        <f>F!C223</f>
        <v>evident from direct observation or presence of gnawed limbs, dams, tracks, dens, lodges, or extensive stands of water-killed trees (snags).</v>
      </c>
      <c r="D80" s="180">
        <f>F!D223</f>
        <v>0</v>
      </c>
      <c r="E80" s="241">
        <v>5</v>
      </c>
      <c r="F80" s="241">
        <f>D80*E80</f>
        <v>0</v>
      </c>
      <c r="G80" s="202"/>
      <c r="H80" s="1911"/>
      <c r="I80" s="1911"/>
      <c r="J80" s="80"/>
    </row>
    <row r="81" spans="1:10" s="110" customFormat="1" ht="54" customHeight="1" x14ac:dyDescent="0.2">
      <c r="A81" s="1991"/>
      <c r="B81" s="2009"/>
      <c r="C81" s="576"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81" s="91">
        <f>F!D224</f>
        <v>0</v>
      </c>
      <c r="E81" s="241">
        <v>2</v>
      </c>
      <c r="F81" s="241">
        <f>D81*E81</f>
        <v>0</v>
      </c>
      <c r="G81" s="257"/>
      <c r="H81" s="1911"/>
      <c r="I81" s="1911"/>
      <c r="J81" s="80"/>
    </row>
    <row r="82" spans="1:10" s="110" customFormat="1" ht="39" thickBot="1" x14ac:dyDescent="0.25">
      <c r="A82" s="1991"/>
      <c r="B82" s="2009"/>
      <c r="C82" s="576" t="str">
        <f>F!C225</f>
        <v>unlikely because site characteristics above are deficient, and/or this is a settled area or other area where beaver are routinely removed.  But beaver occur in this part of the region (i.e., within 25 km).</v>
      </c>
      <c r="D82" s="91">
        <f>F!D225</f>
        <v>0</v>
      </c>
      <c r="E82" s="241">
        <v>1</v>
      </c>
      <c r="F82" s="241">
        <f>D82*E82</f>
        <v>0</v>
      </c>
      <c r="G82" s="257"/>
      <c r="H82" s="1911"/>
      <c r="I82" s="1911"/>
      <c r="J82" s="80"/>
    </row>
    <row r="83" spans="1:10" ht="30" customHeight="1" thickBot="1" x14ac:dyDescent="0.25">
      <c r="A83" s="2097" t="str">
        <f>F!A227</f>
        <v>F47</v>
      </c>
      <c r="B83" s="2008" t="str">
        <f>F!B227</f>
        <v>Through Flow Pattern</v>
      </c>
      <c r="C83" s="104" t="str">
        <f>F!C227</f>
        <v>During its travel through the AA at the time of peak annual flow, water arriving in channels: [select only the ONE encountered by most of the incoming water].</v>
      </c>
      <c r="D83" s="372"/>
      <c r="E83" s="376"/>
      <c r="F83" s="234"/>
      <c r="G83" s="232" t="str">
        <f>IF((Inflows=0),"",MAX(F84:F88)/MAX(E84:E88))</f>
        <v/>
      </c>
      <c r="H83" s="2158" t="s">
        <v>109</v>
      </c>
      <c r="I83" s="2073" t="s">
        <v>862</v>
      </c>
    </row>
    <row r="84" spans="1:10" ht="51" x14ac:dyDescent="0.2">
      <c r="A84" s="2098"/>
      <c r="B84" s="2009"/>
      <c r="C84" s="408" t="str">
        <f>F!C228</f>
        <v>Does not bump into plant stems as it travels through the AA.  Nearly all the water continues to travel in unvegetated (often incised) channels that have minimal contact with wetland vegetation, or through a zone of open water such as an instream pond or lake.</v>
      </c>
      <c r="D84" s="359">
        <f>F!D228</f>
        <v>0</v>
      </c>
      <c r="E84" s="377">
        <v>1</v>
      </c>
      <c r="F84" s="377">
        <f>D84*E84</f>
        <v>0</v>
      </c>
      <c r="G84" s="235"/>
      <c r="H84" s="2159"/>
      <c r="I84" s="2053"/>
    </row>
    <row r="85" spans="1:10" x14ac:dyDescent="0.2">
      <c r="A85" s="2098"/>
      <c r="B85" s="2009"/>
      <c r="C85" s="940" t="str">
        <f>F!C229</f>
        <v>bumps into herbaceous vegetation but mostly remains in fairly straight channels.</v>
      </c>
      <c r="D85" s="359">
        <f>F!D229</f>
        <v>0</v>
      </c>
      <c r="E85" s="377">
        <v>2</v>
      </c>
      <c r="F85" s="377">
        <f>D85*E85</f>
        <v>0</v>
      </c>
      <c r="G85" s="236"/>
      <c r="H85" s="2159"/>
      <c r="I85" s="2053"/>
    </row>
    <row r="86" spans="1:10" ht="27" customHeight="1" x14ac:dyDescent="0.2">
      <c r="A86" s="2098"/>
      <c r="B86" s="2009"/>
      <c r="C86" s="469" t="str">
        <f>F!C230</f>
        <v>bumps into herbaceous vegetation and mostly spreads throughout, or is in widely  meandering, multi-branched, or braided channels.</v>
      </c>
      <c r="D86" s="359">
        <f>F!D230</f>
        <v>0</v>
      </c>
      <c r="E86" s="377">
        <v>4</v>
      </c>
      <c r="F86" s="377">
        <f>D86*E86</f>
        <v>0</v>
      </c>
      <c r="G86" s="236"/>
      <c r="H86" s="2159"/>
      <c r="I86" s="2053"/>
    </row>
    <row r="87" spans="1:10" ht="18" customHeight="1" x14ac:dyDescent="0.2">
      <c r="A87" s="2098"/>
      <c r="B87" s="2009"/>
      <c r="C87" s="469" t="str">
        <f>F!C231</f>
        <v>bumps into tree trunks and/or shrub stems but mostly remains in fairly straight channels.</v>
      </c>
      <c r="D87" s="468">
        <f>F!D231</f>
        <v>0</v>
      </c>
      <c r="E87" s="377">
        <v>3</v>
      </c>
      <c r="F87" s="377">
        <f>D87*E87</f>
        <v>0</v>
      </c>
      <c r="G87" s="236"/>
      <c r="H87" s="2159"/>
      <c r="I87" s="2053"/>
    </row>
    <row r="88" spans="1:10" ht="27" customHeight="1" thickBot="1" x14ac:dyDescent="0.25">
      <c r="A88" s="2099"/>
      <c r="B88" s="2010"/>
      <c r="C88" s="129" t="str">
        <f>F!C232</f>
        <v>bumps into tree trunks and/or shrub stems and follows a fairly indirect path from entrance to exit (meandering, multi-branched, or braided).</v>
      </c>
      <c r="D88" s="81">
        <f>F!D232</f>
        <v>0</v>
      </c>
      <c r="E88" s="244">
        <v>4</v>
      </c>
      <c r="F88" s="244">
        <f>D88*E88</f>
        <v>0</v>
      </c>
      <c r="G88" s="237"/>
      <c r="H88" s="2160"/>
      <c r="I88" s="2074"/>
    </row>
    <row r="89" spans="1:10" ht="77.25" thickBot="1" x14ac:dyDescent="0.25">
      <c r="A89" s="2098" t="str">
        <f>F!A233</f>
        <v>F48</v>
      </c>
      <c r="B89" s="2009" t="str">
        <f>F!B233</f>
        <v>Channel Connection &amp; Outflow Duration</v>
      </c>
      <c r="C89" s="1391" t="str">
        <f>F!C233</f>
        <v>The most persistent surface water connection (outlet channel or pipe, ditch, or overbank water exchange) between the AA and the closest larger water body located downslope is: [Note: If the AA represents only part of a wetland, answer this according to whichever is the least permanent surface connection: the one between the AA and the rest of the wetland, or the surface connection between the wetland and a mapped stream or lake located within 200 m downslope from the wetland ]</v>
      </c>
      <c r="D89" s="437"/>
      <c r="E89" s="239"/>
      <c r="F89" s="240"/>
      <c r="G89" s="231">
        <f>MAX(F90:F94)/MAX(E90:E94)</f>
        <v>0</v>
      </c>
      <c r="H89" s="2158" t="s">
        <v>108</v>
      </c>
      <c r="I89" s="2073" t="s">
        <v>861</v>
      </c>
    </row>
    <row r="90" spans="1:10" ht="15" customHeight="1" x14ac:dyDescent="0.2">
      <c r="A90" s="2098"/>
      <c r="B90" s="2009"/>
      <c r="C90" s="407" t="str">
        <f>F!C234</f>
        <v>persistent (&gt;9 months/year, including times when frozen).</v>
      </c>
      <c r="D90" s="443">
        <f>F!D234</f>
        <v>0</v>
      </c>
      <c r="E90" s="241">
        <v>3</v>
      </c>
      <c r="F90" s="241">
        <f>D90*E90</f>
        <v>0</v>
      </c>
      <c r="G90" s="235"/>
      <c r="H90" s="2159"/>
      <c r="I90" s="2053"/>
    </row>
    <row r="91" spans="1:10" ht="25.5" x14ac:dyDescent="0.2">
      <c r="A91" s="2098"/>
      <c r="B91" s="2009"/>
      <c r="C91" s="328" t="str">
        <f>F!C235</f>
        <v>seasonal (14 days to 9 months/year, not necessarily consecutive, including times when frozen).</v>
      </c>
      <c r="D91" s="40">
        <f>F!D235</f>
        <v>0</v>
      </c>
      <c r="E91" s="241">
        <v>2</v>
      </c>
      <c r="F91" s="241">
        <f>D91*E91</f>
        <v>0</v>
      </c>
      <c r="G91" s="236"/>
      <c r="H91" s="2159"/>
      <c r="I91" s="2053"/>
    </row>
    <row r="92" spans="1:10" x14ac:dyDescent="0.2">
      <c r="A92" s="2098"/>
      <c r="B92" s="2009"/>
      <c r="C92" s="328" t="str">
        <f>F!C236</f>
        <v>temporary (&lt;14 days, not necessarily consecutive, but must be unfrozen).</v>
      </c>
      <c r="D92" s="22">
        <f>F!D236</f>
        <v>0</v>
      </c>
      <c r="E92" s="241">
        <v>1</v>
      </c>
      <c r="F92" s="241">
        <f>D92*E92</f>
        <v>0</v>
      </c>
      <c r="G92" s="236"/>
      <c r="H92" s="2159"/>
      <c r="I92" s="2053"/>
    </row>
    <row r="93" spans="1:10" ht="38.25" x14ac:dyDescent="0.2">
      <c r="A93" s="2098"/>
      <c r="B93" s="2009"/>
      <c r="C93" s="328" t="str">
        <f>F!C237</f>
        <v xml:space="preserve">none -- but maps show a stream or other water body that is downslope from the AA and within a distance that is less than the AA's length.  If so, mark "1" here and SKIP TO F50 (Groundwater). </v>
      </c>
      <c r="D93" s="22">
        <f>F!D237</f>
        <v>0</v>
      </c>
      <c r="E93" s="245">
        <v>0</v>
      </c>
      <c r="F93" s="241">
        <f>D93*E93</f>
        <v>0</v>
      </c>
      <c r="G93" s="367"/>
      <c r="H93" s="2159"/>
      <c r="I93" s="2053"/>
    </row>
    <row r="94" spans="1:10" ht="42" customHeight="1" thickBot="1" x14ac:dyDescent="0.25">
      <c r="A94" s="2098"/>
      <c r="B94" s="2009"/>
      <c r="C94" s="366" t="str">
        <f>F!C238</f>
        <v xml:space="preserve">no surface water flows out of the wetland except possibly during extreme events (&lt;once per 10 years). Or, water flows only into a wetland, ditch, or lake that lacks an outlet.  If so, mark "1" here and SKIP TO F50 (Groundwater). </v>
      </c>
      <c r="D94" s="356">
        <f>F!D238</f>
        <v>0</v>
      </c>
      <c r="E94" s="384">
        <v>0</v>
      </c>
      <c r="F94" s="380">
        <f>D94*E94</f>
        <v>0</v>
      </c>
      <c r="G94" s="367"/>
      <c r="H94" s="2160"/>
      <c r="I94" s="2074"/>
    </row>
    <row r="95" spans="1:10" s="110" customFormat="1" ht="21" customHeight="1" thickBot="1" x14ac:dyDescent="0.25">
      <c r="A95" s="1992" t="str">
        <f>F!A243</f>
        <v>F50</v>
      </c>
      <c r="B95" s="2008" t="str">
        <f>F!B243</f>
        <v>Groundwater: Strength of Evidence</v>
      </c>
      <c r="C95" s="352" t="str">
        <f>F!C243</f>
        <v xml:space="preserve">Select first applicable choice. </v>
      </c>
      <c r="D95" s="372"/>
      <c r="E95" s="376"/>
      <c r="F95" s="262"/>
      <c r="G95" s="225">
        <f>MAX(F96:F98)/MAX(E96:E98)</f>
        <v>0</v>
      </c>
      <c r="H95" s="1867" t="s">
        <v>112</v>
      </c>
      <c r="I95" s="1867" t="s">
        <v>1333</v>
      </c>
      <c r="J95" s="80"/>
    </row>
    <row r="96" spans="1:10" s="110" customFormat="1" ht="57.75" customHeight="1" x14ac:dyDescent="0.2">
      <c r="A96" s="1991"/>
      <c r="B96" s="2009"/>
      <c r="C96" s="575"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96" s="180">
        <f>F!D244</f>
        <v>0</v>
      </c>
      <c r="E96" s="377">
        <v>2</v>
      </c>
      <c r="F96" s="377">
        <f>D96*E96</f>
        <v>0</v>
      </c>
      <c r="G96" s="202"/>
      <c r="H96" s="1911"/>
      <c r="I96" s="1911"/>
      <c r="J96" s="80"/>
    </row>
    <row r="97" spans="1:10" s="110" customFormat="1" ht="84" customHeight="1" x14ac:dyDescent="0.2">
      <c r="A97" s="1991"/>
      <c r="B97" s="2009"/>
      <c r="C97" s="576"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97" s="354">
        <f>F!D245</f>
        <v>0</v>
      </c>
      <c r="E97" s="377">
        <v>1</v>
      </c>
      <c r="F97" s="377">
        <f>D97*E97</f>
        <v>0</v>
      </c>
      <c r="G97" s="202"/>
      <c r="H97" s="1911"/>
      <c r="I97" s="1911"/>
      <c r="J97" s="80"/>
    </row>
    <row r="98" spans="1:10" s="110" customFormat="1" ht="27" customHeight="1" thickBot="1" x14ac:dyDescent="0.25">
      <c r="A98" s="1993"/>
      <c r="B98" s="2010"/>
      <c r="C98" s="445" t="str">
        <f>F!C246</f>
        <v>Neither of above is true, although some groundwater may discharge to or flow through the AA.  Or groundwater influx is unknown.</v>
      </c>
      <c r="D98" s="94">
        <f>F!D246</f>
        <v>0</v>
      </c>
      <c r="E98" s="244">
        <v>0</v>
      </c>
      <c r="F98" s="244">
        <f>D98*E98</f>
        <v>0</v>
      </c>
      <c r="G98" s="277"/>
      <c r="H98" s="1978"/>
      <c r="I98" s="1978"/>
      <c r="J98" s="80"/>
    </row>
    <row r="99" spans="1:10" ht="30" customHeight="1" thickBot="1" x14ac:dyDescent="0.25">
      <c r="A99" s="1991" t="str">
        <f>F!A252</f>
        <v>F52</v>
      </c>
      <c r="B99" s="2009" t="str">
        <f>F!B252</f>
        <v>Percent of Buffer with Perennial Vegetation</v>
      </c>
      <c r="C99" s="1391" t="str">
        <f>F!C252</f>
        <v>Extending 30 m on all sides from the AA's edge,  the percentage that contains water or perennial vegetation taller than 10 cm during most of the growing season is:</v>
      </c>
      <c r="D99" s="437"/>
      <c r="E99" s="239"/>
      <c r="F99" s="240"/>
      <c r="G99" s="219">
        <f>MAX(F100:F104)/MAX(E100:E104)</f>
        <v>0</v>
      </c>
      <c r="H99" s="2158" t="s">
        <v>110</v>
      </c>
      <c r="I99" s="2073" t="s">
        <v>277</v>
      </c>
    </row>
    <row r="100" spans="1:10" ht="15" customHeight="1" x14ac:dyDescent="0.2">
      <c r="A100" s="2035"/>
      <c r="B100" s="2138"/>
      <c r="C100" s="407" t="str">
        <f>F!C253</f>
        <v xml:space="preserve">&lt;5% </v>
      </c>
      <c r="D100" s="40">
        <f>F!D253</f>
        <v>0</v>
      </c>
      <c r="E100" s="241">
        <v>0</v>
      </c>
      <c r="F100" s="241">
        <f>D100*E100</f>
        <v>0</v>
      </c>
      <c r="G100" s="235"/>
      <c r="H100" s="2159"/>
      <c r="I100" s="2053"/>
    </row>
    <row r="101" spans="1:10" ht="15" customHeight="1" x14ac:dyDescent="0.2">
      <c r="A101" s="2035"/>
      <c r="B101" s="2138"/>
      <c r="C101" s="328" t="str">
        <f>F!C254</f>
        <v>5 to 30%</v>
      </c>
      <c r="D101" s="40">
        <f>F!D254</f>
        <v>0</v>
      </c>
      <c r="E101" s="241">
        <v>2</v>
      </c>
      <c r="F101" s="241">
        <f>D101*E101</f>
        <v>0</v>
      </c>
      <c r="G101" s="236"/>
      <c r="H101" s="2159"/>
      <c r="I101" s="2053"/>
    </row>
    <row r="102" spans="1:10" ht="15" customHeight="1" x14ac:dyDescent="0.2">
      <c r="A102" s="2035"/>
      <c r="B102" s="2138"/>
      <c r="C102" s="328" t="str">
        <f>F!C255</f>
        <v>30 to 60%</v>
      </c>
      <c r="D102" s="40">
        <f>F!D255</f>
        <v>0</v>
      </c>
      <c r="E102" s="241">
        <v>3</v>
      </c>
      <c r="F102" s="241">
        <f>D102*E102</f>
        <v>0</v>
      </c>
      <c r="G102" s="236"/>
      <c r="H102" s="2159"/>
      <c r="I102" s="2053"/>
    </row>
    <row r="103" spans="1:10" ht="15" customHeight="1" x14ac:dyDescent="0.2">
      <c r="A103" s="2035"/>
      <c r="B103" s="2138"/>
      <c r="C103" s="328" t="str">
        <f>F!C256</f>
        <v>60 to 90%</v>
      </c>
      <c r="D103" s="40">
        <f>F!D256</f>
        <v>0</v>
      </c>
      <c r="E103" s="241">
        <v>4</v>
      </c>
      <c r="F103" s="241">
        <f>D103*E103</f>
        <v>0</v>
      </c>
      <c r="G103" s="236"/>
      <c r="H103" s="2159"/>
      <c r="I103" s="2053"/>
    </row>
    <row r="104" spans="1:10" ht="15" customHeight="1" thickBot="1" x14ac:dyDescent="0.25">
      <c r="A104" s="2035"/>
      <c r="B104" s="2138"/>
      <c r="C104" s="780" t="str">
        <f>F!C257</f>
        <v>&gt;90%, or the AA does not adjoin any upland  SKIP to F54 (Cliffs).</v>
      </c>
      <c r="D104" s="356">
        <f>F!D257</f>
        <v>0</v>
      </c>
      <c r="E104" s="380">
        <v>6</v>
      </c>
      <c r="F104" s="380">
        <f>D104*E104</f>
        <v>0</v>
      </c>
      <c r="G104" s="744"/>
      <c r="H104" s="2159"/>
      <c r="I104" s="2053"/>
    </row>
    <row r="105" spans="1:10" ht="21" customHeight="1" thickBot="1" x14ac:dyDescent="0.25">
      <c r="A105" s="2155" t="str">
        <f>F!A269</f>
        <v>F56</v>
      </c>
      <c r="B105" s="2155" t="str">
        <f>F!B269</f>
        <v>Burn History</v>
      </c>
      <c r="C105" s="1044" t="str">
        <f>F!C269</f>
        <v>More than 1% of the AA's previously vegetated area:</v>
      </c>
      <c r="D105" s="777"/>
      <c r="E105" s="376"/>
      <c r="F105" s="376"/>
      <c r="G105" s="225">
        <f>MAX(F106:F109)/MAX(E106:E109)</f>
        <v>0</v>
      </c>
      <c r="H105" s="2163" t="s">
        <v>1764</v>
      </c>
      <c r="I105" s="1867" t="s">
        <v>1351</v>
      </c>
    </row>
    <row r="106" spans="1:10" ht="15" customHeight="1" x14ac:dyDescent="0.2">
      <c r="A106" s="2156"/>
      <c r="B106" s="2156"/>
      <c r="C106" s="1045" t="str">
        <f>F!C270</f>
        <v>burned within past 5 years.</v>
      </c>
      <c r="D106" s="746">
        <f>F!D270</f>
        <v>0</v>
      </c>
      <c r="E106" s="722">
        <v>3</v>
      </c>
      <c r="F106" s="241">
        <f>D106*E106</f>
        <v>0</v>
      </c>
      <c r="G106" s="745"/>
      <c r="H106" s="2164"/>
      <c r="I106" s="1911"/>
    </row>
    <row r="107" spans="1:10" ht="15" customHeight="1" x14ac:dyDescent="0.2">
      <c r="A107" s="2156"/>
      <c r="B107" s="2156"/>
      <c r="C107" s="1046" t="str">
        <f>F!C271</f>
        <v>burned 6-10 years ago.</v>
      </c>
      <c r="D107" s="746">
        <f>F!D271</f>
        <v>0</v>
      </c>
      <c r="E107" s="722">
        <v>3</v>
      </c>
      <c r="F107" s="241">
        <f>D107*E107</f>
        <v>0</v>
      </c>
      <c r="G107" s="745"/>
      <c r="H107" s="2164"/>
      <c r="I107" s="1911"/>
    </row>
    <row r="108" spans="1:10" ht="15" customHeight="1" x14ac:dyDescent="0.2">
      <c r="A108" s="2156"/>
      <c r="B108" s="2156"/>
      <c r="C108" s="1046" t="str">
        <f>F!C272</f>
        <v>burned 11-30 years ago.</v>
      </c>
      <c r="D108" s="746">
        <f>F!D272</f>
        <v>0</v>
      </c>
      <c r="E108" s="722">
        <v>2</v>
      </c>
      <c r="F108" s="241">
        <f>D108*E108</f>
        <v>0</v>
      </c>
      <c r="G108" s="745"/>
      <c r="H108" s="2164"/>
      <c r="I108" s="1911"/>
    </row>
    <row r="109" spans="1:10" ht="15" customHeight="1" thickBot="1" x14ac:dyDescent="0.25">
      <c r="A109" s="2157"/>
      <c r="B109" s="2157"/>
      <c r="C109" s="1047" t="str">
        <f>F!C273</f>
        <v>burned &gt;30 years ago, or no evidence of a burn and no data.</v>
      </c>
      <c r="D109" s="893">
        <f>F!D273</f>
        <v>0</v>
      </c>
      <c r="E109" s="380">
        <v>1</v>
      </c>
      <c r="F109" s="380">
        <f>D109*E109</f>
        <v>0</v>
      </c>
      <c r="G109" s="894"/>
      <c r="H109" s="2164"/>
      <c r="I109" s="1978"/>
    </row>
    <row r="110" spans="1:10" s="892" customFormat="1" ht="75" customHeight="1" thickBot="1" x14ac:dyDescent="0.25">
      <c r="A110" s="2165" t="str">
        <f>F!A324</f>
        <v>F68</v>
      </c>
      <c r="B110" s="2165" t="str">
        <f>F!B324</f>
        <v>Plants or Animals of Conservation Concern</v>
      </c>
      <c r="C110" s="909" t="str">
        <f>F!C324</f>
        <v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v>
      </c>
      <c r="D110" s="907"/>
      <c r="E110" s="440"/>
      <c r="F110" s="912"/>
      <c r="G110" s="915" t="str">
        <f>IF((D111=0),"",1)</f>
        <v/>
      </c>
      <c r="H110" s="2161" t="s">
        <v>2010</v>
      </c>
      <c r="I110" s="2086" t="s">
        <v>2031</v>
      </c>
      <c r="J110" s="891"/>
    </row>
    <row r="111" spans="1:10" s="892" customFormat="1" ht="15" customHeight="1" thickBot="1" x14ac:dyDescent="0.25">
      <c r="A111" s="2166"/>
      <c r="B111" s="2166"/>
      <c r="C111" s="1038" t="str">
        <f>F!C326</f>
        <v>One or more of the rare fish species was detected within the AA.</v>
      </c>
      <c r="D111" s="908">
        <f>F!D326</f>
        <v>0</v>
      </c>
      <c r="E111" s="263"/>
      <c r="F111" s="263"/>
      <c r="G111" s="914"/>
      <c r="H111" s="2162"/>
      <c r="I111" s="2088"/>
      <c r="J111" s="891"/>
    </row>
    <row r="112" spans="1:10" ht="60" customHeight="1" thickBot="1" x14ac:dyDescent="0.25">
      <c r="A112" s="462" t="str">
        <f>S!A3</f>
        <v>S1</v>
      </c>
      <c r="B112" s="466" t="str">
        <f>S!B3</f>
        <v>Aberrant Hydrologic Regime</v>
      </c>
      <c r="C112" s="906" t="str">
        <f>S!E24</f>
        <v>Stressor Subscore=</v>
      </c>
      <c r="D112" s="895">
        <f>S!F24</f>
        <v>0</v>
      </c>
      <c r="E112" s="276"/>
      <c r="F112" s="787"/>
      <c r="G112" s="761">
        <f>1-D112</f>
        <v>1</v>
      </c>
      <c r="H112" s="1428" t="s">
        <v>111</v>
      </c>
      <c r="I112" s="1416" t="s">
        <v>2423</v>
      </c>
    </row>
    <row r="113" spans="1:11" ht="100.5" customHeight="1" thickBot="1" x14ac:dyDescent="0.25">
      <c r="A113" s="1039" t="str">
        <f>S!A25</f>
        <v>S2</v>
      </c>
      <c r="B113" s="466" t="str">
        <f>S!B25</f>
        <v>Accelerated Inputs of Contaminants and/or Salts</v>
      </c>
      <c r="C113" s="463"/>
      <c r="D113" s="280">
        <f>S!F39</f>
        <v>0</v>
      </c>
      <c r="E113" s="269"/>
      <c r="F113" s="270"/>
      <c r="G113" s="273">
        <f>1-D113</f>
        <v>1</v>
      </c>
      <c r="H113" s="473" t="s">
        <v>732</v>
      </c>
      <c r="I113" s="794" t="s">
        <v>1955</v>
      </c>
    </row>
    <row r="114" spans="1:11" ht="21" customHeight="1" thickBot="1" x14ac:dyDescent="0.25">
      <c r="A114" s="614"/>
      <c r="B114" s="614"/>
      <c r="C114" s="614"/>
      <c r="D114" s="612"/>
      <c r="E114" s="612"/>
      <c r="F114" s="612"/>
      <c r="G114" s="612"/>
      <c r="H114" s="394"/>
      <c r="I114" s="394"/>
    </row>
    <row r="115" spans="1:11" s="5" customFormat="1" ht="21" customHeight="1" thickBot="1" x14ac:dyDescent="0.25">
      <c r="A115" s="1246"/>
      <c r="B115" s="1246"/>
      <c r="C115" s="391" t="s">
        <v>733</v>
      </c>
      <c r="D115" s="613"/>
      <c r="E115" s="613"/>
      <c r="F115" s="613"/>
      <c r="G115" s="613"/>
      <c r="H115" s="6"/>
      <c r="I115" s="6"/>
      <c r="J115" s="110"/>
    </row>
    <row r="116" spans="1:11" s="5" customFormat="1" ht="30" customHeight="1" thickBot="1" x14ac:dyDescent="0.25">
      <c r="A116" s="1246"/>
      <c r="B116" s="1246"/>
      <c r="C116" s="83" t="s">
        <v>2475</v>
      </c>
      <c r="D116" s="507"/>
      <c r="E116" s="507"/>
      <c r="F116" s="507"/>
      <c r="G116" s="285">
        <f>(MAX(FishPres, Fish10)+ AVERAGE(GrowDD, Groundw10, Lake10, Fringe10, Conduc10, Beaver10, Burn10,AcidicPool10))/2</f>
        <v>0</v>
      </c>
      <c r="H116" s="6"/>
      <c r="I116" s="6"/>
      <c r="J116" s="119"/>
      <c r="K116" s="110"/>
    </row>
    <row r="117" spans="1:11" s="5" customFormat="1" ht="21" customHeight="1" thickBot="1" x14ac:dyDescent="0.25">
      <c r="A117" s="1246"/>
      <c r="B117" s="1246"/>
      <c r="D117" s="827"/>
      <c r="E117" s="827"/>
      <c r="F117" s="827"/>
      <c r="G117" s="827"/>
      <c r="H117" s="6"/>
      <c r="I117" s="6"/>
      <c r="J117" s="110"/>
    </row>
    <row r="118" spans="1:11" s="5" customFormat="1" ht="21" customHeight="1" thickBot="1" x14ac:dyDescent="0.25">
      <c r="A118" s="1246"/>
      <c r="B118" s="1246"/>
      <c r="C118" s="391" t="s">
        <v>734</v>
      </c>
      <c r="D118" s="1027"/>
      <c r="E118" s="1027"/>
      <c r="F118" s="1027"/>
      <c r="G118" s="1027"/>
      <c r="H118" s="6"/>
      <c r="I118" s="6"/>
      <c r="J118" s="110"/>
    </row>
    <row r="119" spans="1:11" s="5" customFormat="1" ht="21" customHeight="1" thickBot="1" x14ac:dyDescent="0.25">
      <c r="A119" s="1246"/>
      <c r="B119" s="1246"/>
      <c r="C119" s="83" t="s">
        <v>2476</v>
      </c>
      <c r="D119" s="507"/>
      <c r="E119" s="507"/>
      <c r="F119" s="1495"/>
      <c r="G119" s="285">
        <f>(AVERAGE(OutDura10,PermWpct10,SatPct10, GWDspring))</f>
        <v>0</v>
      </c>
      <c r="H119" s="6"/>
      <c r="I119" s="6"/>
      <c r="J119" s="110"/>
    </row>
    <row r="120" spans="1:11" s="5" customFormat="1" ht="21" customHeight="1" thickBot="1" x14ac:dyDescent="0.25">
      <c r="A120" s="1246"/>
      <c r="B120" s="1246"/>
      <c r="D120" s="827"/>
      <c r="E120" s="827"/>
      <c r="F120" s="827"/>
      <c r="G120" s="827"/>
      <c r="H120" s="6"/>
      <c r="I120" s="6"/>
      <c r="J120" s="110"/>
    </row>
    <row r="121" spans="1:11" s="5" customFormat="1" ht="21" customHeight="1" thickBot="1" x14ac:dyDescent="0.25">
      <c r="A121" s="1246"/>
      <c r="B121" s="1246"/>
      <c r="C121" s="391" t="s">
        <v>735</v>
      </c>
      <c r="D121" s="1027"/>
      <c r="E121" s="1027"/>
      <c r="F121" s="1027"/>
      <c r="G121" s="1027"/>
      <c r="H121" s="6"/>
      <c r="I121" s="6"/>
      <c r="J121" s="110"/>
    </row>
    <row r="122" spans="1:11" s="5" customFormat="1" ht="30.75" customHeight="1" thickBot="1" x14ac:dyDescent="0.25">
      <c r="A122" s="1648"/>
      <c r="B122" s="1390"/>
      <c r="C122" s="408" t="s">
        <v>2402</v>
      </c>
      <c r="D122" s="293"/>
      <c r="E122" s="293"/>
      <c r="F122" s="293"/>
      <c r="G122" s="285">
        <f>IF((AllSat1&gt;0),"",IF((SmallAA=1),"",AVERAGE(Interspers10, ThruFlo10, Depth10, DepthEven10, Shade10, WoodAbove10 )))</f>
        <v>0</v>
      </c>
      <c r="H122" s="6"/>
      <c r="I122" s="6"/>
      <c r="J122" s="110"/>
    </row>
    <row r="123" spans="1:11" s="6" customFormat="1" ht="21" customHeight="1" thickBot="1" x14ac:dyDescent="0.25">
      <c r="A123" s="1548"/>
      <c r="B123" s="21"/>
      <c r="C123" s="110"/>
      <c r="D123" s="617"/>
      <c r="E123" s="617"/>
      <c r="F123" s="617"/>
      <c r="G123" s="617"/>
      <c r="J123" s="110"/>
    </row>
    <row r="124" spans="1:11" s="5" customFormat="1" ht="21" customHeight="1" thickBot="1" x14ac:dyDescent="0.25">
      <c r="A124" s="1548"/>
      <c r="B124" s="1548"/>
      <c r="C124" s="391" t="s">
        <v>834</v>
      </c>
      <c r="D124" s="618"/>
      <c r="E124" s="618"/>
      <c r="F124" s="618"/>
      <c r="G124" s="618"/>
      <c r="H124" s="6"/>
      <c r="I124" s="6"/>
      <c r="J124" s="110"/>
    </row>
    <row r="125" spans="1:11" s="5" customFormat="1" ht="30" customHeight="1" thickBot="1" x14ac:dyDescent="0.25">
      <c r="A125" s="1648"/>
      <c r="B125" s="1548"/>
      <c r="C125" s="408" t="s">
        <v>2270</v>
      </c>
      <c r="D125" s="293"/>
      <c r="E125" s="293"/>
      <c r="F125" s="293"/>
      <c r="G125" s="285">
        <f>AVERAGE(1-Sub0Days,WetArea,OutDura10,RipFloodpl,Depth10,ISOdry10,OWpct10)</f>
        <v>0.2</v>
      </c>
      <c r="H125" s="6"/>
      <c r="I125" s="1548"/>
      <c r="J125" s="110"/>
    </row>
    <row r="126" spans="1:11" s="6" customFormat="1" ht="21" customHeight="1" thickBot="1" x14ac:dyDescent="0.25">
      <c r="A126" s="1548"/>
      <c r="B126" s="1548"/>
      <c r="C126" s="110"/>
      <c r="D126" s="617"/>
      <c r="E126" s="617"/>
      <c r="F126" s="617"/>
      <c r="G126" s="617"/>
      <c r="J126" s="110"/>
    </row>
    <row r="127" spans="1:11" s="5" customFormat="1" ht="21" customHeight="1" thickBot="1" x14ac:dyDescent="0.25">
      <c r="A127" s="1548"/>
      <c r="B127" s="1548"/>
      <c r="C127" s="391" t="s">
        <v>835</v>
      </c>
      <c r="D127" s="618"/>
      <c r="E127" s="618"/>
      <c r="F127" s="618"/>
      <c r="G127" s="618"/>
      <c r="H127" s="6"/>
      <c r="I127" s="6"/>
      <c r="J127" s="110"/>
    </row>
    <row r="128" spans="1:11" s="5" customFormat="1" ht="21" customHeight="1" thickBot="1" x14ac:dyDescent="0.25">
      <c r="A128" s="1548"/>
      <c r="B128" s="1548"/>
      <c r="C128" s="83" t="s">
        <v>2477</v>
      </c>
      <c r="D128" s="507"/>
      <c r="E128" s="507"/>
      <c r="F128" s="507"/>
      <c r="G128" s="285">
        <f>AVERAGE(Dist2Road,1-RdDens1k,Toxic10, AltTime10, NatVegCUpct10)</f>
        <v>0.75</v>
      </c>
      <c r="H128" s="6"/>
      <c r="I128" s="6"/>
      <c r="J128" s="110"/>
    </row>
    <row r="129" spans="1:20" s="5" customFormat="1" ht="21" customHeight="1" thickBot="1" x14ac:dyDescent="0.25">
      <c r="A129" s="1548"/>
      <c r="B129" s="1548"/>
      <c r="D129" s="827"/>
      <c r="E129" s="827"/>
      <c r="F129" s="827"/>
      <c r="G129" s="827"/>
      <c r="H129" s="6"/>
      <c r="I129" s="6"/>
      <c r="J129" s="110"/>
    </row>
    <row r="130" spans="1:20" s="5" customFormat="1" ht="21" customHeight="1" thickBot="1" x14ac:dyDescent="0.25">
      <c r="A130" s="1548"/>
      <c r="B130" s="1548"/>
      <c r="C130" s="393" t="s">
        <v>846</v>
      </c>
      <c r="H130" s="6"/>
      <c r="I130" s="6"/>
      <c r="J130" s="110"/>
    </row>
    <row r="131" spans="1:20" s="5" customFormat="1" ht="21" customHeight="1" thickBot="1" x14ac:dyDescent="0.25">
      <c r="A131" s="1548"/>
      <c r="B131" s="1548"/>
      <c r="C131" s="409" t="s">
        <v>624</v>
      </c>
      <c r="D131" s="1027"/>
      <c r="E131" s="1027"/>
      <c r="F131" s="1027"/>
      <c r="G131" s="1027"/>
      <c r="H131" s="6"/>
      <c r="I131" s="6"/>
      <c r="J131" s="110"/>
    </row>
    <row r="132" spans="1:20" s="5" customFormat="1" ht="30" customHeight="1" thickBot="1" x14ac:dyDescent="0.25">
      <c r="A132" s="167"/>
      <c r="B132" s="940"/>
      <c r="C132" s="310" t="s">
        <v>2478</v>
      </c>
      <c r="D132" s="1086"/>
      <c r="E132" s="507"/>
      <c r="F132" s="507"/>
      <c r="G132" s="297">
        <f>IF((RareFish=1),10, IF((AllSat1=1),0, 10*AVERAGE(Fish10, AVERAGE(CfixF1a, HabStrucF1a, Water1a, AnoxF1a, StressF1a))))</f>
        <v>0.95</v>
      </c>
      <c r="H132" s="6"/>
      <c r="I132" s="6"/>
      <c r="J132" s="110"/>
    </row>
    <row r="133" spans="1:20" s="5" customFormat="1" ht="21" customHeight="1" thickBot="1" x14ac:dyDescent="0.25">
      <c r="A133" s="615"/>
      <c r="B133" s="615"/>
      <c r="C133" s="583"/>
      <c r="D133" s="1649"/>
      <c r="E133" s="1649"/>
      <c r="F133" s="1649"/>
      <c r="G133" s="1649"/>
      <c r="H133" s="1650"/>
      <c r="I133" s="824" t="s">
        <v>293</v>
      </c>
      <c r="J133" s="110"/>
    </row>
    <row r="134" spans="1:20" ht="25.5" x14ac:dyDescent="0.2">
      <c r="A134" s="615"/>
      <c r="B134" s="615"/>
      <c r="C134" s="1464"/>
      <c r="D134" s="1649"/>
      <c r="E134" s="1649"/>
      <c r="F134" s="1649"/>
      <c r="G134" s="1649"/>
      <c r="H134" s="1649"/>
      <c r="I134" s="1421" t="s">
        <v>1253</v>
      </c>
      <c r="J134" s="173"/>
    </row>
    <row r="135" spans="1:20" ht="38.25" x14ac:dyDescent="0.2">
      <c r="A135" s="1651"/>
      <c r="B135" s="1652"/>
      <c r="C135" s="1653"/>
      <c r="D135" s="1654"/>
      <c r="E135" s="595"/>
      <c r="F135" s="595"/>
      <c r="G135" s="595"/>
      <c r="H135" s="596"/>
      <c r="I135" s="1404" t="s">
        <v>1851</v>
      </c>
      <c r="J135" s="173"/>
    </row>
    <row r="136" spans="1:20" ht="51" x14ac:dyDescent="0.2">
      <c r="A136" s="1651"/>
      <c r="B136" s="1652"/>
      <c r="C136" s="1653"/>
      <c r="D136" s="1654"/>
      <c r="E136" s="595"/>
      <c r="F136" s="595"/>
      <c r="G136" s="595"/>
      <c r="H136" s="596"/>
      <c r="I136" s="1404" t="s">
        <v>603</v>
      </c>
      <c r="J136" s="173"/>
    </row>
    <row r="137" spans="1:20" ht="38.25" x14ac:dyDescent="0.2">
      <c r="A137" s="1651"/>
      <c r="B137" s="1652"/>
      <c r="C137" s="1653"/>
      <c r="D137" s="1654"/>
      <c r="E137" s="595"/>
      <c r="F137" s="595"/>
      <c r="G137" s="595"/>
      <c r="H137" s="596"/>
      <c r="I137" s="1404" t="s">
        <v>2012</v>
      </c>
      <c r="J137" s="173"/>
    </row>
    <row r="138" spans="1:20" ht="38.25" x14ac:dyDescent="0.2">
      <c r="A138" s="1651"/>
      <c r="B138" s="1652"/>
      <c r="C138" s="1653"/>
      <c r="D138" s="1655"/>
      <c r="E138" s="595"/>
      <c r="F138" s="595"/>
      <c r="G138" s="595"/>
      <c r="H138" s="596"/>
      <c r="I138" s="1404" t="s">
        <v>329</v>
      </c>
      <c r="J138" s="173"/>
    </row>
    <row r="139" spans="1:20" s="184" customFormat="1" ht="38.25" x14ac:dyDescent="0.2">
      <c r="A139" s="1656"/>
      <c r="B139" s="1652"/>
      <c r="C139" s="1653"/>
      <c r="D139" s="1657"/>
      <c r="E139" s="596"/>
      <c r="F139" s="596"/>
      <c r="G139" s="596"/>
      <c r="H139" s="596"/>
      <c r="I139" s="1404" t="s">
        <v>330</v>
      </c>
      <c r="J139" s="185" t="s">
        <v>406</v>
      </c>
      <c r="K139" s="185"/>
      <c r="L139" s="185"/>
      <c r="M139" s="185"/>
      <c r="N139" s="185"/>
      <c r="O139" s="185"/>
      <c r="P139" s="185"/>
      <c r="Q139" s="185"/>
      <c r="R139" s="185"/>
      <c r="S139" s="185"/>
      <c r="T139" s="185"/>
    </row>
    <row r="140" spans="1:20" s="184" customFormat="1" ht="38.25" x14ac:dyDescent="0.2">
      <c r="A140" s="1656"/>
      <c r="B140" s="1498"/>
      <c r="C140" s="1464"/>
      <c r="D140" s="1657"/>
      <c r="E140" s="596"/>
      <c r="F140" s="596"/>
      <c r="G140" s="596"/>
      <c r="H140" s="596"/>
      <c r="I140" s="1404" t="s">
        <v>1852</v>
      </c>
      <c r="J140" s="185"/>
      <c r="K140" s="185"/>
      <c r="L140" s="185"/>
      <c r="M140" s="185"/>
      <c r="N140" s="185"/>
      <c r="O140" s="185"/>
      <c r="P140" s="185"/>
      <c r="Q140" s="185"/>
      <c r="R140" s="185"/>
      <c r="S140" s="185"/>
      <c r="T140" s="185"/>
    </row>
    <row r="141" spans="1:20" s="184" customFormat="1" ht="51" x14ac:dyDescent="0.2">
      <c r="A141" s="1656"/>
      <c r="B141" s="1652"/>
      <c r="C141" s="1653"/>
      <c r="D141" s="1657"/>
      <c r="E141" s="596"/>
      <c r="F141" s="596"/>
      <c r="G141" s="596"/>
      <c r="H141" s="596"/>
      <c r="I141" s="816" t="s">
        <v>1261</v>
      </c>
      <c r="J141" s="185"/>
      <c r="K141" s="185"/>
      <c r="L141" s="185"/>
      <c r="M141" s="185"/>
      <c r="N141" s="185"/>
      <c r="O141" s="185"/>
      <c r="P141" s="185"/>
      <c r="Q141" s="185"/>
      <c r="R141" s="185"/>
      <c r="S141" s="185"/>
      <c r="T141" s="185"/>
    </row>
    <row r="142" spans="1:20" s="184" customFormat="1" ht="38.25" x14ac:dyDescent="0.2">
      <c r="A142" s="1656"/>
      <c r="B142" s="1652"/>
      <c r="C142" s="1653"/>
      <c r="D142" s="1654"/>
      <c r="E142" s="596"/>
      <c r="F142" s="596"/>
      <c r="G142" s="596"/>
      <c r="H142" s="596"/>
      <c r="I142" s="816" t="s">
        <v>1853</v>
      </c>
      <c r="J142" s="185"/>
      <c r="K142" s="185"/>
      <c r="L142" s="185"/>
      <c r="M142" s="185"/>
      <c r="N142" s="185"/>
      <c r="O142" s="185"/>
      <c r="P142" s="185"/>
      <c r="Q142" s="185"/>
      <c r="R142" s="185"/>
      <c r="S142" s="185"/>
      <c r="T142" s="185"/>
    </row>
    <row r="143" spans="1:20" s="184" customFormat="1" ht="38.25" x14ac:dyDescent="0.2">
      <c r="A143" s="1656"/>
      <c r="B143" s="1652"/>
      <c r="C143" s="1653"/>
      <c r="D143" s="1654"/>
      <c r="E143" s="596"/>
      <c r="F143" s="596"/>
      <c r="G143" s="596"/>
      <c r="H143" s="596"/>
      <c r="I143" s="816" t="s">
        <v>1854</v>
      </c>
      <c r="J143" s="185"/>
      <c r="K143" s="185"/>
      <c r="L143" s="185"/>
      <c r="M143" s="185"/>
      <c r="N143" s="185"/>
      <c r="O143" s="185"/>
      <c r="P143" s="185"/>
      <c r="Q143" s="185"/>
      <c r="R143" s="185"/>
      <c r="S143" s="185"/>
      <c r="T143" s="185"/>
    </row>
    <row r="144" spans="1:20" s="184" customFormat="1" ht="51" x14ac:dyDescent="0.2">
      <c r="A144" s="1656"/>
      <c r="B144" s="1652"/>
      <c r="C144" s="1653"/>
      <c r="D144" s="1654"/>
      <c r="E144" s="596"/>
      <c r="F144" s="596"/>
      <c r="G144" s="596"/>
      <c r="H144" s="596"/>
      <c r="I144" s="823" t="s">
        <v>2543</v>
      </c>
      <c r="J144" s="185"/>
      <c r="K144" s="185"/>
      <c r="L144" s="185"/>
      <c r="M144" s="185"/>
      <c r="N144" s="185"/>
      <c r="O144" s="185"/>
      <c r="P144" s="185"/>
      <c r="Q144" s="185"/>
      <c r="R144" s="185"/>
      <c r="S144" s="185"/>
      <c r="T144" s="185"/>
    </row>
    <row r="145" spans="1:20" s="184" customFormat="1" ht="51" x14ac:dyDescent="0.2">
      <c r="A145" s="1656"/>
      <c r="B145" s="1652"/>
      <c r="C145" s="1653"/>
      <c r="D145" s="1654"/>
      <c r="E145" s="596"/>
      <c r="F145" s="596"/>
      <c r="G145" s="596"/>
      <c r="H145" s="596"/>
      <c r="I145" s="1404" t="s">
        <v>602</v>
      </c>
      <c r="J145" s="185"/>
      <c r="K145" s="185"/>
      <c r="L145" s="185"/>
      <c r="M145" s="185"/>
      <c r="N145" s="185"/>
      <c r="O145" s="185"/>
      <c r="P145" s="185"/>
      <c r="Q145" s="185"/>
      <c r="R145" s="185"/>
      <c r="S145" s="185"/>
      <c r="T145" s="185"/>
    </row>
    <row r="146" spans="1:20" s="184" customFormat="1" ht="38.25" x14ac:dyDescent="0.2">
      <c r="A146" s="1656"/>
      <c r="B146" s="1652"/>
      <c r="C146" s="1653"/>
      <c r="D146" s="1654"/>
      <c r="E146" s="596"/>
      <c r="F146" s="596"/>
      <c r="G146" s="596"/>
      <c r="H146" s="596"/>
      <c r="I146" s="1404" t="s">
        <v>1855</v>
      </c>
      <c r="J146" s="185"/>
      <c r="K146" s="185"/>
      <c r="L146" s="185"/>
      <c r="M146" s="185"/>
      <c r="N146" s="185"/>
      <c r="O146" s="185"/>
      <c r="P146" s="185"/>
      <c r="Q146" s="185"/>
      <c r="R146" s="185"/>
      <c r="S146" s="185"/>
      <c r="T146" s="185"/>
    </row>
    <row r="147" spans="1:20" s="184" customFormat="1" ht="27" customHeight="1" x14ac:dyDescent="0.2">
      <c r="A147" s="1656"/>
      <c r="B147" s="1652"/>
      <c r="C147" s="1653"/>
      <c r="D147" s="1655"/>
      <c r="E147" s="596"/>
      <c r="F147" s="596"/>
      <c r="G147" s="596"/>
      <c r="H147" s="596"/>
      <c r="I147" s="1404" t="s">
        <v>1856</v>
      </c>
      <c r="J147" s="185"/>
      <c r="K147" s="185"/>
      <c r="L147" s="185"/>
      <c r="M147" s="185"/>
      <c r="N147" s="185"/>
      <c r="O147" s="185"/>
      <c r="P147" s="185"/>
      <c r="Q147" s="185"/>
      <c r="R147" s="185"/>
      <c r="S147" s="185"/>
      <c r="T147" s="185"/>
    </row>
    <row r="148" spans="1:20" ht="25.5" x14ac:dyDescent="0.2">
      <c r="A148" s="15"/>
      <c r="B148" s="15"/>
      <c r="C148" s="15"/>
      <c r="D148" s="15"/>
      <c r="E148" s="15"/>
      <c r="F148" s="15"/>
      <c r="G148" s="15"/>
      <c r="H148" s="15"/>
      <c r="I148" s="1404" t="s">
        <v>1857</v>
      </c>
      <c r="J148" s="173"/>
    </row>
    <row r="149" spans="1:20" ht="25.5" x14ac:dyDescent="0.2">
      <c r="C149" s="11"/>
      <c r="I149" s="837" t="s">
        <v>1858</v>
      </c>
      <c r="J149" s="173"/>
    </row>
    <row r="150" spans="1:20" ht="90" thickBot="1" x14ac:dyDescent="0.25">
      <c r="C150" s="11"/>
      <c r="I150" s="1405" t="s">
        <v>1241</v>
      </c>
      <c r="J150" s="173"/>
    </row>
    <row r="151" spans="1:20" x14ac:dyDescent="0.2">
      <c r="C151" s="11"/>
      <c r="I151" s="15"/>
      <c r="J151" s="173"/>
    </row>
    <row r="152" spans="1:20" x14ac:dyDescent="0.2">
      <c r="C152" s="11"/>
      <c r="J152" s="173"/>
    </row>
    <row r="153" spans="1:20" x14ac:dyDescent="0.2">
      <c r="C153" s="11"/>
      <c r="I153" s="15"/>
      <c r="J153" s="173"/>
    </row>
    <row r="154" spans="1:20" x14ac:dyDescent="0.2">
      <c r="C154" s="11"/>
      <c r="I154" s="15"/>
      <c r="J154" s="173"/>
    </row>
    <row r="155" spans="1:20" x14ac:dyDescent="0.2">
      <c r="C155" s="11"/>
      <c r="I155" s="15"/>
      <c r="J155" s="173"/>
    </row>
    <row r="156" spans="1:20" x14ac:dyDescent="0.2">
      <c r="B156" s="117"/>
      <c r="C156" s="11"/>
      <c r="I156" s="15"/>
      <c r="J156" s="173"/>
    </row>
    <row r="157" spans="1:20" x14ac:dyDescent="0.2">
      <c r="C157" s="11"/>
      <c r="I157" s="15"/>
      <c r="J157" s="173"/>
    </row>
    <row r="158" spans="1:20" x14ac:dyDescent="0.2">
      <c r="C158" s="11"/>
      <c r="I158" s="15"/>
      <c r="J158" s="173"/>
    </row>
    <row r="159" spans="1:20" s="15" customFormat="1" ht="33.6" customHeight="1" x14ac:dyDescent="0.2">
      <c r="A159" s="134"/>
      <c r="B159" s="134"/>
      <c r="D159" s="134"/>
      <c r="E159" s="134"/>
      <c r="F159" s="134"/>
      <c r="G159" s="134"/>
      <c r="H159" s="19"/>
      <c r="I159" s="11"/>
      <c r="J159" s="173"/>
    </row>
    <row r="160" spans="1:20" s="15" customFormat="1" ht="21" customHeight="1" x14ac:dyDescent="0.2">
      <c r="D160" s="134"/>
      <c r="G160" s="134"/>
      <c r="H160" s="19"/>
      <c r="I160" s="11"/>
      <c r="J160" s="173"/>
    </row>
    <row r="161" spans="2:10" s="15" customFormat="1" x14ac:dyDescent="0.2">
      <c r="D161" s="134"/>
      <c r="G161" s="134"/>
      <c r="H161" s="19"/>
      <c r="I161" s="11"/>
      <c r="J161" s="173"/>
    </row>
    <row r="162" spans="2:10" s="15" customFormat="1" ht="55.9" customHeight="1" x14ac:dyDescent="0.2">
      <c r="D162" s="134"/>
      <c r="G162" s="134"/>
      <c r="H162" s="19"/>
      <c r="I162" s="11"/>
      <c r="J162" s="174"/>
    </row>
    <row r="163" spans="2:10" s="15" customFormat="1" ht="42" customHeight="1" x14ac:dyDescent="0.2">
      <c r="D163" s="134"/>
      <c r="G163" s="134"/>
      <c r="H163" s="19"/>
      <c r="I163" s="11"/>
      <c r="J163" s="174"/>
    </row>
    <row r="164" spans="2:10" s="15" customFormat="1" ht="57" customHeight="1" x14ac:dyDescent="0.2">
      <c r="D164" s="134"/>
      <c r="G164" s="134"/>
      <c r="H164" s="19"/>
      <c r="I164" s="11"/>
      <c r="J164" s="174"/>
    </row>
    <row r="165" spans="2:10" s="15" customFormat="1" ht="41.45" customHeight="1" x14ac:dyDescent="0.2">
      <c r="D165" s="134"/>
      <c r="G165" s="134"/>
      <c r="H165" s="19"/>
      <c r="I165" s="11"/>
      <c r="J165" s="174"/>
    </row>
    <row r="166" spans="2:10" s="15" customFormat="1" x14ac:dyDescent="0.2">
      <c r="B166" s="117"/>
      <c r="C166" s="940"/>
      <c r="D166" s="181"/>
      <c r="E166" s="181"/>
      <c r="F166" s="181"/>
      <c r="G166" s="251"/>
      <c r="H166" s="19"/>
      <c r="I166" s="11"/>
      <c r="J166" s="174"/>
    </row>
    <row r="167" spans="2:10" s="15" customFormat="1" x14ac:dyDescent="0.2">
      <c r="B167" s="117"/>
      <c r="C167" s="940"/>
      <c r="D167" s="181"/>
      <c r="E167" s="181"/>
      <c r="F167" s="181"/>
      <c r="G167" s="251"/>
      <c r="H167" s="19"/>
      <c r="I167" s="11"/>
      <c r="J167" s="174"/>
    </row>
  </sheetData>
  <sheetProtection password="C4B9" sheet="1" objects="1" scenarios="1"/>
  <sortState ref="A3:M15">
    <sortCondition ref="H3:H15"/>
  </sortState>
  <customSheetViews>
    <customSheetView guid="{B8E02330-2419-4DE6-AD01-7ACC7A5D18DD}" scale="75">
      <selection activeCell="H120" sqref="A2:H120"/>
      <pageMargins left="0.75" right="0.75" top="1" bottom="1" header="0.5" footer="0.5"/>
      <pageSetup orientation="portrait" r:id="rId1"/>
      <headerFooter alignWithMargins="0"/>
    </customSheetView>
  </customSheetViews>
  <mergeCells count="74">
    <mergeCell ref="I68:I72"/>
    <mergeCell ref="I79:I82"/>
    <mergeCell ref="I59:I62"/>
    <mergeCell ref="H59:H62"/>
    <mergeCell ref="H73:H78"/>
    <mergeCell ref="H68:H72"/>
    <mergeCell ref="I73:I78"/>
    <mergeCell ref="H79:H82"/>
    <mergeCell ref="H63:H66"/>
    <mergeCell ref="H45:H51"/>
    <mergeCell ref="H52:H58"/>
    <mergeCell ref="I63:I66"/>
    <mergeCell ref="I52:I58"/>
    <mergeCell ref="B52:B58"/>
    <mergeCell ref="I45:I51"/>
    <mergeCell ref="E1:I1"/>
    <mergeCell ref="I41:I44"/>
    <mergeCell ref="I35:I40"/>
    <mergeCell ref="I27:I32"/>
    <mergeCell ref="I20:I26"/>
    <mergeCell ref="I14:I19"/>
    <mergeCell ref="H20:H26"/>
    <mergeCell ref="H14:H19"/>
    <mergeCell ref="H27:H32"/>
    <mergeCell ref="H35:H40"/>
    <mergeCell ref="H41:H44"/>
    <mergeCell ref="A73:A78"/>
    <mergeCell ref="B68:B72"/>
    <mergeCell ref="A1:B1"/>
    <mergeCell ref="A35:A40"/>
    <mergeCell ref="A52:A58"/>
    <mergeCell ref="B20:B26"/>
    <mergeCell ref="B27:B32"/>
    <mergeCell ref="A14:A19"/>
    <mergeCell ref="B14:B19"/>
    <mergeCell ref="A27:A32"/>
    <mergeCell ref="B35:B40"/>
    <mergeCell ref="A20:A26"/>
    <mergeCell ref="B41:B44"/>
    <mergeCell ref="A41:A44"/>
    <mergeCell ref="B45:B51"/>
    <mergeCell ref="A45:A51"/>
    <mergeCell ref="A59:A62"/>
    <mergeCell ref="B59:B62"/>
    <mergeCell ref="A68:A72"/>
    <mergeCell ref="A79:A82"/>
    <mergeCell ref="A110:A111"/>
    <mergeCell ref="B110:B111"/>
    <mergeCell ref="A105:A109"/>
    <mergeCell ref="A83:A88"/>
    <mergeCell ref="A89:A94"/>
    <mergeCell ref="A95:A98"/>
    <mergeCell ref="A99:A104"/>
    <mergeCell ref="B83:B88"/>
    <mergeCell ref="A63:A66"/>
    <mergeCell ref="B63:B66"/>
    <mergeCell ref="B79:B82"/>
    <mergeCell ref="B73:B78"/>
    <mergeCell ref="I110:I111"/>
    <mergeCell ref="B95:B98"/>
    <mergeCell ref="B99:B104"/>
    <mergeCell ref="I99:I104"/>
    <mergeCell ref="H110:H111"/>
    <mergeCell ref="H105:H109"/>
    <mergeCell ref="I95:I98"/>
    <mergeCell ref="H99:H104"/>
    <mergeCell ref="H95:H98"/>
    <mergeCell ref="I83:I88"/>
    <mergeCell ref="I105:I109"/>
    <mergeCell ref="B105:B109"/>
    <mergeCell ref="B89:B94"/>
    <mergeCell ref="I89:I94"/>
    <mergeCell ref="H83:H88"/>
    <mergeCell ref="H89:H94"/>
  </mergeCells>
  <phoneticPr fontId="12" type="noConversion"/>
  <conditionalFormatting sqref="D132 D128:D129 D125:D126 D116:D117 D119:D120 D122:D123 D87:D89 D91:D95 D97:D103 D106:D109 D112:D114 D81:D85 D74:D79 D69:D72 D61:D65 D45:D54 D56:D59 D41:D43 D27:D30 D32:D39 D14 D16:D25">
    <cfRule type="cellIs" dxfId="5" priority="1" operator="greaterThan">
      <formula>0</formula>
    </cfRule>
  </conditionalFormatting>
  <pageMargins left="0.75" right="0.75" top="1" bottom="1" header="0.5" footer="0.5"/>
  <pageSetup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O1649"/>
  <sheetViews>
    <sheetView zoomScaleNormal="100" workbookViewId="0">
      <selection activeCell="C6" sqref="C6"/>
    </sheetView>
  </sheetViews>
  <sheetFormatPr defaultColWidth="9.33203125" defaultRowHeight="16.5" x14ac:dyDescent="0.2"/>
  <cols>
    <col min="1" max="1" width="5.83203125" style="25" customWidth="1"/>
    <col min="2" max="2" width="18.83203125" style="123" customWidth="1"/>
    <col min="3" max="3" width="69.83203125" style="5" customWidth="1"/>
    <col min="4" max="4" width="6.83203125" style="249" customWidth="1"/>
    <col min="5" max="5" width="8.33203125" style="249" customWidth="1"/>
    <col min="6" max="6" width="8.83203125" style="294" customWidth="1"/>
    <col min="7" max="7" width="10.6640625" style="295" customWidth="1"/>
    <col min="8" max="8" width="14.6640625" style="126" customWidth="1"/>
    <col min="9" max="9" width="67.83203125" style="13" customWidth="1"/>
    <col min="10" max="10" width="9.33203125" style="145"/>
    <col min="11" max="12" width="9.33203125" style="15"/>
    <col min="13" max="13" width="49.5" style="15" customWidth="1"/>
    <col min="14" max="66" width="9.33203125" style="15"/>
    <col min="67" max="16384" width="9.33203125" style="11"/>
  </cols>
  <sheetData>
    <row r="1" spans="1:67" s="61" customFormat="1" ht="46.9" customHeight="1" thickBot="1" x14ac:dyDescent="0.25">
      <c r="A1" s="2186" t="s">
        <v>1756</v>
      </c>
      <c r="B1" s="2096"/>
      <c r="C1" s="60" t="s">
        <v>523</v>
      </c>
      <c r="D1" s="497" t="s">
        <v>515</v>
      </c>
      <c r="E1" s="2183"/>
      <c r="F1" s="2184"/>
      <c r="G1" s="2184"/>
      <c r="H1" s="2184"/>
      <c r="I1" s="2185"/>
      <c r="J1" s="144"/>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row>
    <row r="2" spans="1:67" s="1014" customFormat="1" ht="50.25" thickBot="1" x14ac:dyDescent="0.25">
      <c r="A2" s="1008" t="s">
        <v>78</v>
      </c>
      <c r="B2" s="1009" t="s">
        <v>701</v>
      </c>
      <c r="C2" s="1010" t="s">
        <v>866</v>
      </c>
      <c r="D2" s="1008"/>
      <c r="E2" s="1011"/>
      <c r="F2" s="1012"/>
      <c r="G2" s="1013" t="s">
        <v>710</v>
      </c>
      <c r="H2" s="1177" t="s">
        <v>2028</v>
      </c>
      <c r="I2" s="1009" t="s">
        <v>255</v>
      </c>
    </row>
    <row r="3" spans="1:67" s="1325" customFormat="1" ht="69.75" customHeight="1" thickBot="1" x14ac:dyDescent="0.25">
      <c r="A3" s="418" t="str">
        <f>OF!A5</f>
        <v>OF4</v>
      </c>
      <c r="B3" s="323" t="str">
        <f>OF!C5</f>
        <v>Wetland Class Richness Within 1km</v>
      </c>
      <c r="C3" s="498"/>
      <c r="D3" s="324"/>
      <c r="E3" s="325"/>
      <c r="F3" s="325"/>
      <c r="G3" s="345" t="str">
        <f>IF((ClassRich1k=""),"",ClassRich1k)</f>
        <v/>
      </c>
      <c r="H3" s="351" t="s">
        <v>806</v>
      </c>
      <c r="I3" s="499" t="s">
        <v>991</v>
      </c>
      <c r="J3" s="1600"/>
      <c r="L3" s="1658"/>
      <c r="N3" s="1658"/>
      <c r="O3" s="1658"/>
      <c r="P3" s="1658"/>
    </row>
    <row r="4" spans="1:67" s="1325" customFormat="1" ht="39" customHeight="1" thickBot="1" x14ac:dyDescent="0.25">
      <c r="A4" s="317" t="str">
        <f>OF!A6</f>
        <v>OF5</v>
      </c>
      <c r="B4" s="318" t="str">
        <f>OF!C6</f>
        <v>Wetland Class Richness Within Wetland</v>
      </c>
      <c r="C4" s="500"/>
      <c r="D4" s="320"/>
      <c r="E4" s="321"/>
      <c r="F4" s="321"/>
      <c r="G4" s="330" t="str">
        <f>IF((ClassRichIn=""),"",ClassRichIn)</f>
        <v/>
      </c>
      <c r="H4" s="331" t="s">
        <v>685</v>
      </c>
      <c r="I4" s="838" t="s">
        <v>75</v>
      </c>
      <c r="J4" s="1600"/>
      <c r="L4" s="1658"/>
      <c r="N4" s="1658"/>
      <c r="O4" s="1658"/>
      <c r="P4" s="1658"/>
    </row>
    <row r="5" spans="1:67" s="1325" customFormat="1" ht="53.25" customHeight="1" thickBot="1" x14ac:dyDescent="0.25">
      <c r="A5" s="418" t="str">
        <f>OF!A7</f>
        <v>OF6</v>
      </c>
      <c r="B5" s="323" t="str">
        <f>OF!C7</f>
        <v>Distance to Nearest Annual Cropland or Developed Land</v>
      </c>
      <c r="C5" s="498"/>
      <c r="D5" s="324"/>
      <c r="E5" s="325"/>
      <c r="F5" s="325"/>
      <c r="G5" s="345" t="str">
        <f>IF((Dist2DevCrop=""),"",Dist2DevCrop)</f>
        <v/>
      </c>
      <c r="H5" s="351" t="s">
        <v>802</v>
      </c>
      <c r="I5" s="1424" t="s">
        <v>992</v>
      </c>
      <c r="J5" s="1600"/>
      <c r="L5" s="1658"/>
      <c r="N5" s="1658"/>
      <c r="O5" s="1658"/>
      <c r="P5" s="1658"/>
    </row>
    <row r="6" spans="1:67" s="1325" customFormat="1" ht="145.5" customHeight="1" thickBot="1" x14ac:dyDescent="0.25">
      <c r="A6" s="317" t="str">
        <f>OF!A8</f>
        <v>OF7</v>
      </c>
      <c r="B6" s="318" t="str">
        <f>OF!C8</f>
        <v>Distance to Nearest Road (from Wetland Edge)</v>
      </c>
      <c r="C6" s="500"/>
      <c r="D6" s="320"/>
      <c r="E6" s="321"/>
      <c r="F6" s="321"/>
      <c r="G6" s="330" t="str">
        <f>IF((Dist2Road=""),"",Dist2Road)</f>
        <v/>
      </c>
      <c r="H6" s="331" t="s">
        <v>812</v>
      </c>
      <c r="I6" s="838" t="s">
        <v>561</v>
      </c>
      <c r="J6" s="1600"/>
      <c r="N6" s="5"/>
      <c r="O6" s="5"/>
    </row>
    <row r="7" spans="1:67" s="1325" customFormat="1" ht="45" customHeight="1" thickBot="1" x14ac:dyDescent="0.25">
      <c r="A7" s="418" t="str">
        <f>OF!A14</f>
        <v>OF13</v>
      </c>
      <c r="B7" s="323" t="str">
        <f>OF!C14</f>
        <v>Fish Presence</v>
      </c>
      <c r="C7" s="498"/>
      <c r="D7" s="324"/>
      <c r="E7" s="325"/>
      <c r="F7" s="325"/>
      <c r="G7" s="345" t="str">
        <f>IF((FishPres=""),"",FishPres)</f>
        <v/>
      </c>
      <c r="H7" s="351" t="s">
        <v>675</v>
      </c>
      <c r="I7" s="1424" t="s">
        <v>993</v>
      </c>
      <c r="J7" s="1600"/>
      <c r="L7" s="1658"/>
      <c r="N7" s="1658"/>
      <c r="O7" s="1658"/>
      <c r="P7" s="1658"/>
    </row>
    <row r="8" spans="1:67" s="1325" customFormat="1" ht="45" customHeight="1" thickBot="1" x14ac:dyDescent="0.25">
      <c r="A8" s="317" t="str">
        <f>OF!A16</f>
        <v>OF15</v>
      </c>
      <c r="B8" s="318" t="str">
        <f>OF!C16</f>
        <v>Growing Degree Days</v>
      </c>
      <c r="C8" s="500" t="s">
        <v>406</v>
      </c>
      <c r="D8" s="320"/>
      <c r="E8" s="321"/>
      <c r="F8" s="321"/>
      <c r="G8" s="330" t="str">
        <f>IF((GrowDD=""),"",GrowDD)</f>
        <v/>
      </c>
      <c r="H8" s="331" t="s">
        <v>698</v>
      </c>
      <c r="I8" s="838" t="s">
        <v>557</v>
      </c>
      <c r="J8" s="1600"/>
    </row>
    <row r="9" spans="1:67" s="110" customFormat="1" ht="30" customHeight="1" thickBot="1" x14ac:dyDescent="0.25">
      <c r="A9" s="317" t="str">
        <f>OF!A17</f>
        <v>OF16</v>
      </c>
      <c r="B9" s="318" t="str">
        <f>OF!B17</f>
        <v>GWDspring</v>
      </c>
      <c r="C9" s="336"/>
      <c r="D9" s="1259"/>
      <c r="E9" s="1260"/>
      <c r="F9" s="1260"/>
      <c r="G9" s="809" t="str">
        <f>IF((GWDspring=""), "", GWDspring)</f>
        <v/>
      </c>
      <c r="H9" s="1261" t="s">
        <v>668</v>
      </c>
      <c r="I9" s="1318" t="s">
        <v>2266</v>
      </c>
      <c r="J9" s="80"/>
    </row>
    <row r="10" spans="1:67" s="1325" customFormat="1" ht="119.25" customHeight="1" thickBot="1" x14ac:dyDescent="0.25">
      <c r="A10" s="317" t="str">
        <f>OF!A22</f>
        <v>OF21</v>
      </c>
      <c r="B10" s="864" t="str">
        <f>OF!C22</f>
        <v>% Natural Cover Within 1km</v>
      </c>
      <c r="C10" s="500" t="s">
        <v>406</v>
      </c>
      <c r="D10" s="764"/>
      <c r="E10" s="765"/>
      <c r="F10" s="765"/>
      <c r="G10" s="809" t="str">
        <f>IF((NatCov1k=""),"",NatCov1k)</f>
        <v/>
      </c>
      <c r="H10" s="867" t="s">
        <v>687</v>
      </c>
      <c r="I10" s="838" t="s">
        <v>1081</v>
      </c>
      <c r="J10" s="1600"/>
      <c r="P10" s="940"/>
    </row>
    <row r="11" spans="1:67" s="1325" customFormat="1" ht="30" customHeight="1" thickBot="1" x14ac:dyDescent="0.25">
      <c r="A11" s="317" t="str">
        <f>OF!A32</f>
        <v>OF31</v>
      </c>
      <c r="B11" s="318" t="str">
        <f>OF!C32</f>
        <v>Road Density Within 1km Buffer</v>
      </c>
      <c r="C11" s="500" t="s">
        <v>867</v>
      </c>
      <c r="D11" s="320"/>
      <c r="E11" s="321"/>
      <c r="F11" s="321"/>
      <c r="G11" s="502" t="str">
        <f>IF((RdDens1k=""),"",RdDens1k)</f>
        <v/>
      </c>
      <c r="H11" s="464" t="s">
        <v>688</v>
      </c>
      <c r="I11" s="767" t="s">
        <v>1244</v>
      </c>
      <c r="J11" s="151"/>
      <c r="K11" s="940"/>
      <c r="L11" s="169"/>
      <c r="N11" s="1658"/>
      <c r="O11" s="1658"/>
      <c r="P11" s="1658"/>
      <c r="Q11" s="940"/>
      <c r="R11" s="940"/>
      <c r="S11" s="940"/>
      <c r="T11" s="940"/>
      <c r="U11" s="940"/>
      <c r="V11" s="940"/>
      <c r="W11" s="940"/>
      <c r="X11" s="940"/>
      <c r="Y11" s="940"/>
      <c r="Z11" s="940"/>
      <c r="AA11" s="940"/>
      <c r="AB11" s="940"/>
      <c r="AC11" s="940"/>
      <c r="AD11" s="940"/>
      <c r="AE11" s="940"/>
      <c r="AF11" s="940"/>
      <c r="AG11" s="940"/>
      <c r="AH11" s="940"/>
      <c r="AI11" s="940"/>
      <c r="AJ11" s="940"/>
      <c r="AK11" s="940"/>
      <c r="AL11" s="940"/>
      <c r="AM11" s="940"/>
      <c r="AN11" s="940"/>
      <c r="AO11" s="940"/>
      <c r="AP11" s="940"/>
      <c r="AQ11" s="940"/>
      <c r="AR11" s="940"/>
      <c r="AS11" s="940"/>
      <c r="AT11" s="940"/>
      <c r="AU11" s="940"/>
      <c r="AV11" s="940"/>
      <c r="AW11" s="940"/>
      <c r="AX11" s="940"/>
      <c r="AY11" s="940"/>
      <c r="AZ11" s="940"/>
      <c r="BA11" s="940"/>
      <c r="BB11" s="940"/>
      <c r="BC11" s="940"/>
      <c r="BD11" s="940"/>
      <c r="BE11" s="940"/>
      <c r="BF11" s="940"/>
      <c r="BG11" s="940"/>
      <c r="BH11" s="940"/>
      <c r="BI11" s="940"/>
      <c r="BJ11" s="940"/>
      <c r="BK11" s="940"/>
      <c r="BL11" s="940"/>
      <c r="BM11" s="940"/>
      <c r="BN11" s="940"/>
      <c r="BO11" s="5"/>
    </row>
    <row r="12" spans="1:67" s="1325" customFormat="1" ht="26.25" thickBot="1" x14ac:dyDescent="0.25">
      <c r="A12" s="317" t="str">
        <f>OF!A35</f>
        <v>OF34</v>
      </c>
      <c r="B12" s="864" t="str">
        <f>OF!C35</f>
        <v>Within Range of a Sensitive Amphibian</v>
      </c>
      <c r="C12" s="500" t="s">
        <v>891</v>
      </c>
      <c r="D12" s="764"/>
      <c r="E12" s="765"/>
      <c r="F12" s="865"/>
      <c r="G12" s="910" t="str">
        <f>IF((SensAm=""),"",IF((SensAm=1),1,""))</f>
        <v/>
      </c>
      <c r="H12" s="867" t="s">
        <v>695</v>
      </c>
      <c r="I12" s="838" t="s">
        <v>994</v>
      </c>
      <c r="J12" s="1600"/>
      <c r="L12" s="169"/>
      <c r="N12" s="1658"/>
      <c r="O12" s="1658"/>
      <c r="P12" s="1658"/>
    </row>
    <row r="13" spans="1:67" s="5" customFormat="1" ht="55.5" customHeight="1" thickBot="1" x14ac:dyDescent="0.25">
      <c r="A13" s="418" t="str">
        <f>OF!A43</f>
        <v>OF42</v>
      </c>
      <c r="B13" s="323" t="str">
        <f>OF!C43</f>
        <v>Fen or Marsh or Wet Wooded Area/ All Fen, Marsh, and Wet Wooded Within 1k</v>
      </c>
      <c r="C13" s="498" t="s">
        <v>406</v>
      </c>
      <c r="D13" s="324"/>
      <c r="E13" s="325"/>
      <c r="F13" s="325"/>
      <c r="G13" s="485" t="str">
        <f>IF((UniqFenMarshSwamp=""),"",UniqFenMarshSwamp)</f>
        <v/>
      </c>
      <c r="H13" s="1374" t="s">
        <v>1175</v>
      </c>
      <c r="I13" s="1424" t="s">
        <v>995</v>
      </c>
      <c r="J13" s="1600"/>
      <c r="K13" s="1332"/>
      <c r="L13" s="1325"/>
      <c r="N13" s="1325"/>
      <c r="O13" s="1325"/>
      <c r="P13" s="1325"/>
      <c r="Q13" s="1325"/>
      <c r="R13" s="1325"/>
      <c r="S13" s="1325"/>
      <c r="T13" s="1325"/>
      <c r="U13" s="1325"/>
      <c r="V13" s="1325"/>
      <c r="W13" s="1325"/>
      <c r="X13" s="1325"/>
      <c r="Y13" s="1325"/>
      <c r="Z13" s="1325"/>
      <c r="AA13" s="1325"/>
      <c r="AB13" s="1325"/>
      <c r="AC13" s="1325"/>
      <c r="AD13" s="1325"/>
      <c r="AE13" s="1325"/>
      <c r="AF13" s="1325"/>
      <c r="AG13" s="1325"/>
      <c r="AH13" s="1325"/>
      <c r="AI13" s="1325"/>
      <c r="AJ13" s="1325"/>
      <c r="AK13" s="1325"/>
      <c r="AL13" s="1325"/>
      <c r="AM13" s="1325"/>
      <c r="AN13" s="1325"/>
      <c r="AO13" s="1325"/>
      <c r="AP13" s="1325"/>
      <c r="AQ13" s="1325"/>
      <c r="AR13" s="1325"/>
      <c r="AS13" s="1325"/>
      <c r="AT13" s="1325"/>
      <c r="AU13" s="1325"/>
      <c r="AV13" s="1325"/>
      <c r="AW13" s="1325"/>
      <c r="AX13" s="1325"/>
      <c r="AY13" s="1325"/>
      <c r="AZ13" s="1325"/>
      <c r="BA13" s="1325"/>
      <c r="BB13" s="1325"/>
      <c r="BC13" s="1325"/>
      <c r="BD13" s="1325"/>
      <c r="BE13" s="1325"/>
      <c r="BF13" s="1325"/>
      <c r="BG13" s="1325"/>
      <c r="BH13" s="1325"/>
      <c r="BI13" s="1325"/>
      <c r="BJ13" s="1325"/>
      <c r="BK13" s="1325"/>
      <c r="BL13" s="1325"/>
      <c r="BM13" s="1325"/>
      <c r="BN13" s="1325"/>
      <c r="BO13" s="1325"/>
    </row>
    <row r="14" spans="1:67" s="1325" customFormat="1" ht="120" customHeight="1" thickBot="1" x14ac:dyDescent="0.25">
      <c r="A14" s="317" t="str">
        <f>OF!A46</f>
        <v>OF45</v>
      </c>
      <c r="B14" s="318" t="str">
        <f>OF!C46</f>
        <v>Wetland Density Within 1km (excluding bogs)</v>
      </c>
      <c r="C14" s="500" t="s">
        <v>406</v>
      </c>
      <c r="D14" s="320"/>
      <c r="E14" s="321"/>
      <c r="F14" s="321"/>
      <c r="G14" s="502" t="str">
        <f>IF((WetDens1k_NoBog=""),"",WetDens1k_NoBog)</f>
        <v/>
      </c>
      <c r="H14" s="464" t="s">
        <v>662</v>
      </c>
      <c r="I14" s="838" t="s">
        <v>2268</v>
      </c>
      <c r="J14" s="151"/>
      <c r="K14" s="1332"/>
      <c r="L14" s="169"/>
      <c r="N14" s="110"/>
      <c r="O14" s="1658"/>
      <c r="P14" s="1658"/>
      <c r="Q14" s="940"/>
      <c r="R14" s="940"/>
      <c r="S14" s="940"/>
      <c r="T14" s="940"/>
      <c r="U14" s="940"/>
      <c r="V14" s="940"/>
      <c r="W14" s="940"/>
      <c r="X14" s="940"/>
      <c r="Y14" s="940"/>
      <c r="Z14" s="940"/>
      <c r="AA14" s="940"/>
      <c r="AB14" s="940"/>
      <c r="AC14" s="940"/>
      <c r="AD14" s="940"/>
      <c r="AE14" s="940"/>
      <c r="AF14" s="940"/>
      <c r="AG14" s="940"/>
      <c r="AH14" s="940"/>
      <c r="AI14" s="940"/>
      <c r="AJ14" s="940"/>
      <c r="AK14" s="940"/>
      <c r="AL14" s="940"/>
      <c r="AM14" s="940"/>
      <c r="AN14" s="940"/>
      <c r="AO14" s="940"/>
      <c r="AP14" s="940"/>
      <c r="AQ14" s="940"/>
      <c r="AR14" s="940"/>
      <c r="AS14" s="940"/>
      <c r="AT14" s="940"/>
      <c r="AU14" s="940"/>
      <c r="AV14" s="940"/>
      <c r="AW14" s="940"/>
      <c r="AX14" s="940"/>
      <c r="AY14" s="940"/>
      <c r="AZ14" s="940"/>
      <c r="BA14" s="940"/>
      <c r="BB14" s="940"/>
      <c r="BC14" s="940"/>
      <c r="BD14" s="940"/>
      <c r="BE14" s="940"/>
      <c r="BF14" s="940"/>
      <c r="BG14" s="940"/>
      <c r="BH14" s="940"/>
      <c r="BI14" s="940"/>
      <c r="BJ14" s="940"/>
      <c r="BK14" s="940"/>
      <c r="BL14" s="940"/>
      <c r="BM14" s="940"/>
      <c r="BN14" s="940"/>
      <c r="BO14" s="5"/>
    </row>
    <row r="15" spans="1:67" s="1325" customFormat="1" ht="63.6" customHeight="1" thickBot="1" x14ac:dyDescent="0.25">
      <c r="A15" s="1308" t="str">
        <f>OF!A49</f>
        <v>OF48</v>
      </c>
      <c r="B15" s="1308" t="str">
        <f>OF!C49</f>
        <v>Upland Edge Index</v>
      </c>
      <c r="C15" s="500"/>
      <c r="D15" s="1259"/>
      <c r="E15" s="1260"/>
      <c r="F15" s="1260"/>
      <c r="G15" s="766" t="str">
        <f>IF((WetPerim2Area=""),"",WetPerim2Area)</f>
        <v/>
      </c>
      <c r="H15" s="1194" t="s">
        <v>657</v>
      </c>
      <c r="I15" s="1323"/>
      <c r="J15" s="151"/>
      <c r="K15" s="1332"/>
      <c r="L15" s="169"/>
      <c r="N15" s="110"/>
      <c r="O15" s="1658"/>
      <c r="P15" s="1658"/>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940"/>
      <c r="BI15" s="940"/>
      <c r="BJ15" s="940"/>
      <c r="BK15" s="940"/>
      <c r="BL15" s="940"/>
      <c r="BM15" s="940"/>
      <c r="BN15" s="940"/>
      <c r="BO15" s="5"/>
    </row>
    <row r="16" spans="1:67" s="1325" customFormat="1" ht="45" customHeight="1" thickBot="1" x14ac:dyDescent="0.25">
      <c r="A16" s="418" t="str">
        <f>OF!A52</f>
        <v>OF51</v>
      </c>
      <c r="B16" s="323" t="str">
        <f>OF!C52</f>
        <v>Wind Energy - Summer</v>
      </c>
      <c r="C16" s="498" t="s">
        <v>867</v>
      </c>
      <c r="D16" s="324"/>
      <c r="E16" s="325"/>
      <c r="F16" s="325"/>
      <c r="G16" s="345" t="str">
        <f>IF((WindSumm=""),"",1-WindSumm)</f>
        <v/>
      </c>
      <c r="H16" s="351" t="s">
        <v>666</v>
      </c>
      <c r="I16" s="1424" t="s">
        <v>996</v>
      </c>
      <c r="J16" s="1600"/>
    </row>
    <row r="17" spans="1:66" s="1007" customFormat="1" ht="50.25" thickBot="1" x14ac:dyDescent="0.35">
      <c r="A17" s="997" t="s">
        <v>78</v>
      </c>
      <c r="B17" s="1017" t="s">
        <v>709</v>
      </c>
      <c r="C17" s="999" t="s">
        <v>708</v>
      </c>
      <c r="D17" s="1000" t="s">
        <v>33</v>
      </c>
      <c r="E17" s="1018" t="s">
        <v>1131</v>
      </c>
      <c r="F17" s="1002" t="s">
        <v>1130</v>
      </c>
      <c r="G17" s="1003" t="s">
        <v>710</v>
      </c>
      <c r="H17" s="1019" t="s">
        <v>2028</v>
      </c>
      <c r="I17" s="1005" t="s">
        <v>917</v>
      </c>
      <c r="J17" s="1006"/>
    </row>
    <row r="18" spans="1:66" s="25" customFormat="1" ht="21" customHeight="1" thickBot="1" x14ac:dyDescent="0.25">
      <c r="A18" s="1992" t="str">
        <f>F!A5</f>
        <v>F1</v>
      </c>
      <c r="B18" s="1867" t="str">
        <f>F!B5</f>
        <v>Wetland Type - Predominant</v>
      </c>
      <c r="C18" s="352" t="str">
        <f>F!C5</f>
        <v>Follow the key below and mark the ONE row that best describes MOST of the AA:</v>
      </c>
      <c r="D18" s="777"/>
      <c r="E18" s="777"/>
      <c r="F18" s="777"/>
      <c r="G18" s="232">
        <f>MAX(F19:F24)</f>
        <v>0</v>
      </c>
      <c r="H18" s="2008" t="s">
        <v>2001</v>
      </c>
      <c r="I18" s="2008" t="s">
        <v>2403</v>
      </c>
    </row>
    <row r="19" spans="1:66" s="1" customFormat="1" ht="38.25" x14ac:dyDescent="0.2">
      <c r="A19" s="1991"/>
      <c r="B19" s="1911"/>
      <c r="C19" s="934" t="str">
        <f>F!C6</f>
        <v>A. Moss and/or lichen cover more than 25% of the ground. Substrate is mostly undecomposed peat. Choose between A1 and A2 and mark the choice with a 1 in their adjoining column. Otherwise go to B below.</v>
      </c>
      <c r="D19" s="722"/>
      <c r="E19" s="722"/>
      <c r="F19" s="722"/>
      <c r="G19" s="735"/>
      <c r="H19" s="2009"/>
      <c r="I19" s="2009"/>
      <c r="J19" s="44"/>
    </row>
    <row r="20" spans="1:66" s="1" customFormat="1" ht="89.25" x14ac:dyDescent="0.2">
      <c r="A20" s="1991"/>
      <c r="B20" s="1911"/>
      <c r="C20" s="935"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20" s="733">
        <f>F!D7</f>
        <v>0</v>
      </c>
      <c r="E20" s="917">
        <v>0.01</v>
      </c>
      <c r="F20" s="722">
        <f t="shared" ref="F20:F24" si="0">D20*E20</f>
        <v>0</v>
      </c>
      <c r="G20" s="735"/>
      <c r="H20" s="2009"/>
      <c r="I20" s="2009"/>
      <c r="J20" s="44"/>
    </row>
    <row r="21" spans="1:66" s="1" customFormat="1" ht="63.75" x14ac:dyDescent="0.2">
      <c r="A21" s="1991"/>
      <c r="B21" s="1911"/>
      <c r="C21" s="935"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21" s="733">
        <f>F!D8</f>
        <v>0</v>
      </c>
      <c r="E21" s="917">
        <v>0.16666666666666666</v>
      </c>
      <c r="F21" s="722">
        <f t="shared" si="0"/>
        <v>0</v>
      </c>
      <c r="G21" s="735"/>
      <c r="H21" s="2009"/>
      <c r="I21" s="2009"/>
      <c r="J21" s="44"/>
    </row>
    <row r="22" spans="1:66" s="1" customFormat="1" ht="38.25" x14ac:dyDescent="0.2">
      <c r="A22" s="1991"/>
      <c r="B22" s="1911"/>
      <c r="C22" s="935" t="str">
        <f>F!C9</f>
        <v>B. Moss and/or lichen cover less than 25% of the ground. Soil is mineral or decomposed organic (muck). Choose between B1 and B2 and mark the choice with a 1 in their adjoining column:</v>
      </c>
      <c r="D22" s="735"/>
      <c r="E22" s="722"/>
      <c r="F22" s="722"/>
      <c r="G22" s="735"/>
      <c r="H22" s="2009"/>
      <c r="I22" s="2009"/>
      <c r="J22" s="44"/>
    </row>
    <row r="23" spans="1:66" s="1" customFormat="1" ht="51" x14ac:dyDescent="0.2">
      <c r="A23" s="1991"/>
      <c r="B23" s="1911"/>
      <c r="C23" s="935"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23" s="733">
        <f>F!D10</f>
        <v>0</v>
      </c>
      <c r="E23" s="917">
        <v>0.79</v>
      </c>
      <c r="F23" s="722">
        <f t="shared" si="0"/>
        <v>0</v>
      </c>
      <c r="G23" s="735"/>
      <c r="H23" s="2009"/>
      <c r="I23" s="2009"/>
      <c r="J23" s="44"/>
    </row>
    <row r="24" spans="1:66" s="1" customFormat="1" ht="77.25" thickBot="1" x14ac:dyDescent="0.25">
      <c r="A24" s="1991"/>
      <c r="B24" s="1911"/>
      <c r="C24" s="762"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24" s="370">
        <f>F!D11</f>
        <v>0</v>
      </c>
      <c r="E24" s="1659">
        <v>1</v>
      </c>
      <c r="F24" s="380">
        <f t="shared" si="0"/>
        <v>0</v>
      </c>
      <c r="G24" s="1265"/>
      <c r="H24" s="2009"/>
      <c r="I24" s="2009"/>
      <c r="J24" s="44"/>
    </row>
    <row r="25" spans="1:66" s="12" customFormat="1" ht="39" thickBot="1" x14ac:dyDescent="0.25">
      <c r="A25" s="1992" t="str">
        <f>F!A25</f>
        <v>F4</v>
      </c>
      <c r="B25" s="2132" t="str">
        <f>F!B25</f>
        <v>Woody Diameter Classes</v>
      </c>
      <c r="C25" s="90" t="str">
        <f>F!C25</f>
        <v>Mark all the diameter classes of woody plants within the AA, but only IF they comprise &gt;5% of the woody canopy or subcanopy within the AA.  Do not count trees that adjoin but are not within the AA.</v>
      </c>
      <c r="D25" s="777"/>
      <c r="E25" s="376"/>
      <c r="F25" s="234"/>
      <c r="G25" s="1266" t="str">
        <f>IF((SUM(F!D19:D24)=0),"",IF((SUM(F!D19:D20)=0),"",((SUM(D26:D33)/8+ MAX(F26:F33)/MAX(E26:E33))/2)))</f>
        <v/>
      </c>
      <c r="H25" s="1910" t="s">
        <v>119</v>
      </c>
      <c r="I25" s="2180" t="s">
        <v>1687</v>
      </c>
      <c r="J25" s="144"/>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row>
    <row r="26" spans="1:66" s="12" customFormat="1" ht="15" customHeight="1" x14ac:dyDescent="0.2">
      <c r="A26" s="2035"/>
      <c r="B26" s="2148"/>
      <c r="C26" s="888" t="str">
        <f>F!C26</f>
        <v>coniferous, 1-9 cm diameter and &gt;1 m tall.</v>
      </c>
      <c r="D26" s="180">
        <f>F!D26</f>
        <v>0</v>
      </c>
      <c r="E26" s="722">
        <v>1</v>
      </c>
      <c r="F26" s="722">
        <f t="shared" ref="F26:F33" si="1">D26*E26</f>
        <v>0</v>
      </c>
      <c r="G26" s="1267"/>
      <c r="H26" s="1881"/>
      <c r="I26" s="2175"/>
      <c r="J26" s="144"/>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row>
    <row r="27" spans="1:66" s="12" customFormat="1" ht="15" customHeight="1" x14ac:dyDescent="0.2">
      <c r="A27" s="2035"/>
      <c r="B27" s="2148"/>
      <c r="C27" s="889" t="str">
        <f>F!C27</f>
        <v>broad-leaved deciduous 1-9 cm diameter and &gt;1 m tall.</v>
      </c>
      <c r="D27" s="733">
        <f>F!D27</f>
        <v>0</v>
      </c>
      <c r="E27" s="722">
        <v>2</v>
      </c>
      <c r="F27" s="722">
        <f t="shared" si="1"/>
        <v>0</v>
      </c>
      <c r="G27" s="1268"/>
      <c r="H27" s="1881"/>
      <c r="I27" s="2175"/>
      <c r="J27" s="144"/>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row>
    <row r="28" spans="1:66" s="12" customFormat="1" ht="15" customHeight="1" x14ac:dyDescent="0.2">
      <c r="A28" s="2035"/>
      <c r="B28" s="2148"/>
      <c r="C28" s="889" t="str">
        <f>F!C28</f>
        <v>coniferous, 10-19 cm diameter.</v>
      </c>
      <c r="D28" s="733">
        <f>F!D28</f>
        <v>0</v>
      </c>
      <c r="E28" s="722">
        <v>2</v>
      </c>
      <c r="F28" s="722">
        <f t="shared" si="1"/>
        <v>0</v>
      </c>
      <c r="G28" s="1268"/>
      <c r="H28" s="1881"/>
      <c r="I28" s="2175"/>
      <c r="J28" s="144"/>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row>
    <row r="29" spans="1:66" s="12" customFormat="1" ht="15" customHeight="1" x14ac:dyDescent="0.2">
      <c r="A29" s="2035"/>
      <c r="B29" s="2148"/>
      <c r="C29" s="889" t="str">
        <f>F!C29</f>
        <v>broad-leaved deciduous 10-19 cm diameter.</v>
      </c>
      <c r="D29" s="733">
        <f>F!D29</f>
        <v>0</v>
      </c>
      <c r="E29" s="722">
        <v>3</v>
      </c>
      <c r="F29" s="722">
        <f t="shared" si="1"/>
        <v>0</v>
      </c>
      <c r="G29" s="1268"/>
      <c r="H29" s="1881"/>
      <c r="I29" s="2175"/>
      <c r="J29" s="144"/>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row>
    <row r="30" spans="1:66" s="12" customFormat="1" ht="15" customHeight="1" x14ac:dyDescent="0.2">
      <c r="A30" s="2035"/>
      <c r="B30" s="2148"/>
      <c r="C30" s="889" t="str">
        <f>F!C30</f>
        <v>coniferous, 20-40 cm diameter.</v>
      </c>
      <c r="D30" s="733">
        <f>F!D30</f>
        <v>0</v>
      </c>
      <c r="E30" s="722">
        <v>3</v>
      </c>
      <c r="F30" s="722">
        <f t="shared" si="1"/>
        <v>0</v>
      </c>
      <c r="G30" s="1268"/>
      <c r="H30" s="1881"/>
      <c r="I30" s="2175"/>
      <c r="J30" s="144"/>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row>
    <row r="31" spans="1:66" s="12" customFormat="1" ht="15" customHeight="1" x14ac:dyDescent="0.2">
      <c r="A31" s="2035"/>
      <c r="B31" s="2148"/>
      <c r="C31" s="889" t="str">
        <f>F!C31</f>
        <v>broad-leaved deciduous 20-40 cm diameter.</v>
      </c>
      <c r="D31" s="733">
        <f>F!D31</f>
        <v>0</v>
      </c>
      <c r="E31" s="722">
        <v>4</v>
      </c>
      <c r="F31" s="722">
        <f t="shared" si="1"/>
        <v>0</v>
      </c>
      <c r="G31" s="1268"/>
      <c r="H31" s="1881"/>
      <c r="I31" s="2175"/>
      <c r="J31" s="144"/>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row>
    <row r="32" spans="1:66" s="12" customFormat="1" ht="15" customHeight="1" x14ac:dyDescent="0.2">
      <c r="A32" s="2035"/>
      <c r="B32" s="2148"/>
      <c r="C32" s="889" t="str">
        <f>F!C32</f>
        <v>coniferous, &gt;40 cm diameter.</v>
      </c>
      <c r="D32" s="733">
        <f>F!D32</f>
        <v>0</v>
      </c>
      <c r="E32" s="722">
        <v>4</v>
      </c>
      <c r="F32" s="722">
        <f t="shared" si="1"/>
        <v>0</v>
      </c>
      <c r="G32" s="1268"/>
      <c r="H32" s="1881"/>
      <c r="I32" s="2175"/>
      <c r="J32" s="144"/>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row>
    <row r="33" spans="1:66" s="12" customFormat="1" ht="15" customHeight="1" thickBot="1" x14ac:dyDescent="0.25">
      <c r="A33" s="2037"/>
      <c r="B33" s="2149"/>
      <c r="C33" s="82" t="str">
        <f>F!C33</f>
        <v>broad-leaved deciduous &gt;40 cm diameter.</v>
      </c>
      <c r="D33" s="94">
        <f>F!D33</f>
        <v>0</v>
      </c>
      <c r="E33" s="244">
        <v>5</v>
      </c>
      <c r="F33" s="244">
        <f t="shared" si="1"/>
        <v>0</v>
      </c>
      <c r="G33" s="1269"/>
      <c r="H33" s="1882"/>
      <c r="I33" s="2179"/>
      <c r="J33" s="144"/>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row>
    <row r="34" spans="1:66" ht="18.75" customHeight="1" thickBot="1" x14ac:dyDescent="0.25">
      <c r="A34" s="2008" t="str">
        <f>F!A34</f>
        <v>F5</v>
      </c>
      <c r="B34" s="2008" t="str">
        <f>F!B34</f>
        <v>Interspersion of Tall and Short Vegetation</v>
      </c>
      <c r="C34" s="797" t="str">
        <f>F!C34</f>
        <v>Follow the key below and mark the ONE row that best describes MOST of the AA:</v>
      </c>
      <c r="D34" s="282"/>
      <c r="E34" s="376"/>
      <c r="F34" s="376"/>
      <c r="G34" s="232">
        <f>MAX(F35:F40)/MAX(E35:E40)</f>
        <v>0</v>
      </c>
      <c r="H34" s="1910" t="s">
        <v>805</v>
      </c>
      <c r="I34" s="2008" t="s">
        <v>997</v>
      </c>
    </row>
    <row r="35" spans="1:66" ht="51" x14ac:dyDescent="0.2">
      <c r="A35" s="2009"/>
      <c r="B35" s="2009"/>
      <c r="C35" s="1660" t="str">
        <f>F!C35</f>
        <v>A. Neither the vegetation taller than 1m nor the vegetation shorter than that comprise &gt;70% of the vegetated part of the AA. They each comprise 30-70%.  If false, go to B below.  Otherwise choose between A1 and A2 and mark the choice with a 1 in the adjoining column:</v>
      </c>
      <c r="D35" s="722"/>
      <c r="E35" s="722"/>
      <c r="F35" s="722"/>
      <c r="G35" s="760"/>
      <c r="H35" s="1881"/>
      <c r="I35" s="2009"/>
    </row>
    <row r="36" spans="1:66" x14ac:dyDescent="0.2">
      <c r="A36" s="2009"/>
      <c r="B36" s="2009"/>
      <c r="C36" s="1660" t="str">
        <f>F!C36</f>
        <v xml:space="preserve">   A1. The two height classes are mostly scattered and intermixed throughout the AA.</v>
      </c>
      <c r="D36" s="1661">
        <f>F!D36</f>
        <v>0</v>
      </c>
      <c r="E36" s="722">
        <v>3</v>
      </c>
      <c r="F36" s="722">
        <f t="shared" ref="F36:F37" si="2">D36*E36</f>
        <v>0</v>
      </c>
      <c r="G36" s="760"/>
      <c r="H36" s="1881"/>
      <c r="I36" s="2009"/>
    </row>
    <row r="37" spans="1:66" ht="31.9" customHeight="1" x14ac:dyDescent="0.2">
      <c r="A37" s="2009"/>
      <c r="B37" s="2009"/>
      <c r="C37" s="1660" t="str">
        <f>F!C37</f>
        <v xml:space="preserve">   A2. Not A1.  The two height classes are mostly in separate zones or bands, or in proportionately large clumps.</v>
      </c>
      <c r="D37" s="1661">
        <f>F!D37</f>
        <v>0</v>
      </c>
      <c r="E37" s="722">
        <v>2</v>
      </c>
      <c r="F37" s="722">
        <f t="shared" si="2"/>
        <v>0</v>
      </c>
      <c r="G37" s="760"/>
      <c r="H37" s="1881"/>
      <c r="I37" s="2009"/>
    </row>
    <row r="38" spans="1:66" ht="42" customHeight="1" x14ac:dyDescent="0.2">
      <c r="A38" s="2009"/>
      <c r="B38" s="2009"/>
      <c r="C38" s="1662" t="str">
        <f>F!C38</f>
        <v>B. Either the vegetation taller than 1m or the vegetation shorter than 1m comprise &gt;70% of the vegetated part of the AA.  One size class might even be totally absent.  Choose between B1 and B2 and mark the choice with a 1 in the adjoining column:</v>
      </c>
      <c r="D38" s="722"/>
      <c r="E38" s="722"/>
      <c r="F38" s="722"/>
      <c r="G38" s="760"/>
      <c r="H38" s="1881"/>
      <c r="I38" s="2009"/>
    </row>
    <row r="39" spans="1:66" ht="25.5" x14ac:dyDescent="0.2">
      <c r="A39" s="2009"/>
      <c r="B39" s="2009"/>
      <c r="C39" s="1662" t="str">
        <f>F!C39</f>
        <v xml:space="preserve">   B1. The less prevalent height class is mostly scattered and intermixed within the prevalent one.</v>
      </c>
      <c r="D39" s="788">
        <f>F!D39</f>
        <v>0</v>
      </c>
      <c r="E39" s="722">
        <v>1</v>
      </c>
      <c r="F39" s="722">
        <f>D39*E39</f>
        <v>0</v>
      </c>
      <c r="G39" s="760"/>
      <c r="H39" s="1881"/>
      <c r="I39" s="2009"/>
    </row>
    <row r="40" spans="1:66" ht="27.75" customHeight="1" thickBot="1" x14ac:dyDescent="0.25">
      <c r="A40" s="2010"/>
      <c r="B40" s="2010"/>
      <c r="C40" s="1663" t="str">
        <f>F!C40</f>
        <v xml:space="preserve">   B2. Not B1.  The less prevalent height class is mostly located apart from the prevalent one, in separate zones or clumps, or is completely absent</v>
      </c>
      <c r="D40" s="291">
        <f>F!D40</f>
        <v>0</v>
      </c>
      <c r="E40" s="244">
        <v>0</v>
      </c>
      <c r="F40" s="244">
        <f>D40*E40</f>
        <v>0</v>
      </c>
      <c r="G40" s="237"/>
      <c r="H40" s="1882"/>
      <c r="I40" s="2010"/>
    </row>
    <row r="41" spans="1:66" ht="45" customHeight="1" thickBot="1" x14ac:dyDescent="0.25">
      <c r="A41" s="1992" t="str">
        <f>F!A41</f>
        <v>F6</v>
      </c>
      <c r="B41" s="2132" t="str">
        <f>F!B41</f>
        <v>Downed Wood</v>
      </c>
      <c r="C41" s="90" t="str">
        <f>F!C41</f>
        <v>If trees taller than 3 m comprise &lt;5% of the vegetative cover, SKIP to F10 (Sphagnum Moss Extent). Otherwise, answer this: The number of downed wood pieces longer than 2 m and with diameter &gt;5 cm, and not persistently submerged, is:</v>
      </c>
      <c r="D41" s="372"/>
      <c r="E41" s="376"/>
      <c r="F41" s="234"/>
      <c r="G41" s="232" t="str">
        <f>IF((SUM(F!D19:D20)=0),"", MAX(F42:F43))</f>
        <v/>
      </c>
      <c r="H41" s="1910" t="s">
        <v>120</v>
      </c>
      <c r="I41" s="2180" t="s">
        <v>1181</v>
      </c>
    </row>
    <row r="42" spans="1:66" ht="15" customHeight="1" x14ac:dyDescent="0.2">
      <c r="A42" s="1991"/>
      <c r="B42" s="2133"/>
      <c r="C42" s="426" t="str">
        <f>F!C42</f>
        <v>Several (&gt;5 if AA is &gt;5 hectares, less for smaller AAs).</v>
      </c>
      <c r="D42" s="180">
        <f>F!D42</f>
        <v>0</v>
      </c>
      <c r="E42" s="377">
        <v>1</v>
      </c>
      <c r="F42" s="377">
        <f>D42*E42</f>
        <v>0</v>
      </c>
      <c r="G42" s="235"/>
      <c r="H42" s="1881"/>
      <c r="I42" s="2175"/>
    </row>
    <row r="43" spans="1:66" ht="15" customHeight="1" thickBot="1" x14ac:dyDescent="0.25">
      <c r="A43" s="1993"/>
      <c r="B43" s="2140"/>
      <c r="C43" s="82" t="str">
        <f>F!C43</f>
        <v>Few or none that meet these criteria.</v>
      </c>
      <c r="D43" s="81">
        <f>F!D43</f>
        <v>0</v>
      </c>
      <c r="E43" s="244">
        <v>0</v>
      </c>
      <c r="F43" s="244">
        <f>D43*E43</f>
        <v>0</v>
      </c>
      <c r="G43" s="237"/>
      <c r="H43" s="1882"/>
      <c r="I43" s="2179"/>
    </row>
    <row r="44" spans="1:66" s="17" customFormat="1" ht="60" customHeight="1" thickBot="1" x14ac:dyDescent="0.25">
      <c r="A44" s="1992" t="str">
        <f>F!A69</f>
        <v>F12</v>
      </c>
      <c r="B44" s="2132" t="str">
        <f>F!B69</f>
        <v>Ground Irregularity</v>
      </c>
      <c r="C44" s="90"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44" s="372"/>
      <c r="E44" s="376"/>
      <c r="F44" s="234"/>
      <c r="G44" s="232">
        <f>MAX(F45:F47)/MAX(E45:E47)</f>
        <v>0</v>
      </c>
      <c r="H44" s="1910" t="s">
        <v>121</v>
      </c>
      <c r="I44" s="2180" t="s">
        <v>1100</v>
      </c>
      <c r="J44" s="144"/>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20"/>
    </row>
    <row r="45" spans="1:66" s="17" customFormat="1" ht="25.5" x14ac:dyDescent="0.2">
      <c r="A45" s="2035"/>
      <c r="B45" s="2148"/>
      <c r="C45" s="426" t="str">
        <f>F!C70</f>
        <v xml:space="preserve">Few or none (minimal microtopography; &lt;1% of the land has such features, or entire site is always water-covered). </v>
      </c>
      <c r="D45" s="354">
        <f>F!D70</f>
        <v>0</v>
      </c>
      <c r="E45" s="435">
        <v>0</v>
      </c>
      <c r="F45" s="377">
        <f>D45*E45</f>
        <v>0</v>
      </c>
      <c r="G45" s="235"/>
      <c r="H45" s="1881"/>
      <c r="I45" s="2175"/>
      <c r="J45" s="144"/>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0"/>
    </row>
    <row r="46" spans="1:66" s="17" customFormat="1" ht="15" customHeight="1" x14ac:dyDescent="0.2">
      <c r="A46" s="2035"/>
      <c r="B46" s="2148"/>
      <c r="C46" s="362" t="str">
        <f>F!C71</f>
        <v>Intermediate.</v>
      </c>
      <c r="D46" s="354">
        <f>F!D71</f>
        <v>0</v>
      </c>
      <c r="E46" s="377">
        <v>1</v>
      </c>
      <c r="F46" s="377">
        <f>D46*E46</f>
        <v>0</v>
      </c>
      <c r="G46" s="236"/>
      <c r="H46" s="1881"/>
      <c r="I46" s="2175"/>
      <c r="J46" s="144"/>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0"/>
    </row>
    <row r="47" spans="1:66" s="17" customFormat="1" ht="15" customHeight="1" thickBot="1" x14ac:dyDescent="0.25">
      <c r="A47" s="2037"/>
      <c r="B47" s="2149"/>
      <c r="C47" s="82" t="str">
        <f>F!C72</f>
        <v>Several (extensive micro-topography).</v>
      </c>
      <c r="D47" s="94">
        <f>F!D72</f>
        <v>0</v>
      </c>
      <c r="E47" s="244">
        <v>2</v>
      </c>
      <c r="F47" s="244">
        <f>D47*E47</f>
        <v>0</v>
      </c>
      <c r="G47" s="237"/>
      <c r="H47" s="1882"/>
      <c r="I47" s="2179"/>
      <c r="J47" s="144"/>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0"/>
    </row>
    <row r="48" spans="1:66" s="110" customFormat="1" ht="39" thickBot="1" x14ac:dyDescent="0.25">
      <c r="A48" s="1991" t="str">
        <f>F!A121</f>
        <v>F22</v>
      </c>
      <c r="B48" s="2009" t="str">
        <f>F!B121</f>
        <v>% Never With Surface Water</v>
      </c>
      <c r="C48" s="877" t="str">
        <f>F!C121</f>
        <v>The percentage of the AA that never contains surface water during an average year (that is, except perhaps for a few hours after snowmelt or rainstorms), but which is still a wetland, is:</v>
      </c>
      <c r="D48" s="736"/>
      <c r="E48" s="736"/>
      <c r="F48" s="271"/>
      <c r="G48" s="231">
        <f>MAX(F49:F53)/MAX(E49:E53)</f>
        <v>0</v>
      </c>
      <c r="H48" s="1911" t="s">
        <v>285</v>
      </c>
      <c r="I48" s="2009" t="s">
        <v>62</v>
      </c>
      <c r="J48" s="141"/>
    </row>
    <row r="49" spans="1:10" s="110" customFormat="1" ht="38.25" x14ac:dyDescent="0.2">
      <c r="A49" s="1991"/>
      <c r="B49" s="2009"/>
      <c r="C49" s="887" t="str">
        <f>F!C122</f>
        <v>&lt;0.01 hectare (about 10 m on a side) and &lt;1% of the AA never has surface water.  In other words, all or nearly all of the AA is covered by water permanently or at least seasonally.</v>
      </c>
      <c r="D49" s="189">
        <f>F!D122</f>
        <v>0</v>
      </c>
      <c r="E49" s="241">
        <v>5</v>
      </c>
      <c r="F49" s="241">
        <f>D49*E49</f>
        <v>0</v>
      </c>
      <c r="G49" s="257"/>
      <c r="H49" s="1911"/>
      <c r="I49" s="2009"/>
      <c r="J49" s="141"/>
    </row>
    <row r="50" spans="1:10" s="110" customFormat="1" ht="15" customHeight="1" x14ac:dyDescent="0.2">
      <c r="A50" s="1991"/>
      <c r="B50" s="2009"/>
      <c r="C50" s="887" t="str">
        <f>F!C123</f>
        <v>1-25% of the AA never contains surface water.</v>
      </c>
      <c r="D50" s="189">
        <f>F!D123</f>
        <v>0</v>
      </c>
      <c r="E50" s="241">
        <v>6</v>
      </c>
      <c r="F50" s="241">
        <f>D50*E50</f>
        <v>0</v>
      </c>
      <c r="G50" s="257"/>
      <c r="H50" s="1911"/>
      <c r="I50" s="2009"/>
      <c r="J50" s="141"/>
    </row>
    <row r="51" spans="1:10" s="110" customFormat="1" ht="15" customHeight="1" x14ac:dyDescent="0.2">
      <c r="A51" s="1991"/>
      <c r="B51" s="2009"/>
      <c r="C51" s="887" t="str">
        <f>F!C124</f>
        <v>25-50% of the AA never contains surface water.</v>
      </c>
      <c r="D51" s="189">
        <f>F!D124</f>
        <v>0</v>
      </c>
      <c r="E51" s="241">
        <v>4</v>
      </c>
      <c r="F51" s="241">
        <f>D51*E51</f>
        <v>0</v>
      </c>
      <c r="G51" s="257"/>
      <c r="H51" s="1911"/>
      <c r="I51" s="2009"/>
      <c r="J51" s="141"/>
    </row>
    <row r="52" spans="1:10" s="110" customFormat="1" ht="15" customHeight="1" x14ac:dyDescent="0.2">
      <c r="A52" s="1991"/>
      <c r="B52" s="2009"/>
      <c r="C52" s="887" t="str">
        <f>F!C125</f>
        <v>50-99% of the AA never contains surface water.</v>
      </c>
      <c r="D52" s="189">
        <f>F!D125</f>
        <v>0</v>
      </c>
      <c r="E52" s="241">
        <v>3</v>
      </c>
      <c r="F52" s="241">
        <f>D52*E52</f>
        <v>0</v>
      </c>
      <c r="G52" s="257"/>
      <c r="H52" s="1911"/>
      <c r="I52" s="2009"/>
      <c r="J52" s="141"/>
    </row>
    <row r="53" spans="1:10" s="110" customFormat="1" ht="39" thickBot="1" x14ac:dyDescent="0.25">
      <c r="A53" s="1991"/>
      <c r="B53" s="2009"/>
      <c r="C53" s="887" t="str">
        <f>F!C126</f>
        <v>&gt;99% of the AA never contains surface water, except perhaps for water flowing in channels and/or in pools that occupy &lt;1% of the AA. SKIP to F48 (Channel Connection &amp; Outflow Duration).</v>
      </c>
      <c r="D53" s="189">
        <f>F!D126</f>
        <v>0</v>
      </c>
      <c r="E53" s="241">
        <v>2</v>
      </c>
      <c r="F53" s="241">
        <f>D53*E53</f>
        <v>0</v>
      </c>
      <c r="G53" s="257"/>
      <c r="H53" s="1911"/>
      <c r="I53" s="2009"/>
      <c r="J53" s="141"/>
    </row>
    <row r="54" spans="1:10" ht="30" customHeight="1" thickBot="1" x14ac:dyDescent="0.25">
      <c r="A54" s="1992" t="str">
        <f>F!A148</f>
        <v>F28</v>
      </c>
      <c r="B54" s="2132" t="str">
        <f>F!B148</f>
        <v>Annual Water Fluctuation Range</v>
      </c>
      <c r="C54" s="90" t="str">
        <f>F!C148</f>
        <v>The annual fluctuation in surface water level within most of the parts of the AA that contain surface water is:</v>
      </c>
      <c r="D54" s="372"/>
      <c r="E54" s="376"/>
      <c r="F54" s="234"/>
      <c r="G54" s="232">
        <f>IF((AllSat1&gt;0),"",IF((NoSeasonal=1),"",MAX(F55:F59)/MAX(E55:E59)))</f>
        <v>0</v>
      </c>
      <c r="H54" s="1910" t="s">
        <v>114</v>
      </c>
      <c r="I54" s="2132" t="s">
        <v>1176</v>
      </c>
    </row>
    <row r="55" spans="1:10" ht="15" customHeight="1" x14ac:dyDescent="0.2">
      <c r="A55" s="2035"/>
      <c r="B55" s="2148"/>
      <c r="C55" s="888" t="str">
        <f>F!C149</f>
        <v xml:space="preserve">&lt;10 cm change (stable or nearly so) </v>
      </c>
      <c r="D55" s="180">
        <f>F!D149</f>
        <v>0</v>
      </c>
      <c r="E55" s="377">
        <v>5</v>
      </c>
      <c r="F55" s="377">
        <f>D55*E55</f>
        <v>0</v>
      </c>
      <c r="G55" s="235"/>
      <c r="H55" s="1881"/>
      <c r="I55" s="2133"/>
    </row>
    <row r="56" spans="1:10" ht="15" customHeight="1" x14ac:dyDescent="0.2">
      <c r="A56" s="2035"/>
      <c r="B56" s="2148"/>
      <c r="C56" s="889" t="str">
        <f>F!C150</f>
        <v>10 cm - 50 cm change</v>
      </c>
      <c r="D56" s="359">
        <f>F!D150</f>
        <v>0</v>
      </c>
      <c r="E56" s="377">
        <v>4</v>
      </c>
      <c r="F56" s="377">
        <f>D56*E56</f>
        <v>0</v>
      </c>
      <c r="G56" s="236"/>
      <c r="H56" s="1881"/>
      <c r="I56" s="2133"/>
    </row>
    <row r="57" spans="1:10" ht="15" customHeight="1" x14ac:dyDescent="0.2">
      <c r="A57" s="2035"/>
      <c r="B57" s="2148"/>
      <c r="C57" s="889" t="str">
        <f>F!C151</f>
        <v>0.5 - 1 m change</v>
      </c>
      <c r="D57" s="359">
        <f>F!D151</f>
        <v>0</v>
      </c>
      <c r="E57" s="722">
        <v>3</v>
      </c>
      <c r="F57" s="722">
        <f>D57*E57</f>
        <v>0</v>
      </c>
      <c r="G57" s="760"/>
      <c r="H57" s="1881"/>
      <c r="I57" s="2133"/>
    </row>
    <row r="58" spans="1:10" ht="15" customHeight="1" x14ac:dyDescent="0.2">
      <c r="A58" s="2035"/>
      <c r="B58" s="2148"/>
      <c r="C58" s="889" t="str">
        <f>F!C152</f>
        <v>1-2 m change</v>
      </c>
      <c r="D58" s="359">
        <f>F!D152</f>
        <v>0</v>
      </c>
      <c r="E58" s="377">
        <v>2</v>
      </c>
      <c r="F58" s="377">
        <f>D58*E58</f>
        <v>0</v>
      </c>
      <c r="G58" s="236"/>
      <c r="H58" s="1881"/>
      <c r="I58" s="2133"/>
    </row>
    <row r="59" spans="1:10" ht="15" customHeight="1" thickBot="1" x14ac:dyDescent="0.25">
      <c r="A59" s="2037"/>
      <c r="B59" s="2149"/>
      <c r="C59" s="82" t="str">
        <f>F!C153</f>
        <v>&gt;2 m change</v>
      </c>
      <c r="D59" s="81">
        <f>F!D153</f>
        <v>0</v>
      </c>
      <c r="E59" s="244">
        <v>1</v>
      </c>
      <c r="F59" s="244">
        <f>D59*E59</f>
        <v>0</v>
      </c>
      <c r="G59" s="237"/>
      <c r="H59" s="1882"/>
      <c r="I59" s="2140"/>
    </row>
    <row r="60" spans="1:10" s="110" customFormat="1" ht="45" customHeight="1" thickBot="1" x14ac:dyDescent="0.25">
      <c r="A60" s="1980" t="str">
        <f>F!A165</f>
        <v>F31</v>
      </c>
      <c r="B60" s="2188" t="str">
        <f>F!B165</f>
        <v xml:space="preserve">% of Water Ponded vs. Flowing </v>
      </c>
      <c r="C60" s="877" t="str">
        <f>F!C165</f>
        <v>The percentage of the AA's surface water that is ponded (stagnant, or flows so slowly that fine sediment is not held in suspension) during most of the time it is present during the growing season, and which is either open or shaded by emergent vegetation, is:</v>
      </c>
      <c r="D60" s="437"/>
      <c r="E60" s="239"/>
      <c r="F60" s="259"/>
      <c r="G60" s="219">
        <f>IF((AllSat1&gt;0),"", IF((SmallAA=1),"", MAX(F61:F66)/MAX(E61:E66)))</f>
        <v>0</v>
      </c>
      <c r="H60" s="1867" t="s">
        <v>116</v>
      </c>
      <c r="I60" s="2133" t="s">
        <v>1860</v>
      </c>
      <c r="J60" s="141"/>
    </row>
    <row r="61" spans="1:10" s="110" customFormat="1" ht="27" customHeight="1" x14ac:dyDescent="0.2">
      <c r="A61" s="1991"/>
      <c r="B61" s="2133"/>
      <c r="C61" s="888" t="str">
        <f>F!C166</f>
        <v>None, or &lt;0.01 hectare and &lt;1% of the AA. Nearly all water is flowing.  Enter "1" and SKIP to F43 (pH measurement).</v>
      </c>
      <c r="D61" s="91">
        <f>F!D166</f>
        <v>0</v>
      </c>
      <c r="E61" s="241">
        <v>0</v>
      </c>
      <c r="F61" s="241">
        <f t="shared" ref="F61:F66" si="3">D61*E61</f>
        <v>0</v>
      </c>
      <c r="G61" s="257"/>
      <c r="H61" s="1911"/>
      <c r="I61" s="2133"/>
      <c r="J61" s="141"/>
    </row>
    <row r="62" spans="1:10" s="110" customFormat="1" ht="15" customHeight="1" x14ac:dyDescent="0.2">
      <c r="A62" s="1991"/>
      <c r="B62" s="2133"/>
      <c r="C62" s="889" t="str">
        <f>F!C167</f>
        <v>1-5% of the water.  The rest is flowing.</v>
      </c>
      <c r="D62" s="91">
        <f>F!D167</f>
        <v>0</v>
      </c>
      <c r="E62" s="241">
        <v>2</v>
      </c>
      <c r="F62" s="241">
        <f t="shared" si="3"/>
        <v>0</v>
      </c>
      <c r="G62" s="257"/>
      <c r="H62" s="1911"/>
      <c r="I62" s="2133"/>
      <c r="J62" s="141"/>
    </row>
    <row r="63" spans="1:10" s="110" customFormat="1" ht="15" customHeight="1" x14ac:dyDescent="0.2">
      <c r="A63" s="1991"/>
      <c r="B63" s="2133"/>
      <c r="C63" s="889" t="str">
        <f>F!C168</f>
        <v>5-30% of the water.</v>
      </c>
      <c r="D63" s="91">
        <f>F!D168</f>
        <v>0</v>
      </c>
      <c r="E63" s="241">
        <v>3</v>
      </c>
      <c r="F63" s="241">
        <f t="shared" si="3"/>
        <v>0</v>
      </c>
      <c r="G63" s="257"/>
      <c r="H63" s="1911"/>
      <c r="I63" s="2133"/>
      <c r="J63" s="141"/>
    </row>
    <row r="64" spans="1:10" s="110" customFormat="1" ht="15" customHeight="1" x14ac:dyDescent="0.2">
      <c r="A64" s="1991"/>
      <c r="B64" s="2133"/>
      <c r="C64" s="889" t="str">
        <f>F!C169</f>
        <v>30-70% of the water.</v>
      </c>
      <c r="D64" s="91">
        <f>F!D169</f>
        <v>0</v>
      </c>
      <c r="E64" s="241">
        <v>4</v>
      </c>
      <c r="F64" s="241">
        <f t="shared" si="3"/>
        <v>0</v>
      </c>
      <c r="G64" s="433"/>
      <c r="H64" s="1911"/>
      <c r="I64" s="2133"/>
      <c r="J64" s="141"/>
    </row>
    <row r="65" spans="1:66" s="110" customFormat="1" ht="15" customHeight="1" x14ac:dyDescent="0.2">
      <c r="A65" s="1991"/>
      <c r="B65" s="2133"/>
      <c r="C65" s="889" t="str">
        <f>F!C170</f>
        <v>70-99% of the water.</v>
      </c>
      <c r="D65" s="91">
        <f>F!D170</f>
        <v>0</v>
      </c>
      <c r="E65" s="241">
        <v>5</v>
      </c>
      <c r="F65" s="241">
        <f t="shared" si="3"/>
        <v>0</v>
      </c>
      <c r="G65" s="433"/>
      <c r="H65" s="1911"/>
      <c r="I65" s="2133"/>
      <c r="J65" s="141"/>
    </row>
    <row r="66" spans="1:66" s="110" customFormat="1" ht="15" customHeight="1" thickBot="1" x14ac:dyDescent="0.25">
      <c r="A66" s="1991"/>
      <c r="B66" s="2140"/>
      <c r="C66" s="747" t="str">
        <f>F!C171</f>
        <v>&gt;99% of the water.  Little or no visibly flowing water within the AA.</v>
      </c>
      <c r="D66" s="370">
        <f>F!D171</f>
        <v>0</v>
      </c>
      <c r="E66" s="380">
        <v>6</v>
      </c>
      <c r="F66" s="380">
        <f t="shared" si="3"/>
        <v>0</v>
      </c>
      <c r="G66" s="433"/>
      <c r="H66" s="1978"/>
      <c r="I66" s="2133"/>
      <c r="J66" s="141"/>
    </row>
    <row r="67" spans="1:66" ht="39" thickBot="1" x14ac:dyDescent="0.25">
      <c r="A67" s="1979" t="str">
        <f>F!A173</f>
        <v>F33</v>
      </c>
      <c r="B67" s="2008" t="str">
        <f>F!B173</f>
        <v xml:space="preserve">% of Ponded Water That Is Open </v>
      </c>
      <c r="C67" s="90" t="str">
        <f>F!C173</f>
        <v>In ducks-eye aerial view, the percentage of the ponded water that is open (lacking emergent vegetation during most of the growing season, and unhidden by a forest or shrub canopy) is:</v>
      </c>
      <c r="D67" s="372"/>
      <c r="E67" s="376"/>
      <c r="F67" s="234"/>
      <c r="G67" s="232">
        <f>IF((AllSat1&gt;0),"",IF((NoPonded=1),"", IF((SmallAA=1),"", MAX(F68:F73)/MAX(E68:E73))))</f>
        <v>0</v>
      </c>
      <c r="H67" s="1910" t="s">
        <v>803</v>
      </c>
      <c r="I67" s="2132" t="s">
        <v>1327</v>
      </c>
    </row>
    <row r="68" spans="1:66" ht="27" customHeight="1" x14ac:dyDescent="0.2">
      <c r="A68" s="1980"/>
      <c r="B68" s="2009"/>
      <c r="C68" s="360" t="str">
        <f>F!C174</f>
        <v>None, or &lt;1% of the AA and largest pool occupies &lt;0.01 hectares.  Enter "1" and SKIP to F41 (Floating Algae &amp; Duckweed).</v>
      </c>
      <c r="D68" s="187">
        <f>F!D174</f>
        <v>0</v>
      </c>
      <c r="E68" s="435">
        <v>5</v>
      </c>
      <c r="F68" s="377">
        <f t="shared" ref="F68:F73" si="4">D68*E68</f>
        <v>0</v>
      </c>
      <c r="G68" s="235"/>
      <c r="H68" s="1881"/>
      <c r="I68" s="2133"/>
    </row>
    <row r="69" spans="1:66" ht="15" customHeight="1" x14ac:dyDescent="0.2">
      <c r="A69" s="1980"/>
      <c r="B69" s="2009"/>
      <c r="C69" s="361" t="str">
        <f>F!C175</f>
        <v>1-5% of the ponded water.  Enter "1" and SKIP to F41.</v>
      </c>
      <c r="D69" s="370">
        <f>F!D175</f>
        <v>0</v>
      </c>
      <c r="E69" s="435">
        <v>4</v>
      </c>
      <c r="F69" s="377">
        <f t="shared" si="4"/>
        <v>0</v>
      </c>
      <c r="G69" s="236"/>
      <c r="H69" s="1881"/>
      <c r="I69" s="2133"/>
    </row>
    <row r="70" spans="1:66" ht="15" customHeight="1" x14ac:dyDescent="0.2">
      <c r="A70" s="1980"/>
      <c r="B70" s="2009"/>
      <c r="C70" s="361" t="str">
        <f>F!C176</f>
        <v>5-30% of the ponded water.</v>
      </c>
      <c r="D70" s="370">
        <f>F!D176</f>
        <v>0</v>
      </c>
      <c r="E70" s="435">
        <v>3</v>
      </c>
      <c r="F70" s="377">
        <f t="shared" si="4"/>
        <v>0</v>
      </c>
      <c r="G70" s="236"/>
      <c r="H70" s="1881"/>
      <c r="I70" s="2133"/>
    </row>
    <row r="71" spans="1:66" ht="15" customHeight="1" x14ac:dyDescent="0.2">
      <c r="A71" s="1980"/>
      <c r="B71" s="2009"/>
      <c r="C71" s="361" t="str">
        <f>F!C177</f>
        <v>30-70% of the ponded water.</v>
      </c>
      <c r="D71" s="370">
        <f>F!D177</f>
        <v>0</v>
      </c>
      <c r="E71" s="435">
        <v>2</v>
      </c>
      <c r="F71" s="377">
        <f t="shared" si="4"/>
        <v>0</v>
      </c>
      <c r="G71" s="236"/>
      <c r="H71" s="1881"/>
      <c r="I71" s="2133"/>
    </row>
    <row r="72" spans="1:66" ht="15" customHeight="1" x14ac:dyDescent="0.2">
      <c r="A72" s="1980"/>
      <c r="B72" s="2009"/>
      <c r="C72" s="361" t="str">
        <f>F!C178</f>
        <v>70-99% of the ponded water.</v>
      </c>
      <c r="D72" s="370">
        <f>F!D178</f>
        <v>0</v>
      </c>
      <c r="E72" s="435">
        <v>1</v>
      </c>
      <c r="F72" s="377">
        <f t="shared" si="4"/>
        <v>0</v>
      </c>
      <c r="G72" s="367"/>
      <c r="H72" s="1881"/>
      <c r="I72" s="2133"/>
    </row>
    <row r="73" spans="1:66" ht="15" customHeight="1" thickBot="1" x14ac:dyDescent="0.25">
      <c r="A73" s="2021"/>
      <c r="B73" s="2010"/>
      <c r="C73" s="82" t="str">
        <f>F!C179</f>
        <v xml:space="preserve">100% of the ponded water. </v>
      </c>
      <c r="D73" s="94">
        <f>F!D179</f>
        <v>0</v>
      </c>
      <c r="E73" s="263">
        <v>0</v>
      </c>
      <c r="F73" s="244">
        <f t="shared" si="4"/>
        <v>0</v>
      </c>
      <c r="G73" s="237"/>
      <c r="H73" s="1882"/>
      <c r="I73" s="2140"/>
    </row>
    <row r="74" spans="1:66" s="12" customFormat="1" ht="39" thickBot="1" x14ac:dyDescent="0.25">
      <c r="A74" s="1980" t="str">
        <f>F!A180</f>
        <v>F34</v>
      </c>
      <c r="B74" s="2153" t="str">
        <f>F!B180</f>
        <v>Predominant Width of Vegetated Zone within Wetland</v>
      </c>
      <c r="C74" s="446" t="str">
        <f>F!C180</f>
        <v>At the time during the growing season when the AA's water level is lowest, the average width of vegetated area in the AA that separates adjoining uplands from open water within the AA is:</v>
      </c>
      <c r="D74" s="504"/>
      <c r="E74" s="505"/>
      <c r="F74" s="235"/>
      <c r="G74" s="231" t="str">
        <f>IF((AllSat1&gt;0),"", IF((OpenW=0),"", IF((SmallAA=1),"", MAX(F75:F80)/MAX(E75:E80))))</f>
        <v/>
      </c>
      <c r="H74" s="1910" t="s">
        <v>118</v>
      </c>
      <c r="I74" s="2009" t="s">
        <v>1177</v>
      </c>
      <c r="J74" s="144"/>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row>
    <row r="75" spans="1:66" s="12" customFormat="1" ht="15" customHeight="1" x14ac:dyDescent="0.2">
      <c r="A75" s="1980"/>
      <c r="B75" s="2153"/>
      <c r="C75" s="447" t="str">
        <f>F!C181</f>
        <v>&lt;1 m</v>
      </c>
      <c r="D75" s="247">
        <f>F!D181</f>
        <v>0</v>
      </c>
      <c r="E75" s="206">
        <v>0</v>
      </c>
      <c r="F75" s="241">
        <f t="shared" ref="F75:F80" si="5">D75*E75</f>
        <v>0</v>
      </c>
      <c r="G75" s="235"/>
      <c r="H75" s="1881"/>
      <c r="I75" s="2133"/>
      <c r="J75" s="144"/>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row>
    <row r="76" spans="1:66" s="12" customFormat="1" ht="15" customHeight="1" x14ac:dyDescent="0.2">
      <c r="A76" s="1980"/>
      <c r="B76" s="2153"/>
      <c r="C76" s="448" t="str">
        <f>F!C182</f>
        <v>1 - 9 m</v>
      </c>
      <c r="D76" s="247">
        <f>F!D182</f>
        <v>0</v>
      </c>
      <c r="E76" s="206">
        <v>1</v>
      </c>
      <c r="F76" s="241">
        <f t="shared" si="5"/>
        <v>0</v>
      </c>
      <c r="G76" s="236"/>
      <c r="H76" s="1881"/>
      <c r="I76" s="2133"/>
      <c r="J76" s="144"/>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row>
    <row r="77" spans="1:66" s="12" customFormat="1" ht="15" customHeight="1" x14ac:dyDescent="0.2">
      <c r="A77" s="1980"/>
      <c r="B77" s="2153"/>
      <c r="C77" s="448" t="str">
        <f>F!C183</f>
        <v>10 - 29 m</v>
      </c>
      <c r="D77" s="247">
        <f>F!D183</f>
        <v>0</v>
      </c>
      <c r="E77" s="206">
        <v>2</v>
      </c>
      <c r="F77" s="241">
        <f t="shared" si="5"/>
        <v>0</v>
      </c>
      <c r="G77" s="236"/>
      <c r="H77" s="1881"/>
      <c r="I77" s="2133"/>
      <c r="J77" s="144"/>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row>
    <row r="78" spans="1:66" s="12" customFormat="1" ht="15" customHeight="1" x14ac:dyDescent="0.2">
      <c r="A78" s="1980"/>
      <c r="B78" s="2153"/>
      <c r="C78" s="448" t="str">
        <f>F!C184</f>
        <v>30 - 49 m</v>
      </c>
      <c r="D78" s="247">
        <f>F!D184</f>
        <v>0</v>
      </c>
      <c r="E78" s="206">
        <v>3</v>
      </c>
      <c r="F78" s="241">
        <f t="shared" si="5"/>
        <v>0</v>
      </c>
      <c r="G78" s="367"/>
      <c r="H78" s="1881"/>
      <c r="I78" s="2133"/>
      <c r="J78" s="144"/>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row>
    <row r="79" spans="1:66" s="12" customFormat="1" ht="15" customHeight="1" x14ac:dyDescent="0.2">
      <c r="A79" s="1980"/>
      <c r="B79" s="2153"/>
      <c r="C79" s="448" t="str">
        <f>F!C185</f>
        <v>50 - 100 m</v>
      </c>
      <c r="D79" s="247">
        <f>F!D185</f>
        <v>0</v>
      </c>
      <c r="E79" s="748">
        <v>4</v>
      </c>
      <c r="F79" s="380">
        <f t="shared" si="5"/>
        <v>0</v>
      </c>
      <c r="G79" s="744"/>
      <c r="H79" s="1881"/>
      <c r="I79" s="2133"/>
      <c r="J79" s="144"/>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row>
    <row r="80" spans="1:66" s="12" customFormat="1" ht="15" customHeight="1" thickBot="1" x14ac:dyDescent="0.25">
      <c r="A80" s="1980"/>
      <c r="B80" s="2153"/>
      <c r="C80" s="448" t="str">
        <f>F!C186</f>
        <v>&gt; 100 m</v>
      </c>
      <c r="D80" s="383">
        <f>F!D186</f>
        <v>0</v>
      </c>
      <c r="E80" s="506">
        <v>5</v>
      </c>
      <c r="F80" s="380">
        <f t="shared" si="5"/>
        <v>0</v>
      </c>
      <c r="G80" s="367"/>
      <c r="H80" s="1882"/>
      <c r="I80" s="2133"/>
      <c r="J80" s="144"/>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row>
    <row r="81" spans="1:66" s="12" customFormat="1" ht="30" customHeight="1" thickBot="1" x14ac:dyDescent="0.25">
      <c r="A81" s="1979" t="str">
        <f>F!A199</f>
        <v>F37</v>
      </c>
      <c r="B81" s="2152" t="str">
        <f>F!B199</f>
        <v>Interspersion of Robust Emergents &amp; Open Water</v>
      </c>
      <c r="C81" s="90" t="str">
        <f>F!C199</f>
        <v>During most of the part of the growing season when water is present, the spatial pattern of robust herbaceous vegetation (e.g., cattail, tall bulrush, buckbean) is mostly:</v>
      </c>
      <c r="D81" s="274"/>
      <c r="E81" s="287"/>
      <c r="F81" s="288"/>
      <c r="G81" s="232">
        <f>IF((AllSat1&gt;0),"",IF((NoPonded=1),"",IF((NoOpenPonded+NoOpenPonded1&gt;0),"",IF((AllOpenPond=1),"", IF((SmallAA=1),"", MAX(F82:F84)/MAX(E82:E84))))))</f>
        <v>0</v>
      </c>
      <c r="H81" s="1910" t="s">
        <v>117</v>
      </c>
      <c r="I81" s="2008" t="s">
        <v>1179</v>
      </c>
      <c r="J81" s="144"/>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row>
    <row r="82" spans="1:66" s="12" customFormat="1" ht="27" customHeight="1" x14ac:dyDescent="0.2">
      <c r="A82" s="1991"/>
      <c r="B82" s="2009"/>
      <c r="C82" s="426" t="str">
        <f>F!C200</f>
        <v>Scattered.  More than 30% of such vegetation forms small islands or corridors surrounded by water.</v>
      </c>
      <c r="D82" s="180">
        <f>F!D200</f>
        <v>0</v>
      </c>
      <c r="E82" s="206">
        <v>3</v>
      </c>
      <c r="F82" s="242">
        <f>D82*E82</f>
        <v>0</v>
      </c>
      <c r="G82" s="235"/>
      <c r="H82" s="1881"/>
      <c r="I82" s="2009"/>
      <c r="J82" s="144"/>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row>
    <row r="83" spans="1:66" s="12" customFormat="1" ht="15" customHeight="1" x14ac:dyDescent="0.2">
      <c r="A83" s="1991"/>
      <c r="B83" s="2009"/>
      <c r="C83" s="362" t="str">
        <f>F!C201</f>
        <v>Intermediate.</v>
      </c>
      <c r="D83" s="91">
        <f>F!D201</f>
        <v>0</v>
      </c>
      <c r="E83" s="206">
        <v>2</v>
      </c>
      <c r="F83" s="242">
        <f>D83*E83</f>
        <v>0</v>
      </c>
      <c r="G83" s="235"/>
      <c r="H83" s="1881"/>
      <c r="I83" s="2009"/>
      <c r="J83" s="144"/>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row>
    <row r="84" spans="1:66" s="12" customFormat="1" ht="27" customHeight="1" thickBot="1" x14ac:dyDescent="0.25">
      <c r="A84" s="1991"/>
      <c r="B84" s="2009"/>
      <c r="C84" s="747" t="str">
        <f>F!C202</f>
        <v>Clumped. More than 70% of such vegetation is in bands along the wetland perimeter or is clumped at one or a few sides of the surface water area.</v>
      </c>
      <c r="D84" s="370">
        <f>F!D202</f>
        <v>0</v>
      </c>
      <c r="E84" s="506">
        <v>1</v>
      </c>
      <c r="F84" s="380">
        <f>D84*E84</f>
        <v>0</v>
      </c>
      <c r="G84" s="275"/>
      <c r="H84" s="1881"/>
      <c r="I84" s="2009"/>
      <c r="J84" s="144"/>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row>
    <row r="85" spans="1:66" ht="45" customHeight="1" thickBot="1" x14ac:dyDescent="0.25">
      <c r="A85" s="1992" t="str">
        <f>F!A204</f>
        <v>F39</v>
      </c>
      <c r="B85" s="2132" t="str">
        <f>F!B204</f>
        <v>Non-vegetated Aquatic Cover</v>
      </c>
      <c r="C85" s="90" t="str">
        <f>F!C204</f>
        <v>During most of the growing season and in waters deeper than 0.5 m, the cover for fish, aquatic invertebrates, and/or amphibians that is provided NOT by living vegetation, but by accumulations of dead wood and undercut banks is:</v>
      </c>
      <c r="D85" s="372"/>
      <c r="E85" s="376"/>
      <c r="F85" s="234"/>
      <c r="G85" s="232" t="str">
        <f>IF((AllSat1&gt;0),"",IF((OpenW=0),"", IF((SmallAA=1),"", MAX(F86:F88)/MAX(E86:E88))))</f>
        <v/>
      </c>
      <c r="H85" s="1910" t="s">
        <v>115</v>
      </c>
      <c r="I85" s="2132" t="s">
        <v>1178</v>
      </c>
    </row>
    <row r="86" spans="1:66" ht="15" customHeight="1" x14ac:dyDescent="0.2">
      <c r="A86" s="2035"/>
      <c r="B86" s="2148"/>
      <c r="C86" s="426" t="str">
        <f>F!C205</f>
        <v>Little or none</v>
      </c>
      <c r="D86" s="354">
        <f>F!D205</f>
        <v>0</v>
      </c>
      <c r="E86" s="377">
        <v>0</v>
      </c>
      <c r="F86" s="377">
        <f>D86*E86</f>
        <v>0</v>
      </c>
      <c r="G86" s="235"/>
      <c r="H86" s="1881"/>
      <c r="I86" s="2133"/>
    </row>
    <row r="87" spans="1:66" ht="15" customHeight="1" x14ac:dyDescent="0.2">
      <c r="A87" s="2035"/>
      <c r="B87" s="2148"/>
      <c r="C87" s="362" t="str">
        <f>F!C206</f>
        <v>Intermediate</v>
      </c>
      <c r="D87" s="354">
        <f>F!D206</f>
        <v>0</v>
      </c>
      <c r="E87" s="377">
        <v>1</v>
      </c>
      <c r="F87" s="377">
        <f>D87*E87</f>
        <v>0</v>
      </c>
      <c r="G87" s="275"/>
      <c r="H87" s="1881"/>
      <c r="I87" s="2133"/>
    </row>
    <row r="88" spans="1:66" ht="15" customHeight="1" thickBot="1" x14ac:dyDescent="0.25">
      <c r="A88" s="2037"/>
      <c r="B88" s="2149"/>
      <c r="C88" s="82" t="str">
        <f>F!C207</f>
        <v>Extensive</v>
      </c>
      <c r="D88" s="94">
        <f>F!D207</f>
        <v>0</v>
      </c>
      <c r="E88" s="244">
        <v>2</v>
      </c>
      <c r="F88" s="244">
        <f>D88*E88</f>
        <v>0</v>
      </c>
      <c r="G88" s="237"/>
      <c r="H88" s="1882"/>
      <c r="I88" s="2140"/>
    </row>
    <row r="89" spans="1:66" s="5" customFormat="1" ht="66" customHeight="1" thickBot="1" x14ac:dyDescent="0.25">
      <c r="A89" s="57" t="str">
        <f>F!A210</f>
        <v>F42</v>
      </c>
      <c r="B89" s="797" t="str">
        <f>F!B210</f>
        <v>Fish</v>
      </c>
      <c r="C89" s="1076" t="str">
        <f>F!C210</f>
        <v>Fish from connected waters can access at least part of the AA during one or more days annually, or are otherwise known to be present in the AA at least temporarily. If true, enter "1" in next column.  If untrue or unlikely, enter "0".</v>
      </c>
      <c r="D89" s="1077">
        <f>F!D210</f>
        <v>0</v>
      </c>
      <c r="E89" s="798"/>
      <c r="F89" s="798"/>
      <c r="G89" s="225">
        <f>IF((AllSat1&gt;0),"", IF((SmallAA=1),"", 1-D89))</f>
        <v>1</v>
      </c>
      <c r="H89" s="791" t="s">
        <v>500</v>
      </c>
      <c r="I89" s="797" t="s">
        <v>1099</v>
      </c>
      <c r="J89" s="151"/>
      <c r="K89" s="940"/>
      <c r="L89" s="940"/>
      <c r="M89" s="940"/>
      <c r="N89" s="940"/>
      <c r="O89" s="940"/>
      <c r="P89" s="940"/>
      <c r="Q89" s="940"/>
      <c r="R89" s="940"/>
      <c r="S89" s="940"/>
      <c r="T89" s="940"/>
      <c r="U89" s="940"/>
      <c r="V89" s="940"/>
      <c r="W89" s="940"/>
      <c r="X89" s="940"/>
      <c r="Y89" s="940"/>
      <c r="Z89" s="940"/>
      <c r="AA89" s="940"/>
      <c r="AB89" s="940"/>
      <c r="AC89" s="940"/>
      <c r="AD89" s="940"/>
      <c r="AE89" s="940"/>
      <c r="AF89" s="940"/>
      <c r="AG89" s="940"/>
      <c r="AH89" s="940"/>
      <c r="AI89" s="940"/>
      <c r="AJ89" s="940"/>
      <c r="AK89" s="940"/>
      <c r="AL89" s="940"/>
      <c r="AM89" s="940"/>
      <c r="AN89" s="940"/>
      <c r="AO89" s="940"/>
      <c r="AP89" s="940"/>
      <c r="AQ89" s="940"/>
      <c r="AR89" s="940"/>
      <c r="AS89" s="940"/>
      <c r="AT89" s="940"/>
      <c r="AU89" s="940"/>
      <c r="AV89" s="940"/>
      <c r="AW89" s="940"/>
      <c r="AX89" s="940"/>
      <c r="AY89" s="940"/>
      <c r="AZ89" s="940"/>
      <c r="BA89" s="940"/>
      <c r="BB89" s="940"/>
      <c r="BC89" s="940"/>
      <c r="BD89" s="940"/>
      <c r="BE89" s="940"/>
      <c r="BF89" s="940"/>
      <c r="BG89" s="940"/>
      <c r="BH89" s="940"/>
      <c r="BI89" s="940"/>
      <c r="BJ89" s="940"/>
      <c r="BK89" s="940"/>
      <c r="BL89" s="940"/>
      <c r="BM89" s="940"/>
      <c r="BN89" s="940"/>
    </row>
    <row r="90" spans="1:66" ht="21" customHeight="1" thickBot="1" x14ac:dyDescent="0.25">
      <c r="A90" s="1991" t="str">
        <f>F!A216</f>
        <v>F44</v>
      </c>
      <c r="B90" s="2008" t="str">
        <f>F!B216</f>
        <v>TDS and/or Conductivity</v>
      </c>
      <c r="C90" s="90" t="str">
        <f>F!C216</f>
        <v>The Total Dissolved Solids (TDS) and/or Conductivity in most of the AA's surface water:</v>
      </c>
      <c r="D90" s="801"/>
      <c r="E90" s="206"/>
      <c r="F90" s="259"/>
      <c r="G90" s="784">
        <f>IF((D91=1),"",IF((D92=1),0.2,IF((D93=1),0.6,MAX(G94,G95))))</f>
        <v>0</v>
      </c>
      <c r="H90" s="1881" t="s">
        <v>743</v>
      </c>
      <c r="I90" s="2141" t="s">
        <v>2430</v>
      </c>
    </row>
    <row r="91" spans="1:66" ht="27" customHeight="1" x14ac:dyDescent="0.2">
      <c r="A91" s="1991"/>
      <c r="B91" s="2009"/>
      <c r="C91" s="888" t="str">
        <f>F!C217</f>
        <v>was not measured because no surface water could be found during this visit. Enter "1" in column to the right.</v>
      </c>
      <c r="D91" s="733">
        <f>F!D217</f>
        <v>0</v>
      </c>
      <c r="E91" s="204"/>
      <c r="F91" s="241"/>
      <c r="G91" s="259"/>
      <c r="H91" s="1881"/>
      <c r="I91" s="2142"/>
    </row>
    <row r="92" spans="1:66" ht="31.9" customHeight="1" x14ac:dyDescent="0.2">
      <c r="A92" s="1991"/>
      <c r="B92" s="2009"/>
      <c r="C92" s="889" t="str">
        <f>F!C218</f>
        <v>was not measured, and plants that indicate saline conditions are absent or in trace amounts. Enter "1" in column to the right.</v>
      </c>
      <c r="D92" s="733">
        <f>F!D218</f>
        <v>0</v>
      </c>
      <c r="E92" s="748"/>
      <c r="F92" s="722"/>
      <c r="G92" s="259"/>
      <c r="H92" s="1881"/>
      <c r="I92" s="2142"/>
    </row>
    <row r="93" spans="1:66" ht="31.9" customHeight="1" thickBot="1" x14ac:dyDescent="0.25">
      <c r="A93" s="1991"/>
      <c r="B93" s="2009"/>
      <c r="C93" s="889" t="str">
        <f>F!C219</f>
        <v>was not measured, but plants that indicate saline conditions are present. Enter "1" in column to the right.</v>
      </c>
      <c r="D93" s="733">
        <f>F!D219</f>
        <v>0</v>
      </c>
      <c r="E93" s="748"/>
      <c r="F93" s="722"/>
      <c r="G93" s="259"/>
      <c r="H93" s="1881"/>
      <c r="I93" s="2142"/>
    </row>
    <row r="94" spans="1:66" ht="27" customHeight="1" thickBot="1" x14ac:dyDescent="0.25">
      <c r="A94" s="1991"/>
      <c r="B94" s="2009"/>
      <c r="C94" s="889" t="str">
        <f>F!C220</f>
        <v>TDS is: [enter the reading in ppm or mg/L in the column to the right if measured, or answer next row]:</v>
      </c>
      <c r="D94" s="733">
        <f>F!D220</f>
        <v>0</v>
      </c>
      <c r="E94" s="204"/>
      <c r="F94" s="241"/>
      <c r="G94" s="1263">
        <f>IF((D94&lt;10),0, IF((D94&gt;1000),0, D94/1000))</f>
        <v>0</v>
      </c>
      <c r="H94" s="1881"/>
      <c r="I94" s="2142"/>
    </row>
    <row r="95" spans="1:66" ht="15" customHeight="1" thickBot="1" x14ac:dyDescent="0.25">
      <c r="A95" s="1991"/>
      <c r="B95" s="2010"/>
      <c r="C95" s="747" t="str">
        <f>F!C221</f>
        <v>Conductivity is  [enter the reading in µS/cm in the column to the right]:</v>
      </c>
      <c r="D95" s="370">
        <f>F!D221</f>
        <v>0</v>
      </c>
      <c r="E95" s="305"/>
      <c r="F95" s="380"/>
      <c r="G95" s="1263">
        <f>IF((D95&lt;10),0,IF((D95&gt;1000),0,D95/1000))</f>
        <v>0</v>
      </c>
      <c r="H95" s="1881"/>
      <c r="I95" s="2182"/>
    </row>
    <row r="96" spans="1:66" s="5" customFormat="1" ht="21" customHeight="1" thickBot="1" x14ac:dyDescent="0.25">
      <c r="A96" s="1992" t="str">
        <f>F!A222</f>
        <v>F45</v>
      </c>
      <c r="B96" s="2008" t="str">
        <f>F!B222</f>
        <v>Beaver Probability</v>
      </c>
      <c r="C96" s="794" t="str">
        <f>F!C222</f>
        <v>Use of the AA by beaver during the past 5 years is (select most applicable ONE):</v>
      </c>
      <c r="D96" s="777"/>
      <c r="E96" s="376"/>
      <c r="F96" s="262"/>
      <c r="G96" s="232">
        <f>IF((AllSat1&gt;0),"",MAX(F97:F99)/MAX(E97:E99))</f>
        <v>0</v>
      </c>
      <c r="H96" s="1867" t="s">
        <v>651</v>
      </c>
      <c r="I96" s="2181" t="s">
        <v>1183</v>
      </c>
      <c r="J96" s="151"/>
      <c r="K96" s="940"/>
      <c r="L96" s="940"/>
      <c r="M96" s="940"/>
      <c r="N96" s="940"/>
      <c r="O96" s="940"/>
      <c r="P96" s="940"/>
      <c r="Q96" s="940"/>
      <c r="R96" s="940"/>
      <c r="S96" s="940"/>
      <c r="T96" s="940"/>
      <c r="U96" s="940"/>
      <c r="V96" s="940"/>
      <c r="W96" s="940"/>
      <c r="X96" s="940"/>
      <c r="Y96" s="940"/>
      <c r="Z96" s="940"/>
      <c r="AA96" s="940"/>
      <c r="AB96" s="940"/>
      <c r="AC96" s="940"/>
      <c r="AD96" s="940"/>
      <c r="AE96" s="940"/>
      <c r="AF96" s="940"/>
      <c r="AG96" s="940"/>
      <c r="AH96" s="940"/>
      <c r="AI96" s="940"/>
      <c r="AJ96" s="940"/>
      <c r="AK96" s="940"/>
      <c r="AL96" s="940"/>
      <c r="AM96" s="940"/>
      <c r="AN96" s="940"/>
      <c r="AO96" s="940"/>
      <c r="AP96" s="940"/>
      <c r="AQ96" s="940"/>
      <c r="AR96" s="940"/>
      <c r="AS96" s="940"/>
      <c r="AT96" s="940"/>
      <c r="AU96" s="940"/>
      <c r="AV96" s="940"/>
      <c r="AW96" s="940"/>
      <c r="AX96" s="940"/>
      <c r="AY96" s="940"/>
      <c r="AZ96" s="940"/>
      <c r="BA96" s="940"/>
      <c r="BB96" s="940"/>
      <c r="BC96" s="940"/>
      <c r="BD96" s="940"/>
      <c r="BE96" s="940"/>
      <c r="BF96" s="940"/>
      <c r="BG96" s="940"/>
      <c r="BH96" s="940"/>
      <c r="BI96" s="940"/>
      <c r="BJ96" s="940"/>
      <c r="BK96" s="940"/>
      <c r="BL96" s="940"/>
      <c r="BM96" s="940"/>
      <c r="BN96" s="940"/>
    </row>
    <row r="97" spans="1:67" s="5" customFormat="1" ht="27" customHeight="1" x14ac:dyDescent="0.2">
      <c r="A97" s="1991"/>
      <c r="B97" s="2009"/>
      <c r="C97" s="888" t="str">
        <f>F!C223</f>
        <v>evident from direct observation or presence of gnawed limbs, dams, tracks, dens, lodges, or extensive stands of water-killed trees (snags).</v>
      </c>
      <c r="D97" s="733">
        <f>F!D223</f>
        <v>0</v>
      </c>
      <c r="E97" s="722">
        <v>3</v>
      </c>
      <c r="F97" s="722">
        <f>D97*E97</f>
        <v>0</v>
      </c>
      <c r="G97" s="259"/>
      <c r="H97" s="1911"/>
      <c r="I97" s="2142"/>
      <c r="J97" s="151"/>
      <c r="K97" s="940"/>
      <c r="L97" s="940"/>
      <c r="M97" s="940"/>
      <c r="N97" s="940"/>
      <c r="O97" s="940"/>
      <c r="P97" s="940"/>
      <c r="Q97" s="940"/>
      <c r="R97" s="940"/>
      <c r="S97" s="940"/>
      <c r="T97" s="940"/>
      <c r="U97" s="940"/>
      <c r="V97" s="940"/>
      <c r="W97" s="940"/>
      <c r="X97" s="940"/>
      <c r="Y97" s="940"/>
      <c r="Z97" s="940"/>
      <c r="AA97" s="940"/>
      <c r="AB97" s="940"/>
      <c r="AC97" s="940"/>
      <c r="AD97" s="940"/>
      <c r="AE97" s="940"/>
      <c r="AF97" s="940"/>
      <c r="AG97" s="940"/>
      <c r="AH97" s="940"/>
      <c r="AI97" s="940"/>
      <c r="AJ97" s="940"/>
      <c r="AK97" s="940"/>
      <c r="AL97" s="940"/>
      <c r="AM97" s="940"/>
      <c r="AN97" s="940"/>
      <c r="AO97" s="940"/>
      <c r="AP97" s="940"/>
      <c r="AQ97" s="940"/>
      <c r="AR97" s="940"/>
      <c r="AS97" s="940"/>
      <c r="AT97" s="940"/>
      <c r="AU97" s="940"/>
      <c r="AV97" s="940"/>
      <c r="AW97" s="940"/>
      <c r="AX97" s="940"/>
      <c r="AY97" s="940"/>
      <c r="AZ97" s="940"/>
      <c r="BA97" s="940"/>
      <c r="BB97" s="940"/>
      <c r="BC97" s="940"/>
      <c r="BD97" s="940"/>
      <c r="BE97" s="940"/>
      <c r="BF97" s="940"/>
      <c r="BG97" s="940"/>
      <c r="BH97" s="940"/>
      <c r="BI97" s="940"/>
      <c r="BJ97" s="940"/>
      <c r="BK97" s="940"/>
      <c r="BL97" s="940"/>
      <c r="BM97" s="940"/>
      <c r="BN97" s="940"/>
    </row>
    <row r="98" spans="1:67" s="5" customFormat="1" ht="54" customHeight="1" x14ac:dyDescent="0.2">
      <c r="A98" s="1991"/>
      <c r="B98" s="2009"/>
      <c r="C98" s="889"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98" s="733">
        <f>F!D224</f>
        <v>0</v>
      </c>
      <c r="E98" s="722">
        <v>2</v>
      </c>
      <c r="F98" s="722">
        <f>D98*E98</f>
        <v>0</v>
      </c>
      <c r="G98" s="857"/>
      <c r="H98" s="1911"/>
      <c r="I98" s="2142"/>
      <c r="J98" s="151"/>
      <c r="K98" s="940"/>
      <c r="L98" s="940"/>
      <c r="M98" s="940"/>
      <c r="N98" s="940"/>
      <c r="O98" s="940"/>
      <c r="P98" s="940"/>
      <c r="Q98" s="940"/>
      <c r="R98" s="940"/>
      <c r="S98" s="940"/>
      <c r="T98" s="940"/>
      <c r="U98" s="940"/>
      <c r="V98" s="940"/>
      <c r="W98" s="940"/>
      <c r="X98" s="940"/>
      <c r="Y98" s="940"/>
      <c r="Z98" s="940"/>
      <c r="AA98" s="940"/>
      <c r="AB98" s="940"/>
      <c r="AC98" s="940"/>
      <c r="AD98" s="940"/>
      <c r="AE98" s="940"/>
      <c r="AF98" s="940"/>
      <c r="AG98" s="940"/>
      <c r="AH98" s="940"/>
      <c r="AI98" s="940"/>
      <c r="AJ98" s="940"/>
      <c r="AK98" s="940"/>
      <c r="AL98" s="940"/>
      <c r="AM98" s="940"/>
      <c r="AN98" s="940"/>
      <c r="AO98" s="940"/>
      <c r="AP98" s="940"/>
      <c r="AQ98" s="940"/>
      <c r="AR98" s="940"/>
      <c r="AS98" s="940"/>
      <c r="AT98" s="940"/>
      <c r="AU98" s="940"/>
      <c r="AV98" s="940"/>
      <c r="AW98" s="940"/>
      <c r="AX98" s="940"/>
      <c r="AY98" s="940"/>
      <c r="AZ98" s="940"/>
      <c r="BA98" s="940"/>
      <c r="BB98" s="940"/>
      <c r="BC98" s="940"/>
      <c r="BD98" s="940"/>
      <c r="BE98" s="940"/>
      <c r="BF98" s="940"/>
      <c r="BG98" s="940"/>
      <c r="BH98" s="940"/>
      <c r="BI98" s="940"/>
      <c r="BJ98" s="940"/>
      <c r="BK98" s="940"/>
      <c r="BL98" s="940"/>
      <c r="BM98" s="940"/>
      <c r="BN98" s="940"/>
    </row>
    <row r="99" spans="1:67" s="5" customFormat="1" ht="39" thickBot="1" x14ac:dyDescent="0.25">
      <c r="A99" s="1993"/>
      <c r="B99" s="2010"/>
      <c r="C99" s="82" t="str">
        <f>F!C225</f>
        <v>unlikely because site characteristics above are deficient, and/or this is a settled area or other area where beaver are routinely removed.  But beaver occur in this part of the region (i.e., within 25 km).</v>
      </c>
      <c r="D99" s="94">
        <f>F!D225</f>
        <v>0</v>
      </c>
      <c r="E99" s="244">
        <v>0</v>
      </c>
      <c r="F99" s="244">
        <f>D99*E99</f>
        <v>0</v>
      </c>
      <c r="G99" s="266"/>
      <c r="H99" s="1978"/>
      <c r="I99" s="2143"/>
      <c r="J99" s="151"/>
      <c r="K99" s="940"/>
      <c r="L99" s="940"/>
      <c r="M99" s="940"/>
      <c r="N99" s="940"/>
      <c r="O99" s="940"/>
      <c r="P99" s="940"/>
      <c r="Q99" s="940"/>
      <c r="R99" s="940"/>
      <c r="S99" s="940"/>
      <c r="T99" s="940"/>
      <c r="U99" s="940"/>
      <c r="V99" s="940"/>
      <c r="W99" s="940"/>
      <c r="X99" s="940"/>
      <c r="Y99" s="940"/>
      <c r="Z99" s="940"/>
      <c r="AA99" s="940"/>
      <c r="AB99" s="940"/>
      <c r="AC99" s="940"/>
      <c r="AD99" s="940"/>
      <c r="AE99" s="940"/>
      <c r="AF99" s="940"/>
      <c r="AG99" s="940"/>
      <c r="AH99" s="940"/>
      <c r="AI99" s="940"/>
      <c r="AJ99" s="940"/>
      <c r="AK99" s="940"/>
      <c r="AL99" s="940"/>
      <c r="AM99" s="940"/>
      <c r="AN99" s="940"/>
      <c r="AO99" s="940"/>
      <c r="AP99" s="940"/>
      <c r="AQ99" s="940"/>
      <c r="AR99" s="940"/>
      <c r="AS99" s="940"/>
      <c r="AT99" s="940"/>
      <c r="AU99" s="940"/>
      <c r="AV99" s="940"/>
      <c r="AW99" s="940"/>
      <c r="AX99" s="940"/>
      <c r="AY99" s="940"/>
      <c r="AZ99" s="940"/>
      <c r="BA99" s="940"/>
      <c r="BB99" s="940"/>
      <c r="BC99" s="940"/>
      <c r="BD99" s="940"/>
      <c r="BE99" s="940"/>
      <c r="BF99" s="940"/>
      <c r="BG99" s="940"/>
      <c r="BH99" s="940"/>
      <c r="BI99" s="940"/>
      <c r="BJ99" s="940"/>
      <c r="BK99" s="940"/>
      <c r="BL99" s="940"/>
      <c r="BM99" s="940"/>
      <c r="BN99" s="940"/>
    </row>
    <row r="100" spans="1:67" s="16" customFormat="1" ht="21" customHeight="1" thickBot="1" x14ac:dyDescent="0.25">
      <c r="A100" s="1991" t="str">
        <f>F!A243</f>
        <v>F50</v>
      </c>
      <c r="B100" s="2009" t="str">
        <f>F!B243</f>
        <v>Groundwater: Strength of Evidence</v>
      </c>
      <c r="C100" s="877" t="str">
        <f>F!C243</f>
        <v xml:space="preserve">Select first applicable choice. </v>
      </c>
      <c r="D100" s="801"/>
      <c r="E100" s="206"/>
      <c r="F100" s="259"/>
      <c r="G100" s="231">
        <f>IF((D103=1),"",MAX(F100:F103)/MAX(E101:E103))</f>
        <v>0</v>
      </c>
      <c r="H100" s="1881" t="s">
        <v>123</v>
      </c>
      <c r="I100" s="2174" t="s">
        <v>1180</v>
      </c>
      <c r="J100" s="14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8"/>
    </row>
    <row r="101" spans="1:67" s="16" customFormat="1" ht="52.5" customHeight="1" x14ac:dyDescent="0.2">
      <c r="A101" s="1991"/>
      <c r="B101" s="2009"/>
      <c r="C101" s="360"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101" s="187">
        <f>F!D244</f>
        <v>0</v>
      </c>
      <c r="E101" s="204">
        <v>3</v>
      </c>
      <c r="F101" s="241">
        <f>D101*E101</f>
        <v>0</v>
      </c>
      <c r="G101" s="235"/>
      <c r="H101" s="1881"/>
      <c r="I101" s="2175"/>
      <c r="J101" s="14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8"/>
    </row>
    <row r="102" spans="1:67" s="16" customFormat="1" ht="84" customHeight="1" x14ac:dyDescent="0.2">
      <c r="A102" s="1991"/>
      <c r="B102" s="2009"/>
      <c r="C102" s="361"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102" s="101">
        <f>F!D245</f>
        <v>0</v>
      </c>
      <c r="E102" s="204">
        <v>2</v>
      </c>
      <c r="F102" s="241">
        <f>D102*E102</f>
        <v>0</v>
      </c>
      <c r="G102" s="236"/>
      <c r="H102" s="1881"/>
      <c r="I102" s="2175"/>
      <c r="J102" s="14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8"/>
    </row>
    <row r="103" spans="1:67" s="16" customFormat="1" ht="27" customHeight="1" thickBot="1" x14ac:dyDescent="0.25">
      <c r="A103" s="1991"/>
      <c r="B103" s="2009"/>
      <c r="C103" s="361" t="str">
        <f>F!C246</f>
        <v>Neither of above is true, although some groundwater may discharge to or flow through the AA.  Or groundwater influx is unknown.</v>
      </c>
      <c r="D103" s="370">
        <f>F!D246</f>
        <v>0</v>
      </c>
      <c r="E103" s="305">
        <v>0</v>
      </c>
      <c r="F103" s="380">
        <f>D103*E103</f>
        <v>0</v>
      </c>
      <c r="G103" s="367"/>
      <c r="H103" s="1882"/>
      <c r="I103" s="2176"/>
      <c r="J103" s="14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8"/>
    </row>
    <row r="104" spans="1:67" s="16" customFormat="1" ht="21" customHeight="1" thickBot="1" x14ac:dyDescent="0.25">
      <c r="A104" s="2189" t="str">
        <f>F!A247</f>
        <v>F51</v>
      </c>
      <c r="B104" s="2177" t="str">
        <f>F!B247</f>
        <v>Internal Gradient</v>
      </c>
      <c r="C104" s="90" t="str">
        <f>F!C247</f>
        <v>The gradient along most of the flow path within the AA is:</v>
      </c>
      <c r="D104" s="372"/>
      <c r="E104" s="368"/>
      <c r="F104" s="368"/>
      <c r="G104" s="290">
        <f>MAX(F105:F108)/MAX(E105:E108)</f>
        <v>0</v>
      </c>
      <c r="H104" s="1910" t="s">
        <v>122</v>
      </c>
      <c r="I104" s="2180" t="s">
        <v>30</v>
      </c>
      <c r="J104" s="14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8"/>
    </row>
    <row r="105" spans="1:67" s="16" customFormat="1" ht="27" customHeight="1" x14ac:dyDescent="0.2">
      <c r="A105" s="2190"/>
      <c r="B105" s="2178"/>
      <c r="C105" s="426" t="str">
        <f>F!C248</f>
        <v>&lt;2%, or, no slope is ever apparent (i.e., flat). Or, the wetland is in a depression or pond with no inlet and no outlet.</v>
      </c>
      <c r="D105" s="180">
        <f>F!D248</f>
        <v>0</v>
      </c>
      <c r="E105" s="369">
        <v>4</v>
      </c>
      <c r="F105" s="377">
        <f>D105*E105</f>
        <v>0</v>
      </c>
      <c r="G105" s="236"/>
      <c r="H105" s="1881"/>
      <c r="I105" s="2175"/>
      <c r="J105" s="14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8"/>
    </row>
    <row r="106" spans="1:67" s="16" customFormat="1" ht="15" customHeight="1" x14ac:dyDescent="0.2">
      <c r="A106" s="2190"/>
      <c r="B106" s="2178"/>
      <c r="C106" s="362" t="str">
        <f>F!C249</f>
        <v>2-5%</v>
      </c>
      <c r="D106" s="354">
        <f>F!D249</f>
        <v>0</v>
      </c>
      <c r="E106" s="369">
        <v>3</v>
      </c>
      <c r="F106" s="377">
        <f>D106*E106</f>
        <v>0</v>
      </c>
      <c r="G106" s="236"/>
      <c r="H106" s="1881"/>
      <c r="I106" s="2175"/>
      <c r="J106" s="14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8"/>
    </row>
    <row r="107" spans="1:67" s="16" customFormat="1" ht="15" customHeight="1" x14ac:dyDescent="0.2">
      <c r="A107" s="2190"/>
      <c r="B107" s="2178"/>
      <c r="C107" s="362" t="str">
        <f>F!C250</f>
        <v>6-10%</v>
      </c>
      <c r="D107" s="354">
        <f>F!D250</f>
        <v>0</v>
      </c>
      <c r="E107" s="369">
        <v>2</v>
      </c>
      <c r="F107" s="377">
        <f>D107*E107</f>
        <v>0</v>
      </c>
      <c r="G107" s="236"/>
      <c r="H107" s="1881"/>
      <c r="I107" s="2175"/>
      <c r="J107" s="14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8"/>
    </row>
    <row r="108" spans="1:67" s="15" customFormat="1" ht="15" customHeight="1" thickBot="1" x14ac:dyDescent="0.25">
      <c r="A108" s="2191"/>
      <c r="B108" s="2179"/>
      <c r="C108" s="82" t="str">
        <f>F!C251</f>
        <v>&gt;10%</v>
      </c>
      <c r="D108" s="94">
        <f>F!D251</f>
        <v>0</v>
      </c>
      <c r="E108" s="205">
        <v>0</v>
      </c>
      <c r="F108" s="244">
        <f>D108*E108</f>
        <v>0</v>
      </c>
      <c r="G108" s="237"/>
      <c r="H108" s="1882"/>
      <c r="I108" s="2187"/>
      <c r="J108" s="145"/>
    </row>
    <row r="109" spans="1:67" ht="33" customHeight="1" thickBot="1" x14ac:dyDescent="0.25">
      <c r="A109" s="2075" t="str">
        <f>F!A252</f>
        <v>F52</v>
      </c>
      <c r="B109" s="2133" t="str">
        <f>F!B252</f>
        <v>Percent of Buffer with Perennial Vegetation</v>
      </c>
      <c r="C109" s="877" t="str">
        <f>F!C252</f>
        <v>Extending 30 m on all sides from the AA's edge,  the percentage that contains water or perennial vegetation taller than 10 cm during most of the growing season is:</v>
      </c>
      <c r="D109" s="437"/>
      <c r="E109" s="239"/>
      <c r="F109" s="240"/>
      <c r="G109" s="231">
        <f>MAX(F110:F114)/MAX(E110:E114)</f>
        <v>0</v>
      </c>
      <c r="H109" s="1910" t="s">
        <v>558</v>
      </c>
      <c r="I109" s="2174" t="s">
        <v>1686</v>
      </c>
    </row>
    <row r="110" spans="1:67" ht="24" customHeight="1" x14ac:dyDescent="0.2">
      <c r="A110" s="2075"/>
      <c r="B110" s="2133"/>
      <c r="C110" s="426" t="str">
        <f>F!C253</f>
        <v xml:space="preserve">&lt;5% </v>
      </c>
      <c r="D110" s="91">
        <f>F!D253</f>
        <v>0</v>
      </c>
      <c r="E110" s="260">
        <v>0</v>
      </c>
      <c r="F110" s="241">
        <f>D110*E110</f>
        <v>0</v>
      </c>
      <c r="G110" s="235"/>
      <c r="H110" s="1881"/>
      <c r="I110" s="2175"/>
    </row>
    <row r="111" spans="1:67" ht="24" customHeight="1" x14ac:dyDescent="0.2">
      <c r="A111" s="2075"/>
      <c r="B111" s="2133"/>
      <c r="C111" s="362" t="str">
        <f>F!C254</f>
        <v>5 to 30%</v>
      </c>
      <c r="D111" s="91">
        <f>F!D254</f>
        <v>0</v>
      </c>
      <c r="E111" s="260">
        <v>3</v>
      </c>
      <c r="F111" s="241">
        <f>D111*E111</f>
        <v>0</v>
      </c>
      <c r="G111" s="236"/>
      <c r="H111" s="1881"/>
      <c r="I111" s="2175"/>
    </row>
    <row r="112" spans="1:67" ht="24" customHeight="1" x14ac:dyDescent="0.2">
      <c r="A112" s="2075"/>
      <c r="B112" s="2133"/>
      <c r="C112" s="362" t="str">
        <f>F!C255</f>
        <v>30 to 60%</v>
      </c>
      <c r="D112" s="91">
        <f>F!D255</f>
        <v>0</v>
      </c>
      <c r="E112" s="260">
        <v>4</v>
      </c>
      <c r="F112" s="241">
        <f>D112*E112</f>
        <v>0</v>
      </c>
      <c r="G112" s="236"/>
      <c r="H112" s="1881"/>
      <c r="I112" s="2175"/>
    </row>
    <row r="113" spans="1:66" ht="24" customHeight="1" x14ac:dyDescent="0.2">
      <c r="A113" s="2075"/>
      <c r="B113" s="2133"/>
      <c r="C113" s="362" t="str">
        <f>F!C256</f>
        <v>60 to 90%</v>
      </c>
      <c r="D113" s="494">
        <f>F!D256</f>
        <v>0</v>
      </c>
      <c r="E113" s="260">
        <v>7</v>
      </c>
      <c r="F113" s="241">
        <f>D113*E113</f>
        <v>0</v>
      </c>
      <c r="G113" s="236"/>
      <c r="H113" s="1881"/>
      <c r="I113" s="2175"/>
    </row>
    <row r="114" spans="1:66" ht="39" customHeight="1" thickBot="1" x14ac:dyDescent="0.25">
      <c r="A114" s="2075"/>
      <c r="B114" s="2133"/>
      <c r="C114" s="361" t="str">
        <f>F!C257</f>
        <v>&gt;90%, or the AA does not adjoin any upland  SKIP to F54 (Cliffs).</v>
      </c>
      <c r="D114" s="370">
        <f>F!D257</f>
        <v>0</v>
      </c>
      <c r="E114" s="432">
        <v>10</v>
      </c>
      <c r="F114" s="380">
        <f>D114*E114</f>
        <v>0</v>
      </c>
      <c r="G114" s="367"/>
      <c r="H114" s="1882"/>
      <c r="I114" s="2176"/>
    </row>
    <row r="115" spans="1:66" ht="77.25" thickBot="1" x14ac:dyDescent="0.25">
      <c r="A115" s="1992" t="str">
        <f>F!A288</f>
        <v>F60</v>
      </c>
      <c r="B115" s="2132" t="str">
        <f>F!B288</f>
        <v xml:space="preserve">Unvisited Core Area </v>
      </c>
      <c r="C115" s="90" t="str">
        <f>F!C288</f>
        <v>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v>
      </c>
      <c r="D115" s="378"/>
      <c r="E115" s="368"/>
      <c r="F115" s="234"/>
      <c r="G115" s="232">
        <f>MAX(F116:F121)/MAX(E116:E121)</f>
        <v>0</v>
      </c>
      <c r="H115" s="1910" t="s">
        <v>124</v>
      </c>
      <c r="I115" s="2180" t="s">
        <v>31</v>
      </c>
    </row>
    <row r="116" spans="1:66" ht="15" customHeight="1" x14ac:dyDescent="0.2">
      <c r="A116" s="1991"/>
      <c r="B116" s="2133"/>
      <c r="C116" s="426" t="str">
        <f>F!C289</f>
        <v>&lt;5% and no inhabited building is within 100 m of the AA.</v>
      </c>
      <c r="D116" s="354">
        <f>F!D289</f>
        <v>0</v>
      </c>
      <c r="E116" s="369">
        <v>1</v>
      </c>
      <c r="F116" s="377">
        <f t="shared" ref="F116:F121" si="6">D116*E116</f>
        <v>0</v>
      </c>
      <c r="G116" s="235"/>
      <c r="H116" s="1881"/>
      <c r="I116" s="2175"/>
    </row>
    <row r="117" spans="1:66" ht="15" customHeight="1" x14ac:dyDescent="0.2">
      <c r="A117" s="1991"/>
      <c r="B117" s="2133"/>
      <c r="C117" s="362" t="str">
        <f>F!C290</f>
        <v>&lt;5% and inhabited building is within 100 m of the AA.</v>
      </c>
      <c r="D117" s="354">
        <f>F!D290</f>
        <v>0</v>
      </c>
      <c r="E117" s="369">
        <v>0</v>
      </c>
      <c r="F117" s="377">
        <f t="shared" si="6"/>
        <v>0</v>
      </c>
      <c r="G117" s="236"/>
      <c r="H117" s="1881"/>
      <c r="I117" s="2175"/>
    </row>
    <row r="118" spans="1:66" ht="15" customHeight="1" x14ac:dyDescent="0.2">
      <c r="A118" s="1991"/>
      <c r="B118" s="2133"/>
      <c r="C118" s="362" t="str">
        <f>F!C291</f>
        <v>5-50% and no inhabited building is within 100 m of the AA.</v>
      </c>
      <c r="D118" s="354">
        <f>F!D291</f>
        <v>0</v>
      </c>
      <c r="E118" s="369">
        <v>3</v>
      </c>
      <c r="F118" s="377">
        <f t="shared" si="6"/>
        <v>0</v>
      </c>
      <c r="G118" s="236"/>
      <c r="H118" s="1881"/>
      <c r="I118" s="2175"/>
    </row>
    <row r="119" spans="1:66" ht="15" customHeight="1" x14ac:dyDescent="0.2">
      <c r="A119" s="1991"/>
      <c r="B119" s="2133"/>
      <c r="C119" s="362" t="str">
        <f>F!C292</f>
        <v>5-50% and inhabited building is within 100 m of the AA.</v>
      </c>
      <c r="D119" s="354">
        <f>F!D292</f>
        <v>0</v>
      </c>
      <c r="E119" s="369">
        <v>2</v>
      </c>
      <c r="F119" s="377">
        <f t="shared" si="6"/>
        <v>0</v>
      </c>
      <c r="G119" s="236"/>
      <c r="H119" s="1881"/>
      <c r="I119" s="2175"/>
    </row>
    <row r="120" spans="1:66" ht="15" customHeight="1" x14ac:dyDescent="0.2">
      <c r="A120" s="1991"/>
      <c r="B120" s="2133"/>
      <c r="C120" s="362" t="str">
        <f>F!C293</f>
        <v>50-95%, with or without inhabited building nearby.</v>
      </c>
      <c r="D120" s="354">
        <f>F!D293</f>
        <v>0</v>
      </c>
      <c r="E120" s="369">
        <v>4</v>
      </c>
      <c r="F120" s="377">
        <f t="shared" si="6"/>
        <v>0</v>
      </c>
      <c r="G120" s="236"/>
      <c r="H120" s="1881"/>
      <c r="I120" s="2175"/>
    </row>
    <row r="121" spans="1:66" ht="15" customHeight="1" thickBot="1" x14ac:dyDescent="0.25">
      <c r="A121" s="1993"/>
      <c r="B121" s="2140"/>
      <c r="C121" s="82" t="str">
        <f>F!C294</f>
        <v>&gt;95% of the AA with or without inhabited building nearby.</v>
      </c>
      <c r="D121" s="94">
        <f>F!D294</f>
        <v>0</v>
      </c>
      <c r="E121" s="205">
        <v>5</v>
      </c>
      <c r="F121" s="244">
        <f t="shared" si="6"/>
        <v>0</v>
      </c>
      <c r="G121" s="237"/>
      <c r="H121" s="1882"/>
      <c r="I121" s="2179"/>
    </row>
    <row r="122" spans="1:66" ht="75" customHeight="1" thickBot="1" x14ac:dyDescent="0.25">
      <c r="A122" s="1991" t="str">
        <f>F!A295</f>
        <v>F61</v>
      </c>
      <c r="B122" s="2133" t="str">
        <f>F!B295</f>
        <v>Frequently Visited Area</v>
      </c>
      <c r="C122" s="877" t="str">
        <f>F!C295</f>
        <v>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v>
      </c>
      <c r="D122" s="396"/>
      <c r="E122" s="206"/>
      <c r="F122" s="240"/>
      <c r="G122" s="231">
        <f>MAX(F123:F126)/MAX(E123:E126)</f>
        <v>0</v>
      </c>
      <c r="H122" s="1910" t="s">
        <v>125</v>
      </c>
      <c r="I122" s="2174" t="s">
        <v>75</v>
      </c>
    </row>
    <row r="123" spans="1:66" ht="15" customHeight="1" x14ac:dyDescent="0.2">
      <c r="A123" s="1991"/>
      <c r="B123" s="2133"/>
      <c r="C123" s="426" t="str">
        <f>F!C296</f>
        <v>&lt;5%.  If F62 was answered "&gt;95%", SKIP to F64 (Consumptive Uses).</v>
      </c>
      <c r="D123" s="180">
        <f>F!D296</f>
        <v>0</v>
      </c>
      <c r="E123" s="204">
        <v>3</v>
      </c>
      <c r="F123" s="241">
        <f>D123*E123</f>
        <v>0</v>
      </c>
      <c r="G123" s="235"/>
      <c r="H123" s="1881"/>
      <c r="I123" s="2175"/>
    </row>
    <row r="124" spans="1:66" ht="15" customHeight="1" x14ac:dyDescent="0.2">
      <c r="A124" s="1991"/>
      <c r="B124" s="2133"/>
      <c r="C124" s="362" t="str">
        <f>F!C297</f>
        <v>5-50%</v>
      </c>
      <c r="D124" s="40">
        <f>F!D297</f>
        <v>0</v>
      </c>
      <c r="E124" s="204">
        <v>2</v>
      </c>
      <c r="F124" s="241">
        <f>D124*E124</f>
        <v>0</v>
      </c>
      <c r="G124" s="236"/>
      <c r="H124" s="1881"/>
      <c r="I124" s="2175"/>
    </row>
    <row r="125" spans="1:66" ht="15" customHeight="1" x14ac:dyDescent="0.2">
      <c r="A125" s="1991"/>
      <c r="B125" s="2133"/>
      <c r="C125" s="362" t="str">
        <f>F!C298</f>
        <v>50-95%</v>
      </c>
      <c r="D125" s="40">
        <f>F!D298</f>
        <v>0</v>
      </c>
      <c r="E125" s="204">
        <v>1</v>
      </c>
      <c r="F125" s="241">
        <f>D125*E125</f>
        <v>0</v>
      </c>
      <c r="G125" s="236"/>
      <c r="H125" s="1881"/>
      <c r="I125" s="2175"/>
    </row>
    <row r="126" spans="1:66" ht="15" customHeight="1" thickBot="1" x14ac:dyDescent="0.25">
      <c r="A126" s="1991"/>
      <c r="B126" s="2133"/>
      <c r="C126" s="361" t="str">
        <f>F!C299</f>
        <v>&gt;95% of the AA.</v>
      </c>
      <c r="D126" s="356">
        <f>F!D299</f>
        <v>0</v>
      </c>
      <c r="E126" s="305">
        <v>0</v>
      </c>
      <c r="F126" s="380">
        <f>D126*E126</f>
        <v>0</v>
      </c>
      <c r="G126" s="367"/>
      <c r="H126" s="1881"/>
      <c r="I126" s="2176"/>
    </row>
    <row r="127" spans="1:66" ht="64.5" thickBot="1" x14ac:dyDescent="0.25">
      <c r="A127" s="57" t="str">
        <f>F!A301</f>
        <v>F63</v>
      </c>
      <c r="B127" s="492" t="str">
        <f>F!B301</f>
        <v>BMP - Wildlife Protection</v>
      </c>
      <c r="C127" s="394" t="str">
        <f>F!C301</f>
        <v xml:space="preserve">Fences, observation blinds, platforms, paved trails, exclusion periods, and/or well-enforced prohibitions on motorized boats, off-leash pets, and off road vehicles appear to effectively exclude or divert visitors and their pets from the AA at critical times in order to minimize disturbance of wildlife (except during hunting seasons).  Enter "1" if true. </v>
      </c>
      <c r="D127" s="188">
        <f>F!D301</f>
        <v>0</v>
      </c>
      <c r="E127" s="292"/>
      <c r="F127" s="270"/>
      <c r="G127" s="232">
        <f>IF((D121+D123&gt;1),"",D127)</f>
        <v>0</v>
      </c>
      <c r="H127" s="332" t="s">
        <v>839</v>
      </c>
      <c r="I127" s="797" t="s">
        <v>2056</v>
      </c>
    </row>
    <row r="128" spans="1:66" s="892" customFormat="1" ht="78" customHeight="1" thickBot="1" x14ac:dyDescent="0.25">
      <c r="A128" s="2165" t="str">
        <f>F!A324</f>
        <v>F68</v>
      </c>
      <c r="B128" s="2165" t="str">
        <f>F!B324</f>
        <v>Plants or Animals of Conservation Concern</v>
      </c>
      <c r="C128" s="1061" t="str">
        <f>F!C324</f>
        <v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v>
      </c>
      <c r="D128" s="1060"/>
      <c r="E128" s="902"/>
      <c r="F128" s="912"/>
      <c r="G128" s="913" t="str">
        <f>IF((D129=0),"",1)</f>
        <v/>
      </c>
      <c r="H128" s="2161" t="s">
        <v>2009</v>
      </c>
      <c r="I128" s="2165" t="s">
        <v>2031</v>
      </c>
      <c r="J128" s="896"/>
      <c r="K128" s="897"/>
      <c r="L128" s="897"/>
      <c r="M128" s="897"/>
      <c r="N128" s="897"/>
      <c r="O128" s="897"/>
      <c r="P128" s="897"/>
      <c r="Q128" s="897"/>
      <c r="R128" s="897"/>
      <c r="S128" s="897"/>
      <c r="T128" s="897"/>
      <c r="U128" s="897"/>
      <c r="V128" s="897"/>
      <c r="W128" s="897"/>
      <c r="X128" s="897"/>
      <c r="Y128" s="897"/>
      <c r="Z128" s="897"/>
      <c r="AA128" s="897"/>
      <c r="AB128" s="897"/>
      <c r="AC128" s="897"/>
      <c r="AD128" s="897"/>
      <c r="AE128" s="897"/>
      <c r="AF128" s="897"/>
      <c r="AG128" s="897"/>
      <c r="AH128" s="897"/>
      <c r="AI128" s="897"/>
      <c r="AJ128" s="897"/>
      <c r="AK128" s="897"/>
      <c r="AL128" s="897"/>
      <c r="AM128" s="897"/>
      <c r="AN128" s="897"/>
      <c r="AO128" s="897"/>
      <c r="AP128" s="897"/>
      <c r="AQ128" s="897"/>
      <c r="AR128" s="897"/>
      <c r="AS128" s="897"/>
      <c r="AT128" s="897"/>
      <c r="AU128" s="897"/>
      <c r="AV128" s="897"/>
      <c r="AW128" s="897"/>
      <c r="AX128" s="897"/>
      <c r="AY128" s="897"/>
      <c r="AZ128" s="897"/>
      <c r="BA128" s="897"/>
      <c r="BB128" s="897"/>
      <c r="BC128" s="897"/>
      <c r="BD128" s="897"/>
      <c r="BE128" s="897"/>
      <c r="BF128" s="897"/>
      <c r="BG128" s="897"/>
      <c r="BH128" s="897"/>
      <c r="BI128" s="897"/>
      <c r="BJ128" s="897"/>
      <c r="BK128" s="897"/>
      <c r="BL128" s="897"/>
      <c r="BM128" s="897"/>
      <c r="BN128" s="897"/>
    </row>
    <row r="129" spans="1:66" s="892" customFormat="1" ht="15" customHeight="1" thickBot="1" x14ac:dyDescent="0.25">
      <c r="A129" s="2166"/>
      <c r="B129" s="2166"/>
      <c r="C129" s="1062" t="str">
        <f>F!C327</f>
        <v>One or more of the rare amphibian species was detected within the AA.</v>
      </c>
      <c r="D129" s="938">
        <f>F!D327</f>
        <v>0</v>
      </c>
      <c r="E129" s="903"/>
      <c r="F129" s="263"/>
      <c r="G129" s="283"/>
      <c r="H129" s="2162"/>
      <c r="I129" s="2166"/>
      <c r="J129" s="896"/>
      <c r="K129" s="897"/>
      <c r="L129" s="897"/>
      <c r="M129" s="897"/>
      <c r="N129" s="897"/>
      <c r="O129" s="897"/>
      <c r="P129" s="897"/>
      <c r="Q129" s="897"/>
      <c r="R129" s="897"/>
      <c r="S129" s="897"/>
      <c r="T129" s="897"/>
      <c r="U129" s="897"/>
      <c r="V129" s="897"/>
      <c r="W129" s="897"/>
      <c r="X129" s="897"/>
      <c r="Y129" s="897"/>
      <c r="Z129" s="897"/>
      <c r="AA129" s="897"/>
      <c r="AB129" s="897"/>
      <c r="AC129" s="897"/>
      <c r="AD129" s="897"/>
      <c r="AE129" s="897"/>
      <c r="AF129" s="897"/>
      <c r="AG129" s="897"/>
      <c r="AH129" s="897"/>
      <c r="AI129" s="897"/>
      <c r="AJ129" s="897"/>
      <c r="AK129" s="897"/>
      <c r="AL129" s="897"/>
      <c r="AM129" s="897"/>
      <c r="AN129" s="897"/>
      <c r="AO129" s="897"/>
      <c r="AP129" s="897"/>
      <c r="AQ129" s="897"/>
      <c r="AR129" s="897"/>
      <c r="AS129" s="897"/>
      <c r="AT129" s="897"/>
      <c r="AU129" s="897"/>
      <c r="AV129" s="897"/>
      <c r="AW129" s="897"/>
      <c r="AX129" s="897"/>
      <c r="AY129" s="897"/>
      <c r="AZ129" s="897"/>
      <c r="BA129" s="897"/>
      <c r="BB129" s="897"/>
      <c r="BC129" s="897"/>
      <c r="BD129" s="897"/>
      <c r="BE129" s="897"/>
      <c r="BF129" s="897"/>
      <c r="BG129" s="897"/>
      <c r="BH129" s="897"/>
      <c r="BI129" s="897"/>
      <c r="BJ129" s="897"/>
      <c r="BK129" s="897"/>
      <c r="BL129" s="897"/>
      <c r="BM129" s="897"/>
      <c r="BN129" s="897"/>
    </row>
    <row r="130" spans="1:66" ht="84" customHeight="1" thickBot="1" x14ac:dyDescent="0.25">
      <c r="A130" s="899" t="str">
        <f>S!A25</f>
        <v>S2</v>
      </c>
      <c r="B130" s="900" t="str">
        <f>S!B25</f>
        <v>Accelerated Inputs of Contaminants and/or Salts</v>
      </c>
      <c r="C130" s="901"/>
      <c r="D130" s="898">
        <f>S!F39</f>
        <v>0</v>
      </c>
      <c r="E130" s="890"/>
      <c r="F130" s="276"/>
      <c r="G130" s="231">
        <f>1-D130</f>
        <v>1</v>
      </c>
      <c r="H130" s="1361" t="s">
        <v>840</v>
      </c>
      <c r="I130" s="1375" t="s">
        <v>1957</v>
      </c>
    </row>
    <row r="131" spans="1:66" s="12" customFormat="1" ht="21" customHeight="1" thickBot="1" x14ac:dyDescent="0.25">
      <c r="A131" s="394"/>
      <c r="B131" s="394"/>
      <c r="C131" s="6"/>
      <c r="D131" s="616"/>
      <c r="E131" s="616"/>
      <c r="F131" s="616"/>
      <c r="G131" s="616"/>
      <c r="H131" s="592"/>
      <c r="I131" s="592"/>
      <c r="J131" s="144"/>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row>
    <row r="132" spans="1:66" s="5" customFormat="1" ht="21" customHeight="1" thickBot="1" x14ac:dyDescent="0.25">
      <c r="A132" s="6"/>
      <c r="B132" s="6"/>
      <c r="C132" s="391" t="s">
        <v>744</v>
      </c>
      <c r="D132" s="611"/>
      <c r="E132" s="611"/>
      <c r="F132" s="611"/>
      <c r="G132" s="611"/>
      <c r="H132" s="119"/>
      <c r="I132" s="119"/>
      <c r="J132" s="441"/>
      <c r="K132" s="110"/>
      <c r="L132" s="110"/>
    </row>
    <row r="133" spans="1:66" s="5" customFormat="1" ht="42" customHeight="1" thickBot="1" x14ac:dyDescent="0.25">
      <c r="A133" s="10"/>
      <c r="B133" s="119"/>
      <c r="C133" s="1247" t="s">
        <v>2479</v>
      </c>
      <c r="D133" s="1264"/>
      <c r="E133" s="1264"/>
      <c r="F133" s="1264"/>
      <c r="G133" s="1248">
        <f>AVERAGE( Interspers11,HerbWoodMix11,ISOwet11,AVERAGE(ClassRichIn, WetPerim2Area, OWpct11,Girreg11,Vwidth11,TreeVar11,WoodDown11,WoodAbove11))</f>
        <v>0</v>
      </c>
      <c r="H133" s="119"/>
      <c r="I133" s="119"/>
      <c r="J133" s="140"/>
      <c r="K133" s="110"/>
      <c r="L133" s="110"/>
    </row>
    <row r="134" spans="1:66" s="5" customFormat="1" ht="21" customHeight="1" thickBot="1" x14ac:dyDescent="0.25">
      <c r="A134" s="1246"/>
      <c r="B134" s="1246"/>
      <c r="D134" s="940"/>
      <c r="E134" s="940"/>
      <c r="F134" s="940"/>
      <c r="G134" s="940"/>
      <c r="H134" s="119"/>
      <c r="I134" s="119"/>
      <c r="J134" s="441"/>
      <c r="K134" s="160"/>
      <c r="L134" s="110"/>
    </row>
    <row r="135" spans="1:66" s="5" customFormat="1" ht="21" customHeight="1" thickBot="1" x14ac:dyDescent="0.25">
      <c r="A135" s="1246"/>
      <c r="B135" s="1246"/>
      <c r="C135" s="391" t="s">
        <v>745</v>
      </c>
      <c r="D135" s="1027"/>
      <c r="E135" s="1027"/>
      <c r="F135" s="1027"/>
      <c r="G135" s="1027"/>
      <c r="H135" s="119"/>
      <c r="I135" s="119"/>
      <c r="J135" s="441"/>
      <c r="K135" s="160"/>
      <c r="L135" s="110"/>
    </row>
    <row r="136" spans="1:66" s="5" customFormat="1" ht="30" customHeight="1" thickBot="1" x14ac:dyDescent="0.25">
      <c r="A136" s="1350"/>
      <c r="B136" s="940"/>
      <c r="C136" s="1072" t="s">
        <v>2404</v>
      </c>
      <c r="D136" s="590"/>
      <c r="E136" s="507"/>
      <c r="F136" s="507"/>
      <c r="G136" s="285">
        <f>AVERAGE(GrowDD, GWDspring, GroundW11, Beaver11, Salin11, Gradient11, SatPct11, Fluctu11)</f>
        <v>0</v>
      </c>
      <c r="H136" s="119"/>
      <c r="I136" s="119"/>
      <c r="J136" s="441"/>
      <c r="K136" s="160"/>
      <c r="L136" s="110"/>
    </row>
    <row r="137" spans="1:66" s="6" customFormat="1" ht="21" customHeight="1" thickBot="1" x14ac:dyDescent="0.25">
      <c r="A137" s="1548"/>
      <c r="B137" s="1548"/>
      <c r="C137" s="110"/>
      <c r="D137" s="617"/>
      <c r="E137" s="617"/>
      <c r="F137" s="617"/>
      <c r="G137" s="617"/>
      <c r="H137" s="119"/>
      <c r="I137" s="119"/>
      <c r="J137" s="441"/>
      <c r="K137" s="110"/>
      <c r="L137" s="110"/>
    </row>
    <row r="138" spans="1:66" s="6" customFormat="1" ht="21" customHeight="1" thickBot="1" x14ac:dyDescent="0.25">
      <c r="A138" s="1548"/>
      <c r="B138" s="1548"/>
      <c r="C138" s="392" t="s">
        <v>2267</v>
      </c>
      <c r="D138" s="1262"/>
      <c r="E138" s="1262"/>
      <c r="F138" s="1262"/>
      <c r="G138" s="1262"/>
      <c r="H138" s="119"/>
      <c r="I138" s="119"/>
      <c r="J138" s="441"/>
      <c r="K138" s="110"/>
      <c r="L138" s="110"/>
    </row>
    <row r="139" spans="1:66" s="6" customFormat="1" ht="30.75" customHeight="1" thickBot="1" x14ac:dyDescent="0.25">
      <c r="A139" s="1548"/>
      <c r="B139" s="1548"/>
      <c r="C139" s="1334" t="s">
        <v>2480</v>
      </c>
      <c r="D139" s="590"/>
      <c r="E139" s="507"/>
      <c r="F139" s="507"/>
      <c r="G139" s="285">
        <f>AVERAGE(UniqFenMarshSwamp, ClassRich1k, WetDens1k_NoBog, BuffNatPct11,NatCov1k)</f>
        <v>0</v>
      </c>
      <c r="H139" s="119"/>
      <c r="I139" s="1589"/>
      <c r="J139" s="441"/>
      <c r="K139" s="110"/>
      <c r="L139" s="110"/>
    </row>
    <row r="140" spans="1:66" s="6" customFormat="1" ht="21" customHeight="1" thickBot="1" x14ac:dyDescent="0.25">
      <c r="A140" s="1548"/>
      <c r="B140" s="1548"/>
      <c r="C140" s="110"/>
      <c r="D140" s="1262"/>
      <c r="E140" s="1262"/>
      <c r="F140" s="1262"/>
      <c r="G140" s="1262"/>
      <c r="H140" s="119"/>
      <c r="I140" s="119"/>
      <c r="J140" s="441"/>
      <c r="K140" s="110"/>
      <c r="L140" s="110"/>
    </row>
    <row r="141" spans="1:66" s="5" customFormat="1" ht="21" customHeight="1" thickBot="1" x14ac:dyDescent="0.25">
      <c r="A141" s="1548"/>
      <c r="B141" s="1548"/>
      <c r="C141" s="391" t="s">
        <v>2269</v>
      </c>
      <c r="D141" s="618"/>
      <c r="E141" s="618"/>
      <c r="F141" s="618"/>
      <c r="G141" s="618"/>
      <c r="H141" s="119"/>
      <c r="I141" s="119"/>
      <c r="J141" s="441"/>
      <c r="K141" s="110"/>
      <c r="L141" s="110"/>
    </row>
    <row r="142" spans="1:66" s="5" customFormat="1" ht="35.25" customHeight="1" thickBot="1" x14ac:dyDescent="0.25">
      <c r="A142" s="1350"/>
      <c r="B142" s="940"/>
      <c r="C142" s="1072" t="s">
        <v>2481</v>
      </c>
      <c r="D142" s="590"/>
      <c r="E142" s="507"/>
      <c r="F142" s="507"/>
      <c r="G142" s="285">
        <f>AVERAGE(MAX(1-FishPres,Fish11), AVERAGE(WindSumm, Toxic11, 1-RdDens1k, Dist2Road, Dist2DevCrop,Core1_11, Core2_11, BMP_11))</f>
        <v>0.7</v>
      </c>
      <c r="H142" s="119"/>
      <c r="I142" s="119"/>
      <c r="J142" s="441"/>
      <c r="K142" s="110"/>
      <c r="L142" s="110"/>
    </row>
    <row r="143" spans="1:66" s="5" customFormat="1" ht="21" customHeight="1" thickBot="1" x14ac:dyDescent="0.25">
      <c r="A143" s="1246"/>
      <c r="B143" s="1246"/>
      <c r="D143" s="827"/>
      <c r="E143" s="827"/>
      <c r="F143" s="827"/>
      <c r="G143" s="827"/>
      <c r="H143" s="119"/>
      <c r="I143" s="119"/>
      <c r="J143" s="441"/>
      <c r="K143" s="110"/>
      <c r="L143" s="110"/>
    </row>
    <row r="144" spans="1:66" s="5" customFormat="1" ht="21" customHeight="1" thickBot="1" x14ac:dyDescent="0.25">
      <c r="A144" s="1246"/>
      <c r="B144" s="1246"/>
      <c r="C144" s="639" t="s">
        <v>846</v>
      </c>
      <c r="H144" s="119"/>
      <c r="I144" s="119"/>
      <c r="J144" s="441"/>
      <c r="K144" s="110"/>
      <c r="L144" s="110"/>
    </row>
    <row r="145" spans="1:66" s="5" customFormat="1" ht="21" customHeight="1" thickBot="1" x14ac:dyDescent="0.25">
      <c r="A145" s="1246"/>
      <c r="B145" s="1246"/>
      <c r="C145" s="409" t="s">
        <v>514</v>
      </c>
      <c r="D145" s="1027"/>
      <c r="E145" s="1027"/>
      <c r="F145" s="1027"/>
      <c r="G145" s="1027"/>
      <c r="H145" s="119"/>
      <c r="I145" s="119"/>
      <c r="J145" s="441"/>
      <c r="K145" s="110"/>
      <c r="L145" s="110"/>
    </row>
    <row r="146" spans="1:66" s="5" customFormat="1" ht="30" customHeight="1" thickBot="1" x14ac:dyDescent="0.25">
      <c r="A146" s="1246"/>
      <c r="B146" s="1246"/>
      <c r="C146" s="83" t="s">
        <v>2502</v>
      </c>
      <c r="D146" s="507"/>
      <c r="E146" s="507"/>
      <c r="F146" s="507"/>
      <c r="G146" s="582">
        <f>IF((RareAM=1),10,10*AVERAGE(SensAm, Wettype11, HabStrucA1a, CfixA1a, StressA1a, LscapeAM))</f>
        <v>1.4</v>
      </c>
      <c r="H146" s="119"/>
      <c r="I146" s="119"/>
      <c r="J146" s="441"/>
      <c r="K146" s="110"/>
      <c r="L146" s="110"/>
    </row>
    <row r="147" spans="1:66" s="940" customFormat="1" ht="21" customHeight="1" thickBot="1" x14ac:dyDescent="0.25">
      <c r="A147" s="1246"/>
      <c r="B147" s="1246"/>
      <c r="D147" s="579"/>
      <c r="E147" s="597" t="s">
        <v>406</v>
      </c>
      <c r="F147" s="597"/>
      <c r="G147" s="597"/>
      <c r="H147" s="598"/>
      <c r="I147" s="824" t="s">
        <v>293</v>
      </c>
      <c r="J147" s="141"/>
      <c r="K147" s="110"/>
      <c r="L147" s="110"/>
      <c r="M147" s="110"/>
      <c r="N147" s="110"/>
      <c r="O147" s="110"/>
      <c r="P147" s="110"/>
      <c r="Q147" s="110"/>
    </row>
    <row r="148" spans="1:66" s="12" customFormat="1" ht="51" x14ac:dyDescent="0.2">
      <c r="A148" s="1550"/>
      <c r="B148" s="1550"/>
      <c r="C148" s="1589"/>
      <c r="D148" s="1657"/>
      <c r="E148" s="597"/>
      <c r="F148" s="597"/>
      <c r="G148" s="597"/>
      <c r="H148" s="598"/>
      <c r="I148" s="1421" t="s">
        <v>779</v>
      </c>
      <c r="J148" s="144"/>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row>
    <row r="149" spans="1:66" s="12" customFormat="1" ht="38.25" x14ac:dyDescent="0.3">
      <c r="A149" s="1664"/>
      <c r="B149" s="1665"/>
      <c r="C149" s="1653"/>
      <c r="D149" s="1629"/>
      <c r="E149" s="597"/>
      <c r="F149" s="597"/>
      <c r="G149" s="597"/>
      <c r="H149" s="598"/>
      <c r="I149" s="1403" t="s">
        <v>1182</v>
      </c>
      <c r="J149" s="144"/>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row>
    <row r="150" spans="1:66" s="12" customFormat="1" ht="38.25" x14ac:dyDescent="0.3">
      <c r="A150" s="1664"/>
      <c r="B150" s="1666"/>
      <c r="C150" s="1667"/>
      <c r="D150" s="1654"/>
      <c r="E150" s="597"/>
      <c r="F150" s="597"/>
      <c r="G150" s="597"/>
      <c r="H150" s="598"/>
      <c r="I150" s="1403" t="s">
        <v>1184</v>
      </c>
      <c r="J150" s="144"/>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row>
    <row r="151" spans="1:66" s="158" customFormat="1" ht="38.25" x14ac:dyDescent="0.3">
      <c r="A151" s="1664"/>
      <c r="B151" s="1666"/>
      <c r="C151" s="1667"/>
      <c r="D151" s="1654"/>
      <c r="E151" s="597"/>
      <c r="F151" s="597"/>
      <c r="G151" s="597"/>
      <c r="H151" s="598"/>
      <c r="I151" s="1431" t="s">
        <v>1102</v>
      </c>
      <c r="J151" s="157"/>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c r="BM151" s="156"/>
      <c r="BN151" s="156"/>
    </row>
    <row r="152" spans="1:66" s="158" customFormat="1" ht="38.25" x14ac:dyDescent="0.3">
      <c r="A152" s="1664"/>
      <c r="B152" s="1666"/>
      <c r="C152" s="1667"/>
      <c r="D152" s="1654"/>
      <c r="E152" s="597"/>
      <c r="F152" s="597"/>
      <c r="G152" s="597"/>
      <c r="H152" s="598"/>
      <c r="I152" s="1407" t="s">
        <v>780</v>
      </c>
      <c r="J152" s="157"/>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c r="BN152" s="156"/>
    </row>
    <row r="153" spans="1:66" s="158" customFormat="1" ht="38.25" x14ac:dyDescent="0.3">
      <c r="A153" s="1664"/>
      <c r="B153" s="1666"/>
      <c r="C153" s="1667"/>
      <c r="D153" s="1654"/>
      <c r="E153" s="597"/>
      <c r="F153" s="597"/>
      <c r="G153" s="597"/>
      <c r="H153" s="598"/>
      <c r="I153" s="1407" t="s">
        <v>781</v>
      </c>
      <c r="J153" s="157"/>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O153" s="156"/>
      <c r="AP153" s="156"/>
      <c r="AQ153" s="156"/>
      <c r="AR153" s="156"/>
      <c r="AS153" s="156"/>
      <c r="AT153" s="156"/>
      <c r="AU153" s="156"/>
      <c r="AV153" s="156"/>
      <c r="AW153" s="156"/>
      <c r="AX153" s="156"/>
      <c r="AY153" s="156"/>
      <c r="AZ153" s="156"/>
      <c r="BA153" s="156"/>
      <c r="BB153" s="156"/>
      <c r="BC153" s="156"/>
      <c r="BD153" s="156"/>
      <c r="BE153" s="156"/>
      <c r="BF153" s="156"/>
      <c r="BG153" s="156"/>
      <c r="BH153" s="156"/>
      <c r="BI153" s="156"/>
      <c r="BJ153" s="156"/>
      <c r="BK153" s="156"/>
      <c r="BL153" s="156"/>
      <c r="BM153" s="156"/>
      <c r="BN153" s="156"/>
    </row>
    <row r="154" spans="1:66" s="158" customFormat="1" ht="25.5" x14ac:dyDescent="0.3">
      <c r="A154" s="1664"/>
      <c r="B154" s="1665"/>
      <c r="C154" s="1593"/>
      <c r="D154" s="1654"/>
      <c r="E154" s="597"/>
      <c r="F154" s="597"/>
      <c r="G154" s="597"/>
      <c r="H154" s="598"/>
      <c r="I154" s="1407" t="s">
        <v>782</v>
      </c>
      <c r="J154" s="157"/>
      <c r="K154" s="156"/>
      <c r="L154" s="156"/>
      <c r="M154" s="156" t="s">
        <v>406</v>
      </c>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c r="AP154" s="156"/>
      <c r="AQ154" s="156"/>
      <c r="AR154" s="156"/>
      <c r="AS154" s="156"/>
      <c r="AT154" s="156"/>
      <c r="AU154" s="156"/>
      <c r="AV154" s="156"/>
      <c r="AW154" s="156"/>
      <c r="AX154" s="156"/>
      <c r="AY154" s="156"/>
      <c r="AZ154" s="156"/>
      <c r="BA154" s="156"/>
      <c r="BB154" s="156"/>
      <c r="BC154" s="156"/>
      <c r="BD154" s="156"/>
      <c r="BE154" s="156"/>
      <c r="BF154" s="156"/>
      <c r="BG154" s="156"/>
      <c r="BH154" s="156"/>
      <c r="BI154" s="156"/>
      <c r="BJ154" s="156"/>
      <c r="BK154" s="156"/>
      <c r="BL154" s="156"/>
      <c r="BM154" s="156"/>
      <c r="BN154" s="156"/>
    </row>
    <row r="155" spans="1:66" s="158" customFormat="1" ht="25.5" x14ac:dyDescent="0.2">
      <c r="A155" s="1664"/>
      <c r="B155" s="412"/>
      <c r="C155" s="588"/>
      <c r="D155" s="1554"/>
      <c r="E155" s="597"/>
      <c r="F155" s="597"/>
      <c r="G155" s="597"/>
      <c r="H155" s="598"/>
      <c r="I155" s="1407" t="s">
        <v>1861</v>
      </c>
      <c r="J155" s="157"/>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6"/>
      <c r="BB155" s="156"/>
      <c r="BC155" s="156"/>
      <c r="BD155" s="156"/>
      <c r="BE155" s="156"/>
      <c r="BF155" s="156"/>
      <c r="BG155" s="156"/>
      <c r="BH155" s="156"/>
      <c r="BI155" s="156"/>
      <c r="BJ155" s="156"/>
      <c r="BK155" s="156"/>
      <c r="BL155" s="156"/>
      <c r="BM155" s="156"/>
      <c r="BN155" s="156"/>
    </row>
    <row r="156" spans="1:66" s="158" customFormat="1" ht="38.25" x14ac:dyDescent="0.2">
      <c r="A156" s="1664"/>
      <c r="B156" s="1467"/>
      <c r="C156" s="1464"/>
      <c r="D156" s="1554"/>
      <c r="E156" s="597"/>
      <c r="F156" s="597"/>
      <c r="G156" s="597"/>
      <c r="H156" s="598"/>
      <c r="I156" s="1407" t="s">
        <v>374</v>
      </c>
      <c r="J156" s="157"/>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c r="BA156" s="156"/>
      <c r="BB156" s="156"/>
      <c r="BC156" s="156"/>
      <c r="BD156" s="156"/>
      <c r="BE156" s="156"/>
      <c r="BF156" s="156"/>
      <c r="BG156" s="156"/>
      <c r="BH156" s="156"/>
      <c r="BI156" s="156"/>
      <c r="BJ156" s="156"/>
      <c r="BK156" s="156"/>
      <c r="BL156" s="156"/>
      <c r="BM156" s="156"/>
      <c r="BN156" s="156"/>
    </row>
    <row r="157" spans="1:66" s="940" customFormat="1" ht="42" customHeight="1" x14ac:dyDescent="0.3">
      <c r="A157" s="1664"/>
      <c r="B157" s="1665"/>
      <c r="C157" s="1653"/>
      <c r="D157" s="1554"/>
      <c r="E157" s="597"/>
      <c r="F157" s="597"/>
      <c r="G157" s="597"/>
      <c r="H157" s="598"/>
      <c r="I157" s="1407" t="s">
        <v>1862</v>
      </c>
      <c r="J157" s="141"/>
      <c r="K157" s="110"/>
      <c r="L157" s="110"/>
      <c r="M157" s="110"/>
      <c r="N157" s="110"/>
      <c r="O157" s="110"/>
      <c r="P157" s="110"/>
      <c r="Q157" s="110"/>
    </row>
    <row r="158" spans="1:66" s="940" customFormat="1" ht="38.25" x14ac:dyDescent="0.3">
      <c r="A158" s="1664"/>
      <c r="B158" s="1666"/>
      <c r="C158" s="1667"/>
      <c r="D158" s="1654"/>
      <c r="E158" s="597"/>
      <c r="F158" s="597"/>
      <c r="G158" s="597"/>
      <c r="H158" s="598"/>
      <c r="I158" s="1407" t="s">
        <v>783</v>
      </c>
      <c r="J158" s="141"/>
      <c r="K158" s="110"/>
      <c r="L158" s="110"/>
      <c r="M158" s="110"/>
      <c r="N158" s="110"/>
      <c r="O158" s="110"/>
      <c r="P158" s="110"/>
      <c r="Q158" s="110"/>
    </row>
    <row r="159" spans="1:66" s="940" customFormat="1" ht="38.25" x14ac:dyDescent="0.3">
      <c r="A159" s="1664"/>
      <c r="B159" s="1666"/>
      <c r="C159" s="1667"/>
      <c r="D159" s="1654"/>
      <c r="E159" s="597"/>
      <c r="F159" s="597"/>
      <c r="G159" s="597"/>
      <c r="H159" s="598"/>
      <c r="I159" s="816" t="s">
        <v>1101</v>
      </c>
      <c r="J159" s="141"/>
      <c r="K159" s="110"/>
      <c r="L159" s="110"/>
      <c r="M159" s="110"/>
      <c r="N159" s="110"/>
      <c r="O159" s="110"/>
      <c r="P159" s="110"/>
      <c r="Q159" s="110"/>
    </row>
    <row r="160" spans="1:66" s="940" customFormat="1" ht="44.25" customHeight="1" x14ac:dyDescent="0.3">
      <c r="A160" s="1664"/>
      <c r="B160" s="1666"/>
      <c r="C160" s="1667"/>
      <c r="D160" s="1654"/>
      <c r="E160" s="597"/>
      <c r="F160" s="597"/>
      <c r="G160" s="597"/>
      <c r="H160" s="598"/>
      <c r="I160" s="1431" t="s">
        <v>1096</v>
      </c>
      <c r="J160" s="141"/>
      <c r="K160" s="110"/>
      <c r="L160" s="110"/>
      <c r="M160" s="110"/>
      <c r="N160" s="110"/>
      <c r="O160" s="110"/>
      <c r="P160" s="110"/>
      <c r="Q160" s="110"/>
    </row>
    <row r="161" spans="1:66" s="940" customFormat="1" ht="25.5" x14ac:dyDescent="0.3">
      <c r="A161" s="1664"/>
      <c r="B161" s="1666"/>
      <c r="C161" s="1667"/>
      <c r="D161" s="1654"/>
      <c r="E161" s="597"/>
      <c r="F161" s="597"/>
      <c r="G161" s="597"/>
      <c r="H161" s="598"/>
      <c r="I161" s="1431" t="s">
        <v>1863</v>
      </c>
      <c r="J161" s="141"/>
      <c r="K161" s="110"/>
      <c r="L161" s="110"/>
      <c r="M161" s="110"/>
      <c r="N161" s="110"/>
      <c r="O161" s="110"/>
      <c r="P161" s="110"/>
      <c r="Q161" s="110"/>
    </row>
    <row r="162" spans="1:66" s="940" customFormat="1" ht="25.5" x14ac:dyDescent="0.3">
      <c r="A162" s="1664"/>
      <c r="B162" s="1665"/>
      <c r="C162" s="1667"/>
      <c r="D162" s="1654"/>
      <c r="E162" s="597"/>
      <c r="F162" s="597"/>
      <c r="G162" s="597"/>
      <c r="H162" s="598"/>
      <c r="I162" s="1407" t="s">
        <v>784</v>
      </c>
      <c r="J162" s="141"/>
      <c r="K162" s="110"/>
      <c r="L162" s="110"/>
      <c r="M162" s="110"/>
      <c r="N162" s="110"/>
      <c r="O162" s="110"/>
      <c r="P162" s="110"/>
      <c r="Q162" s="110"/>
    </row>
    <row r="163" spans="1:66" s="940" customFormat="1" ht="38.25" x14ac:dyDescent="0.2">
      <c r="A163" s="588"/>
      <c r="B163" s="588"/>
      <c r="C163" s="588"/>
      <c r="D163" s="588"/>
      <c r="E163" s="110"/>
      <c r="F163" s="110"/>
      <c r="G163" s="110"/>
      <c r="H163" s="1389"/>
      <c r="I163" s="1407" t="s">
        <v>1092</v>
      </c>
      <c r="J163" s="141"/>
      <c r="K163" s="110"/>
      <c r="L163" s="110"/>
      <c r="M163" s="110"/>
      <c r="N163" s="110"/>
      <c r="O163" s="110"/>
      <c r="P163" s="110"/>
      <c r="Q163" s="110"/>
    </row>
    <row r="164" spans="1:66" s="940" customFormat="1" ht="38.25" x14ac:dyDescent="0.2">
      <c r="A164" s="110"/>
      <c r="B164" s="110"/>
      <c r="C164" s="110"/>
      <c r="D164" s="110"/>
      <c r="E164" s="110"/>
      <c r="F164" s="110"/>
      <c r="G164" s="110"/>
      <c r="H164" s="1389"/>
      <c r="I164" s="841" t="s">
        <v>1093</v>
      </c>
      <c r="J164" s="141"/>
      <c r="K164" s="110"/>
      <c r="L164" s="110"/>
      <c r="M164" s="110"/>
      <c r="N164" s="110"/>
      <c r="O164" s="110"/>
      <c r="P164" s="110"/>
      <c r="Q164" s="110"/>
    </row>
    <row r="165" spans="1:66" s="110" customFormat="1" ht="38.25" x14ac:dyDescent="0.2">
      <c r="H165" s="1389"/>
      <c r="I165" s="1431" t="s">
        <v>1097</v>
      </c>
      <c r="J165" s="141"/>
    </row>
    <row r="166" spans="1:66" ht="25.5" x14ac:dyDescent="0.2">
      <c r="A166" s="110"/>
      <c r="B166" s="110"/>
      <c r="C166" s="110"/>
      <c r="D166" s="110"/>
      <c r="E166" s="110"/>
      <c r="F166" s="110"/>
      <c r="G166" s="110"/>
      <c r="H166" s="1389"/>
      <c r="I166" s="1431" t="s">
        <v>1095</v>
      </c>
      <c r="J166" s="144"/>
      <c r="K166" s="13"/>
      <c r="L166" s="13"/>
    </row>
    <row r="167" spans="1:66" s="12" customFormat="1" ht="38.25" x14ac:dyDescent="0.2">
      <c r="A167" s="110"/>
      <c r="B167" s="110"/>
      <c r="C167" s="110"/>
      <c r="D167" s="110"/>
      <c r="E167" s="110"/>
      <c r="F167" s="110"/>
      <c r="G167" s="110"/>
      <c r="H167" s="1389"/>
      <c r="I167" s="1431" t="s">
        <v>1864</v>
      </c>
      <c r="J167" s="144"/>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row>
    <row r="168" spans="1:66" s="12" customFormat="1" ht="38.25" x14ac:dyDescent="0.2">
      <c r="A168" s="110"/>
      <c r="B168" s="110"/>
      <c r="C168" s="110"/>
      <c r="D168" s="110"/>
      <c r="E168" s="110"/>
      <c r="F168" s="110"/>
      <c r="G168" s="110"/>
      <c r="H168" s="1389"/>
      <c r="I168" s="1408" t="s">
        <v>785</v>
      </c>
      <c r="J168" s="144"/>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row>
    <row r="169" spans="1:66" s="12" customFormat="1" ht="46.5" customHeight="1" x14ac:dyDescent="0.2">
      <c r="A169" s="19"/>
      <c r="B169" s="115"/>
      <c r="D169" s="286"/>
      <c r="E169" s="286"/>
      <c r="F169" s="209"/>
      <c r="G169" s="281"/>
      <c r="H169" s="126"/>
      <c r="I169" s="1407" t="s">
        <v>786</v>
      </c>
      <c r="J169" s="144"/>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row>
    <row r="170" spans="1:66" s="12" customFormat="1" ht="38.25" x14ac:dyDescent="0.2">
      <c r="A170" s="19"/>
      <c r="B170" s="115"/>
      <c r="D170" s="286"/>
      <c r="E170" s="286"/>
      <c r="F170" s="209"/>
      <c r="G170" s="281"/>
      <c r="H170" s="126"/>
      <c r="I170" s="816" t="s">
        <v>1865</v>
      </c>
      <c r="J170" s="144"/>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row>
    <row r="171" spans="1:66" s="12" customFormat="1" ht="39" thickBot="1" x14ac:dyDescent="0.25">
      <c r="A171" s="19"/>
      <c r="B171" s="115"/>
      <c r="D171" s="286"/>
      <c r="E171" s="286"/>
      <c r="F171" s="209"/>
      <c r="G171" s="281"/>
      <c r="H171" s="126"/>
      <c r="I171" s="1434" t="s">
        <v>1094</v>
      </c>
      <c r="J171" s="144"/>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row>
    <row r="172" spans="1:66" s="12" customFormat="1" x14ac:dyDescent="0.2">
      <c r="A172" s="19"/>
      <c r="B172" s="115"/>
      <c r="D172" s="286"/>
      <c r="E172" s="286"/>
      <c r="F172" s="209"/>
      <c r="G172" s="281"/>
      <c r="H172" s="126"/>
      <c r="I172" s="13"/>
      <c r="J172" s="144"/>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row>
    <row r="173" spans="1:66" s="12" customFormat="1" x14ac:dyDescent="0.2">
      <c r="A173" s="19"/>
      <c r="B173" s="115"/>
      <c r="D173" s="286"/>
      <c r="E173" s="286"/>
      <c r="F173" s="209"/>
      <c r="G173" s="281"/>
      <c r="H173" s="126"/>
      <c r="I173" s="13"/>
      <c r="J173" s="144"/>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row>
    <row r="174" spans="1:66" s="12" customFormat="1" x14ac:dyDescent="0.2">
      <c r="A174" s="19"/>
      <c r="B174" s="115"/>
      <c r="D174" s="286"/>
      <c r="E174" s="286"/>
      <c r="F174" s="209"/>
      <c r="G174" s="281"/>
      <c r="H174" s="126"/>
      <c r="I174" s="13"/>
      <c r="J174" s="144"/>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row>
    <row r="175" spans="1:66" s="12" customFormat="1" x14ac:dyDescent="0.2">
      <c r="A175" s="19"/>
      <c r="B175" s="115"/>
      <c r="D175" s="286"/>
      <c r="E175" s="286"/>
      <c r="F175" s="209"/>
      <c r="G175" s="281"/>
      <c r="H175" s="126"/>
      <c r="I175" s="13"/>
      <c r="J175" s="144"/>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row>
    <row r="176" spans="1:66" s="12" customFormat="1" x14ac:dyDescent="0.2">
      <c r="A176" s="19"/>
      <c r="B176" s="115"/>
      <c r="D176" s="286"/>
      <c r="E176" s="286"/>
      <c r="F176" s="209"/>
      <c r="G176" s="281"/>
      <c r="H176" s="126"/>
      <c r="I176" s="13"/>
      <c r="J176" s="144"/>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row>
    <row r="177" spans="1:66" s="12" customFormat="1" x14ac:dyDescent="0.2">
      <c r="A177" s="19"/>
      <c r="B177" s="123"/>
      <c r="C177" s="11"/>
      <c r="D177" s="249"/>
      <c r="E177" s="286"/>
      <c r="F177" s="209"/>
      <c r="G177" s="281"/>
      <c r="H177" s="126"/>
      <c r="I177" s="13"/>
      <c r="J177" s="144"/>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row>
    <row r="178" spans="1:66" s="12" customFormat="1" x14ac:dyDescent="0.2">
      <c r="A178" s="19"/>
      <c r="B178" s="123"/>
      <c r="C178" s="11"/>
      <c r="D178" s="249"/>
      <c r="E178" s="286"/>
      <c r="F178" s="209"/>
      <c r="G178" s="281"/>
      <c r="H178" s="126"/>
      <c r="I178" s="13"/>
      <c r="J178" s="144"/>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row>
    <row r="179" spans="1:66" x14ac:dyDescent="0.2">
      <c r="C179" s="11"/>
      <c r="F179" s="209"/>
      <c r="G179" s="281"/>
    </row>
    <row r="180" spans="1:66" x14ac:dyDescent="0.2">
      <c r="C180" s="11"/>
      <c r="F180" s="209"/>
      <c r="G180" s="281"/>
    </row>
    <row r="181" spans="1:66" x14ac:dyDescent="0.2">
      <c r="C181" s="11"/>
      <c r="F181" s="209"/>
      <c r="G181" s="281"/>
    </row>
    <row r="182" spans="1:66" x14ac:dyDescent="0.2">
      <c r="C182" s="11"/>
      <c r="F182" s="209"/>
      <c r="G182" s="281"/>
    </row>
    <row r="183" spans="1:66" x14ac:dyDescent="0.2">
      <c r="C183" s="11"/>
      <c r="F183" s="209"/>
      <c r="G183" s="281"/>
    </row>
    <row r="184" spans="1:66" x14ac:dyDescent="0.2">
      <c r="C184" s="11"/>
      <c r="F184" s="209"/>
      <c r="G184" s="281"/>
    </row>
    <row r="185" spans="1:66" x14ac:dyDescent="0.2">
      <c r="F185" s="209"/>
      <c r="G185" s="281"/>
    </row>
    <row r="186" spans="1:66" x14ac:dyDescent="0.2">
      <c r="F186" s="209"/>
      <c r="G186" s="281"/>
    </row>
    <row r="187" spans="1:66" x14ac:dyDescent="0.2">
      <c r="F187" s="209"/>
      <c r="G187" s="281"/>
    </row>
    <row r="188" spans="1:66" x14ac:dyDescent="0.2">
      <c r="F188" s="209"/>
      <c r="G188" s="281"/>
    </row>
    <row r="189" spans="1:66" x14ac:dyDescent="0.2">
      <c r="F189" s="209"/>
      <c r="G189" s="281"/>
    </row>
    <row r="190" spans="1:66" x14ac:dyDescent="0.2">
      <c r="F190" s="209"/>
      <c r="G190" s="281"/>
    </row>
    <row r="191" spans="1:66" x14ac:dyDescent="0.2">
      <c r="F191" s="209"/>
      <c r="G191" s="281"/>
    </row>
    <row r="192" spans="1:66" x14ac:dyDescent="0.2">
      <c r="F192" s="209"/>
      <c r="G192" s="281"/>
    </row>
    <row r="193" spans="6:7" x14ac:dyDescent="0.2">
      <c r="F193" s="209"/>
      <c r="G193" s="281"/>
    </row>
    <row r="194" spans="6:7" x14ac:dyDescent="0.2">
      <c r="F194" s="209"/>
      <c r="G194" s="281"/>
    </row>
    <row r="195" spans="6:7" x14ac:dyDescent="0.2">
      <c r="F195" s="209"/>
      <c r="G195" s="281"/>
    </row>
    <row r="196" spans="6:7" x14ac:dyDescent="0.2">
      <c r="F196" s="209"/>
      <c r="G196" s="281"/>
    </row>
    <row r="197" spans="6:7" x14ac:dyDescent="0.2">
      <c r="F197" s="209"/>
      <c r="G197" s="281"/>
    </row>
    <row r="198" spans="6:7" x14ac:dyDescent="0.2">
      <c r="F198" s="209"/>
      <c r="G198" s="281"/>
    </row>
    <row r="199" spans="6:7" x14ac:dyDescent="0.2">
      <c r="F199" s="209"/>
      <c r="G199" s="281"/>
    </row>
    <row r="200" spans="6:7" x14ac:dyDescent="0.2">
      <c r="F200" s="209"/>
      <c r="G200" s="281"/>
    </row>
    <row r="201" spans="6:7" x14ac:dyDescent="0.2">
      <c r="F201" s="209"/>
      <c r="G201" s="281"/>
    </row>
    <row r="202" spans="6:7" x14ac:dyDescent="0.2">
      <c r="F202" s="209"/>
      <c r="G202" s="281"/>
    </row>
    <row r="203" spans="6:7" x14ac:dyDescent="0.2">
      <c r="F203" s="209"/>
      <c r="G203" s="281"/>
    </row>
    <row r="204" spans="6:7" x14ac:dyDescent="0.2">
      <c r="F204" s="209"/>
      <c r="G204" s="281"/>
    </row>
    <row r="205" spans="6:7" x14ac:dyDescent="0.2">
      <c r="F205" s="209"/>
      <c r="G205" s="281"/>
    </row>
    <row r="206" spans="6:7" x14ac:dyDescent="0.2">
      <c r="F206" s="209"/>
      <c r="G206" s="281"/>
    </row>
    <row r="207" spans="6:7" x14ac:dyDescent="0.2">
      <c r="F207" s="209"/>
      <c r="G207" s="281"/>
    </row>
    <row r="208" spans="6:7" x14ac:dyDescent="0.2">
      <c r="F208" s="209"/>
      <c r="G208" s="281"/>
    </row>
    <row r="209" spans="6:7" x14ac:dyDescent="0.2">
      <c r="F209" s="209"/>
      <c r="G209" s="281"/>
    </row>
    <row r="210" spans="6:7" x14ac:dyDescent="0.2">
      <c r="F210" s="209"/>
      <c r="G210" s="281"/>
    </row>
    <row r="211" spans="6:7" x14ac:dyDescent="0.2">
      <c r="F211" s="209"/>
      <c r="G211" s="281"/>
    </row>
    <row r="212" spans="6:7" x14ac:dyDescent="0.2">
      <c r="F212" s="209"/>
      <c r="G212" s="281"/>
    </row>
    <row r="213" spans="6:7" x14ac:dyDescent="0.2">
      <c r="F213" s="209"/>
      <c r="G213" s="281"/>
    </row>
    <row r="214" spans="6:7" x14ac:dyDescent="0.2">
      <c r="F214" s="209"/>
      <c r="G214" s="281"/>
    </row>
    <row r="215" spans="6:7" x14ac:dyDescent="0.2">
      <c r="F215" s="209"/>
      <c r="G215" s="281"/>
    </row>
    <row r="216" spans="6:7" x14ac:dyDescent="0.2">
      <c r="F216" s="209"/>
      <c r="G216" s="281"/>
    </row>
    <row r="217" spans="6:7" x14ac:dyDescent="0.2">
      <c r="F217" s="209"/>
      <c r="G217" s="281"/>
    </row>
    <row r="218" spans="6:7" x14ac:dyDescent="0.2">
      <c r="F218" s="209"/>
      <c r="G218" s="281"/>
    </row>
    <row r="219" spans="6:7" x14ac:dyDescent="0.2">
      <c r="F219" s="209"/>
      <c r="G219" s="281"/>
    </row>
    <row r="220" spans="6:7" x14ac:dyDescent="0.2">
      <c r="F220" s="209"/>
      <c r="G220" s="281"/>
    </row>
    <row r="221" spans="6:7" x14ac:dyDescent="0.2">
      <c r="F221" s="209"/>
      <c r="G221" s="281"/>
    </row>
    <row r="222" spans="6:7" x14ac:dyDescent="0.2">
      <c r="F222" s="209"/>
      <c r="G222" s="281"/>
    </row>
    <row r="223" spans="6:7" x14ac:dyDescent="0.2">
      <c r="F223" s="209"/>
      <c r="G223" s="281"/>
    </row>
    <row r="224" spans="6:7" x14ac:dyDescent="0.2">
      <c r="F224" s="209"/>
      <c r="G224" s="281"/>
    </row>
    <row r="225" spans="6:7" x14ac:dyDescent="0.2">
      <c r="F225" s="209"/>
      <c r="G225" s="281"/>
    </row>
    <row r="226" spans="6:7" x14ac:dyDescent="0.2">
      <c r="F226" s="209"/>
      <c r="G226" s="281"/>
    </row>
    <row r="227" spans="6:7" x14ac:dyDescent="0.2">
      <c r="F227" s="209"/>
      <c r="G227" s="281"/>
    </row>
    <row r="228" spans="6:7" x14ac:dyDescent="0.2">
      <c r="F228" s="209"/>
      <c r="G228" s="281"/>
    </row>
    <row r="229" spans="6:7" x14ac:dyDescent="0.2">
      <c r="F229" s="209"/>
      <c r="G229" s="281"/>
    </row>
    <row r="230" spans="6:7" x14ac:dyDescent="0.2">
      <c r="F230" s="209"/>
      <c r="G230" s="281"/>
    </row>
    <row r="231" spans="6:7" x14ac:dyDescent="0.2">
      <c r="F231" s="209"/>
      <c r="G231" s="281"/>
    </row>
    <row r="232" spans="6:7" x14ac:dyDescent="0.2">
      <c r="F232" s="209"/>
      <c r="G232" s="281"/>
    </row>
    <row r="233" spans="6:7" x14ac:dyDescent="0.2">
      <c r="F233" s="209"/>
      <c r="G233" s="281"/>
    </row>
    <row r="234" spans="6:7" x14ac:dyDescent="0.2">
      <c r="F234" s="209"/>
      <c r="G234" s="281"/>
    </row>
    <row r="235" spans="6:7" x14ac:dyDescent="0.2">
      <c r="F235" s="209"/>
      <c r="G235" s="281"/>
    </row>
    <row r="236" spans="6:7" x14ac:dyDescent="0.2">
      <c r="F236" s="209"/>
      <c r="G236" s="281"/>
    </row>
    <row r="237" spans="6:7" x14ac:dyDescent="0.2">
      <c r="F237" s="209"/>
      <c r="G237" s="281"/>
    </row>
    <row r="238" spans="6:7" x14ac:dyDescent="0.2">
      <c r="F238" s="209"/>
      <c r="G238" s="281"/>
    </row>
    <row r="239" spans="6:7" x14ac:dyDescent="0.2">
      <c r="F239" s="209"/>
      <c r="G239" s="281"/>
    </row>
    <row r="240" spans="6:7" x14ac:dyDescent="0.2">
      <c r="F240" s="209"/>
      <c r="G240" s="281"/>
    </row>
    <row r="241" spans="6:7" x14ac:dyDescent="0.2">
      <c r="F241" s="209"/>
      <c r="G241" s="281"/>
    </row>
    <row r="242" spans="6:7" x14ac:dyDescent="0.2">
      <c r="F242" s="209"/>
      <c r="G242" s="281"/>
    </row>
    <row r="243" spans="6:7" x14ac:dyDescent="0.2">
      <c r="F243" s="209"/>
      <c r="G243" s="281"/>
    </row>
    <row r="244" spans="6:7" x14ac:dyDescent="0.2">
      <c r="F244" s="209"/>
      <c r="G244" s="281"/>
    </row>
    <row r="245" spans="6:7" x14ac:dyDescent="0.2">
      <c r="F245" s="209"/>
      <c r="G245" s="281"/>
    </row>
    <row r="246" spans="6:7" x14ac:dyDescent="0.2">
      <c r="F246" s="209"/>
      <c r="G246" s="281"/>
    </row>
    <row r="247" spans="6:7" x14ac:dyDescent="0.2">
      <c r="F247" s="209"/>
      <c r="G247" s="281"/>
    </row>
    <row r="248" spans="6:7" x14ac:dyDescent="0.2">
      <c r="F248" s="209"/>
      <c r="G248" s="281"/>
    </row>
    <row r="249" spans="6:7" x14ac:dyDescent="0.2">
      <c r="F249" s="209"/>
      <c r="G249" s="281"/>
    </row>
    <row r="250" spans="6:7" x14ac:dyDescent="0.2">
      <c r="F250" s="209"/>
      <c r="G250" s="281"/>
    </row>
    <row r="251" spans="6:7" x14ac:dyDescent="0.2">
      <c r="F251" s="209"/>
      <c r="G251" s="281"/>
    </row>
    <row r="252" spans="6:7" x14ac:dyDescent="0.2">
      <c r="F252" s="209"/>
      <c r="G252" s="281"/>
    </row>
    <row r="253" spans="6:7" x14ac:dyDescent="0.2">
      <c r="F253" s="209"/>
      <c r="G253" s="281"/>
    </row>
    <row r="254" spans="6:7" x14ac:dyDescent="0.2">
      <c r="F254" s="209"/>
      <c r="G254" s="281"/>
    </row>
    <row r="255" spans="6:7" x14ac:dyDescent="0.2">
      <c r="F255" s="209"/>
      <c r="G255" s="281"/>
    </row>
    <row r="256" spans="6:7" x14ac:dyDescent="0.2">
      <c r="F256" s="209"/>
      <c r="G256" s="281"/>
    </row>
    <row r="257" spans="6:7" x14ac:dyDescent="0.2">
      <c r="F257" s="209"/>
      <c r="G257" s="281"/>
    </row>
    <row r="258" spans="6:7" x14ac:dyDescent="0.2">
      <c r="F258" s="209"/>
      <c r="G258" s="281"/>
    </row>
    <row r="259" spans="6:7" x14ac:dyDescent="0.2">
      <c r="F259" s="209"/>
      <c r="G259" s="281"/>
    </row>
    <row r="260" spans="6:7" x14ac:dyDescent="0.2">
      <c r="F260" s="209"/>
      <c r="G260" s="281"/>
    </row>
    <row r="261" spans="6:7" x14ac:dyDescent="0.2">
      <c r="F261" s="209"/>
      <c r="G261" s="281"/>
    </row>
    <row r="262" spans="6:7" x14ac:dyDescent="0.2">
      <c r="F262" s="209"/>
      <c r="G262" s="281"/>
    </row>
    <row r="263" spans="6:7" x14ac:dyDescent="0.2">
      <c r="F263" s="209"/>
      <c r="G263" s="281"/>
    </row>
    <row r="264" spans="6:7" x14ac:dyDescent="0.2">
      <c r="F264" s="209"/>
      <c r="G264" s="281"/>
    </row>
    <row r="265" spans="6:7" x14ac:dyDescent="0.2">
      <c r="F265" s="209"/>
      <c r="G265" s="281"/>
    </row>
    <row r="266" spans="6:7" x14ac:dyDescent="0.2">
      <c r="F266" s="209"/>
      <c r="G266" s="281"/>
    </row>
    <row r="267" spans="6:7" x14ac:dyDescent="0.2">
      <c r="F267" s="209"/>
      <c r="G267" s="281"/>
    </row>
    <row r="268" spans="6:7" x14ac:dyDescent="0.2">
      <c r="F268" s="209"/>
      <c r="G268" s="281"/>
    </row>
    <row r="269" spans="6:7" x14ac:dyDescent="0.2">
      <c r="F269" s="209"/>
      <c r="G269" s="281"/>
    </row>
    <row r="270" spans="6:7" x14ac:dyDescent="0.2">
      <c r="F270" s="209"/>
      <c r="G270" s="281"/>
    </row>
    <row r="271" spans="6:7" x14ac:dyDescent="0.2">
      <c r="F271" s="209"/>
      <c r="G271" s="281"/>
    </row>
    <row r="272" spans="6:7" x14ac:dyDescent="0.2">
      <c r="F272" s="209"/>
      <c r="G272" s="281"/>
    </row>
    <row r="273" spans="6:7" x14ac:dyDescent="0.2">
      <c r="F273" s="209"/>
      <c r="G273" s="281"/>
    </row>
    <row r="274" spans="6:7" x14ac:dyDescent="0.2">
      <c r="F274" s="209"/>
      <c r="G274" s="281"/>
    </row>
    <row r="275" spans="6:7" x14ac:dyDescent="0.2">
      <c r="F275" s="209"/>
      <c r="G275" s="281"/>
    </row>
    <row r="276" spans="6:7" x14ac:dyDescent="0.2">
      <c r="F276" s="209"/>
      <c r="G276" s="281"/>
    </row>
    <row r="277" spans="6:7" x14ac:dyDescent="0.2">
      <c r="F277" s="209"/>
      <c r="G277" s="281"/>
    </row>
    <row r="278" spans="6:7" x14ac:dyDescent="0.2">
      <c r="F278" s="209"/>
      <c r="G278" s="281"/>
    </row>
    <row r="279" spans="6:7" x14ac:dyDescent="0.2">
      <c r="F279" s="209"/>
      <c r="G279" s="281"/>
    </row>
    <row r="280" spans="6:7" x14ac:dyDescent="0.2">
      <c r="F280" s="209"/>
      <c r="G280" s="281"/>
    </row>
    <row r="281" spans="6:7" x14ac:dyDescent="0.2">
      <c r="F281" s="209"/>
      <c r="G281" s="281"/>
    </row>
    <row r="282" spans="6:7" x14ac:dyDescent="0.2">
      <c r="F282" s="209"/>
      <c r="G282" s="281"/>
    </row>
    <row r="283" spans="6:7" x14ac:dyDescent="0.2">
      <c r="F283" s="209"/>
      <c r="G283" s="281"/>
    </row>
    <row r="284" spans="6:7" x14ac:dyDescent="0.2">
      <c r="F284" s="209"/>
      <c r="G284" s="281"/>
    </row>
    <row r="285" spans="6:7" x14ac:dyDescent="0.2">
      <c r="F285" s="209"/>
      <c r="G285" s="281"/>
    </row>
    <row r="286" spans="6:7" x14ac:dyDescent="0.2">
      <c r="F286" s="209"/>
      <c r="G286" s="281"/>
    </row>
    <row r="287" spans="6:7" x14ac:dyDescent="0.2">
      <c r="F287" s="209"/>
      <c r="G287" s="281"/>
    </row>
    <row r="288" spans="6:7" x14ac:dyDescent="0.2">
      <c r="F288" s="209"/>
      <c r="G288" s="281"/>
    </row>
    <row r="289" spans="6:7" x14ac:dyDescent="0.2">
      <c r="F289" s="209"/>
      <c r="G289" s="281"/>
    </row>
    <row r="290" spans="6:7" x14ac:dyDescent="0.2">
      <c r="F290" s="209"/>
      <c r="G290" s="281"/>
    </row>
    <row r="291" spans="6:7" x14ac:dyDescent="0.2">
      <c r="F291" s="209"/>
      <c r="G291" s="281"/>
    </row>
    <row r="292" spans="6:7" x14ac:dyDescent="0.2">
      <c r="F292" s="209"/>
      <c r="G292" s="281"/>
    </row>
    <row r="293" spans="6:7" x14ac:dyDescent="0.2">
      <c r="F293" s="209"/>
      <c r="G293" s="281"/>
    </row>
    <row r="294" spans="6:7" x14ac:dyDescent="0.2">
      <c r="F294" s="209"/>
      <c r="G294" s="281"/>
    </row>
    <row r="295" spans="6:7" x14ac:dyDescent="0.2">
      <c r="F295" s="209"/>
      <c r="G295" s="281"/>
    </row>
    <row r="296" spans="6:7" x14ac:dyDescent="0.2">
      <c r="F296" s="209"/>
      <c r="G296" s="281"/>
    </row>
    <row r="297" spans="6:7" x14ac:dyDescent="0.2">
      <c r="F297" s="209"/>
      <c r="G297" s="281"/>
    </row>
    <row r="298" spans="6:7" x14ac:dyDescent="0.2">
      <c r="F298" s="209"/>
      <c r="G298" s="281"/>
    </row>
    <row r="299" spans="6:7" x14ac:dyDescent="0.2">
      <c r="F299" s="209"/>
      <c r="G299" s="281"/>
    </row>
    <row r="300" spans="6:7" x14ac:dyDescent="0.2">
      <c r="F300" s="209"/>
      <c r="G300" s="281"/>
    </row>
    <row r="301" spans="6:7" x14ac:dyDescent="0.2">
      <c r="F301" s="209"/>
      <c r="G301" s="281"/>
    </row>
    <row r="302" spans="6:7" x14ac:dyDescent="0.2">
      <c r="F302" s="209"/>
      <c r="G302" s="281"/>
    </row>
    <row r="303" spans="6:7" x14ac:dyDescent="0.2">
      <c r="F303" s="209"/>
      <c r="G303" s="281"/>
    </row>
    <row r="304" spans="6:7" x14ac:dyDescent="0.2">
      <c r="F304" s="209"/>
      <c r="G304" s="281"/>
    </row>
    <row r="305" spans="6:7" x14ac:dyDescent="0.2">
      <c r="F305" s="209"/>
      <c r="G305" s="281"/>
    </row>
    <row r="306" spans="6:7" x14ac:dyDescent="0.2">
      <c r="F306" s="209"/>
      <c r="G306" s="281"/>
    </row>
    <row r="307" spans="6:7" x14ac:dyDescent="0.2">
      <c r="F307" s="209"/>
      <c r="G307" s="281"/>
    </row>
    <row r="308" spans="6:7" x14ac:dyDescent="0.2">
      <c r="F308" s="209"/>
      <c r="G308" s="281"/>
    </row>
    <row r="309" spans="6:7" x14ac:dyDescent="0.2">
      <c r="F309" s="209"/>
      <c r="G309" s="281"/>
    </row>
    <row r="310" spans="6:7" x14ac:dyDescent="0.2">
      <c r="F310" s="209"/>
      <c r="G310" s="281"/>
    </row>
    <row r="311" spans="6:7" x14ac:dyDescent="0.2">
      <c r="F311" s="209"/>
      <c r="G311" s="281"/>
    </row>
    <row r="312" spans="6:7" x14ac:dyDescent="0.2">
      <c r="F312" s="209"/>
      <c r="G312" s="281"/>
    </row>
    <row r="313" spans="6:7" x14ac:dyDescent="0.2">
      <c r="F313" s="209"/>
      <c r="G313" s="281"/>
    </row>
    <row r="314" spans="6:7" x14ac:dyDescent="0.2">
      <c r="F314" s="209"/>
      <c r="G314" s="281"/>
    </row>
    <row r="315" spans="6:7" x14ac:dyDescent="0.2">
      <c r="F315" s="209"/>
      <c r="G315" s="281"/>
    </row>
    <row r="316" spans="6:7" x14ac:dyDescent="0.2">
      <c r="F316" s="209"/>
      <c r="G316" s="281"/>
    </row>
    <row r="317" spans="6:7" x14ac:dyDescent="0.2">
      <c r="F317" s="209"/>
      <c r="G317" s="281"/>
    </row>
    <row r="318" spans="6:7" x14ac:dyDescent="0.2">
      <c r="F318" s="209"/>
      <c r="G318" s="281"/>
    </row>
    <row r="319" spans="6:7" x14ac:dyDescent="0.2">
      <c r="F319" s="209"/>
      <c r="G319" s="281"/>
    </row>
    <row r="320" spans="6:7" x14ac:dyDescent="0.2">
      <c r="F320" s="209"/>
      <c r="G320" s="281"/>
    </row>
    <row r="321" spans="6:7" x14ac:dyDescent="0.2">
      <c r="F321" s="209"/>
      <c r="G321" s="281"/>
    </row>
    <row r="322" spans="6:7" x14ac:dyDescent="0.2">
      <c r="F322" s="209"/>
      <c r="G322" s="281"/>
    </row>
    <row r="323" spans="6:7" x14ac:dyDescent="0.2">
      <c r="F323" s="209"/>
      <c r="G323" s="281"/>
    </row>
    <row r="324" spans="6:7" x14ac:dyDescent="0.2">
      <c r="F324" s="209"/>
      <c r="G324" s="281"/>
    </row>
    <row r="325" spans="6:7" x14ac:dyDescent="0.2">
      <c r="F325" s="209"/>
      <c r="G325" s="281"/>
    </row>
    <row r="326" spans="6:7" x14ac:dyDescent="0.2">
      <c r="F326" s="209"/>
      <c r="G326" s="281"/>
    </row>
    <row r="327" spans="6:7" x14ac:dyDescent="0.2">
      <c r="F327" s="209"/>
      <c r="G327" s="281"/>
    </row>
    <row r="328" spans="6:7" x14ac:dyDescent="0.2">
      <c r="F328" s="209"/>
      <c r="G328" s="281"/>
    </row>
    <row r="329" spans="6:7" x14ac:dyDescent="0.2">
      <c r="F329" s="209"/>
      <c r="G329" s="281"/>
    </row>
    <row r="330" spans="6:7" x14ac:dyDescent="0.2">
      <c r="F330" s="209"/>
      <c r="G330" s="281"/>
    </row>
    <row r="331" spans="6:7" x14ac:dyDescent="0.2">
      <c r="F331" s="209"/>
      <c r="G331" s="281"/>
    </row>
    <row r="332" spans="6:7" x14ac:dyDescent="0.2">
      <c r="F332" s="209"/>
      <c r="G332" s="281"/>
    </row>
    <row r="333" spans="6:7" x14ac:dyDescent="0.2">
      <c r="F333" s="209"/>
      <c r="G333" s="281"/>
    </row>
    <row r="334" spans="6:7" x14ac:dyDescent="0.2">
      <c r="F334" s="209"/>
      <c r="G334" s="281"/>
    </row>
    <row r="335" spans="6:7" x14ac:dyDescent="0.2">
      <c r="F335" s="209"/>
      <c r="G335" s="281"/>
    </row>
    <row r="336" spans="6:7" x14ac:dyDescent="0.2">
      <c r="F336" s="209"/>
      <c r="G336" s="281"/>
    </row>
    <row r="337" spans="6:7" x14ac:dyDescent="0.2">
      <c r="F337" s="209"/>
      <c r="G337" s="281"/>
    </row>
    <row r="338" spans="6:7" x14ac:dyDescent="0.2">
      <c r="F338" s="209"/>
      <c r="G338" s="281"/>
    </row>
    <row r="339" spans="6:7" x14ac:dyDescent="0.2">
      <c r="F339" s="209"/>
      <c r="G339" s="281"/>
    </row>
    <row r="340" spans="6:7" x14ac:dyDescent="0.2">
      <c r="F340" s="209"/>
      <c r="G340" s="281"/>
    </row>
    <row r="341" spans="6:7" x14ac:dyDescent="0.2">
      <c r="F341" s="209"/>
      <c r="G341" s="281"/>
    </row>
    <row r="342" spans="6:7" x14ac:dyDescent="0.2">
      <c r="F342" s="209"/>
      <c r="G342" s="281"/>
    </row>
    <row r="343" spans="6:7" x14ac:dyDescent="0.2">
      <c r="F343" s="209"/>
      <c r="G343" s="281"/>
    </row>
    <row r="344" spans="6:7" x14ac:dyDescent="0.2">
      <c r="F344" s="209"/>
      <c r="G344" s="281"/>
    </row>
    <row r="345" spans="6:7" x14ac:dyDescent="0.2">
      <c r="F345" s="209"/>
      <c r="G345" s="281"/>
    </row>
    <row r="346" spans="6:7" x14ac:dyDescent="0.2">
      <c r="F346" s="209"/>
      <c r="G346" s="281"/>
    </row>
    <row r="347" spans="6:7" x14ac:dyDescent="0.2">
      <c r="F347" s="209"/>
      <c r="G347" s="281"/>
    </row>
    <row r="348" spans="6:7" x14ac:dyDescent="0.2">
      <c r="F348" s="209"/>
      <c r="G348" s="281"/>
    </row>
    <row r="349" spans="6:7" x14ac:dyDescent="0.2">
      <c r="F349" s="209"/>
      <c r="G349" s="281"/>
    </row>
    <row r="350" spans="6:7" x14ac:dyDescent="0.2">
      <c r="F350" s="209"/>
      <c r="G350" s="281"/>
    </row>
    <row r="351" spans="6:7" x14ac:dyDescent="0.2">
      <c r="F351" s="209"/>
      <c r="G351" s="281"/>
    </row>
    <row r="352" spans="6:7" x14ac:dyDescent="0.2">
      <c r="F352" s="209"/>
      <c r="G352" s="281"/>
    </row>
    <row r="353" spans="6:7" x14ac:dyDescent="0.2">
      <c r="F353" s="209"/>
      <c r="G353" s="281"/>
    </row>
    <row r="354" spans="6:7" x14ac:dyDescent="0.2">
      <c r="F354" s="209"/>
      <c r="G354" s="281"/>
    </row>
    <row r="355" spans="6:7" x14ac:dyDescent="0.2">
      <c r="F355" s="209"/>
      <c r="G355" s="281"/>
    </row>
    <row r="356" spans="6:7" x14ac:dyDescent="0.2">
      <c r="F356" s="209"/>
      <c r="G356" s="281"/>
    </row>
    <row r="357" spans="6:7" x14ac:dyDescent="0.2">
      <c r="F357" s="209"/>
      <c r="G357" s="281"/>
    </row>
    <row r="358" spans="6:7" x14ac:dyDescent="0.2">
      <c r="F358" s="209"/>
      <c r="G358" s="281"/>
    </row>
    <row r="359" spans="6:7" x14ac:dyDescent="0.2">
      <c r="F359" s="209"/>
      <c r="G359" s="281"/>
    </row>
    <row r="360" spans="6:7" x14ac:dyDescent="0.2">
      <c r="F360" s="209"/>
      <c r="G360" s="281"/>
    </row>
    <row r="361" spans="6:7" x14ac:dyDescent="0.2">
      <c r="F361" s="209"/>
      <c r="G361" s="281"/>
    </row>
    <row r="362" spans="6:7" x14ac:dyDescent="0.2">
      <c r="F362" s="209"/>
      <c r="G362" s="281"/>
    </row>
    <row r="363" spans="6:7" x14ac:dyDescent="0.2">
      <c r="F363" s="209"/>
      <c r="G363" s="281"/>
    </row>
    <row r="364" spans="6:7" x14ac:dyDescent="0.2">
      <c r="F364" s="209"/>
      <c r="G364" s="281"/>
    </row>
    <row r="365" spans="6:7" x14ac:dyDescent="0.2">
      <c r="F365" s="209"/>
      <c r="G365" s="281"/>
    </row>
    <row r="366" spans="6:7" x14ac:dyDescent="0.2">
      <c r="F366" s="209"/>
      <c r="G366" s="281"/>
    </row>
    <row r="367" spans="6:7" x14ac:dyDescent="0.2">
      <c r="F367" s="209"/>
      <c r="G367" s="281"/>
    </row>
    <row r="368" spans="6:7" x14ac:dyDescent="0.2">
      <c r="F368" s="209"/>
      <c r="G368" s="281"/>
    </row>
    <row r="369" spans="6:7" x14ac:dyDescent="0.2">
      <c r="F369" s="209"/>
      <c r="G369" s="281"/>
    </row>
    <row r="370" spans="6:7" x14ac:dyDescent="0.2">
      <c r="F370" s="209"/>
      <c r="G370" s="281"/>
    </row>
    <row r="371" spans="6:7" x14ac:dyDescent="0.2">
      <c r="F371" s="209"/>
      <c r="G371" s="281"/>
    </row>
    <row r="372" spans="6:7" x14ac:dyDescent="0.2">
      <c r="F372" s="209"/>
      <c r="G372" s="281"/>
    </row>
    <row r="373" spans="6:7" x14ac:dyDescent="0.2">
      <c r="F373" s="209"/>
      <c r="G373" s="281"/>
    </row>
    <row r="374" spans="6:7" x14ac:dyDescent="0.2">
      <c r="F374" s="209"/>
      <c r="G374" s="281"/>
    </row>
    <row r="375" spans="6:7" x14ac:dyDescent="0.2">
      <c r="F375" s="209"/>
      <c r="G375" s="281"/>
    </row>
    <row r="376" spans="6:7" x14ac:dyDescent="0.2">
      <c r="F376" s="209"/>
      <c r="G376" s="281"/>
    </row>
    <row r="377" spans="6:7" x14ac:dyDescent="0.2">
      <c r="F377" s="209"/>
      <c r="G377" s="281"/>
    </row>
    <row r="378" spans="6:7" x14ac:dyDescent="0.2">
      <c r="F378" s="209"/>
      <c r="G378" s="281"/>
    </row>
    <row r="379" spans="6:7" x14ac:dyDescent="0.2">
      <c r="F379" s="209"/>
      <c r="G379" s="281"/>
    </row>
    <row r="380" spans="6:7" x14ac:dyDescent="0.2">
      <c r="F380" s="209"/>
      <c r="G380" s="281"/>
    </row>
    <row r="381" spans="6:7" x14ac:dyDescent="0.2">
      <c r="F381" s="209"/>
      <c r="G381" s="281"/>
    </row>
    <row r="382" spans="6:7" x14ac:dyDescent="0.2">
      <c r="F382" s="209"/>
      <c r="G382" s="281"/>
    </row>
    <row r="383" spans="6:7" x14ac:dyDescent="0.2">
      <c r="F383" s="209"/>
      <c r="G383" s="281"/>
    </row>
    <row r="384" spans="6:7" x14ac:dyDescent="0.2">
      <c r="F384" s="209"/>
      <c r="G384" s="281"/>
    </row>
    <row r="385" spans="6:7" x14ac:dyDescent="0.2">
      <c r="F385" s="209"/>
      <c r="G385" s="281"/>
    </row>
    <row r="386" spans="6:7" x14ac:dyDescent="0.2">
      <c r="F386" s="209"/>
      <c r="G386" s="281"/>
    </row>
    <row r="387" spans="6:7" x14ac:dyDescent="0.2">
      <c r="F387" s="209"/>
      <c r="G387" s="281"/>
    </row>
    <row r="388" spans="6:7" x14ac:dyDescent="0.2">
      <c r="F388" s="209"/>
      <c r="G388" s="281"/>
    </row>
    <row r="389" spans="6:7" x14ac:dyDescent="0.2">
      <c r="F389" s="209"/>
      <c r="G389" s="281"/>
    </row>
    <row r="390" spans="6:7" x14ac:dyDescent="0.2">
      <c r="F390" s="209"/>
      <c r="G390" s="281"/>
    </row>
    <row r="391" spans="6:7" x14ac:dyDescent="0.2">
      <c r="F391" s="209"/>
      <c r="G391" s="281"/>
    </row>
    <row r="392" spans="6:7" x14ac:dyDescent="0.2">
      <c r="F392" s="209"/>
      <c r="G392" s="281"/>
    </row>
    <row r="393" spans="6:7" x14ac:dyDescent="0.2">
      <c r="F393" s="209"/>
      <c r="G393" s="281"/>
    </row>
    <row r="394" spans="6:7" x14ac:dyDescent="0.2">
      <c r="F394" s="209"/>
      <c r="G394" s="281"/>
    </row>
    <row r="395" spans="6:7" x14ac:dyDescent="0.2">
      <c r="F395" s="209"/>
      <c r="G395" s="281"/>
    </row>
    <row r="396" spans="6:7" x14ac:dyDescent="0.2">
      <c r="F396" s="209"/>
      <c r="G396" s="281"/>
    </row>
    <row r="397" spans="6:7" x14ac:dyDescent="0.2">
      <c r="F397" s="209"/>
      <c r="G397" s="281"/>
    </row>
    <row r="398" spans="6:7" x14ac:dyDescent="0.2">
      <c r="F398" s="209"/>
      <c r="G398" s="281"/>
    </row>
    <row r="399" spans="6:7" x14ac:dyDescent="0.2">
      <c r="F399" s="209"/>
      <c r="G399" s="281"/>
    </row>
    <row r="400" spans="6:7" x14ac:dyDescent="0.2">
      <c r="F400" s="209"/>
      <c r="G400" s="281"/>
    </row>
    <row r="401" spans="6:7" x14ac:dyDescent="0.2">
      <c r="F401" s="209"/>
      <c r="G401" s="281"/>
    </row>
    <row r="402" spans="6:7" x14ac:dyDescent="0.2">
      <c r="F402" s="209"/>
      <c r="G402" s="281"/>
    </row>
    <row r="403" spans="6:7" x14ac:dyDescent="0.2">
      <c r="F403" s="209"/>
      <c r="G403" s="281"/>
    </row>
    <row r="404" spans="6:7" x14ac:dyDescent="0.2">
      <c r="F404" s="209"/>
      <c r="G404" s="281"/>
    </row>
    <row r="405" spans="6:7" x14ac:dyDescent="0.2">
      <c r="F405" s="209"/>
      <c r="G405" s="281"/>
    </row>
    <row r="406" spans="6:7" x14ac:dyDescent="0.2">
      <c r="F406" s="209"/>
      <c r="G406" s="281"/>
    </row>
    <row r="407" spans="6:7" x14ac:dyDescent="0.2">
      <c r="F407" s="209"/>
      <c r="G407" s="281"/>
    </row>
    <row r="408" spans="6:7" x14ac:dyDescent="0.2">
      <c r="F408" s="209"/>
      <c r="G408" s="281"/>
    </row>
    <row r="409" spans="6:7" x14ac:dyDescent="0.2">
      <c r="F409" s="209"/>
      <c r="G409" s="281"/>
    </row>
    <row r="410" spans="6:7" x14ac:dyDescent="0.2">
      <c r="F410" s="209"/>
      <c r="G410" s="281"/>
    </row>
    <row r="411" spans="6:7" x14ac:dyDescent="0.2">
      <c r="F411" s="209"/>
      <c r="G411" s="281"/>
    </row>
    <row r="412" spans="6:7" x14ac:dyDescent="0.2">
      <c r="F412" s="209"/>
      <c r="G412" s="281"/>
    </row>
    <row r="413" spans="6:7" x14ac:dyDescent="0.2">
      <c r="F413" s="209"/>
      <c r="G413" s="281"/>
    </row>
    <row r="414" spans="6:7" x14ac:dyDescent="0.2">
      <c r="F414" s="209"/>
      <c r="G414" s="281"/>
    </row>
    <row r="415" spans="6:7" x14ac:dyDescent="0.2">
      <c r="F415" s="209"/>
      <c r="G415" s="281"/>
    </row>
    <row r="416" spans="6:7" x14ac:dyDescent="0.2">
      <c r="F416" s="209"/>
      <c r="G416" s="281"/>
    </row>
    <row r="417" spans="6:7" x14ac:dyDescent="0.2">
      <c r="F417" s="209"/>
      <c r="G417" s="281"/>
    </row>
    <row r="418" spans="6:7" x14ac:dyDescent="0.2">
      <c r="F418" s="209"/>
      <c r="G418" s="281"/>
    </row>
    <row r="419" spans="6:7" x14ac:dyDescent="0.2">
      <c r="F419" s="209"/>
      <c r="G419" s="281"/>
    </row>
    <row r="420" spans="6:7" x14ac:dyDescent="0.2">
      <c r="F420" s="209"/>
      <c r="G420" s="281"/>
    </row>
    <row r="421" spans="6:7" x14ac:dyDescent="0.2">
      <c r="F421" s="209"/>
      <c r="G421" s="281"/>
    </row>
    <row r="422" spans="6:7" x14ac:dyDescent="0.2">
      <c r="F422" s="209"/>
      <c r="G422" s="281"/>
    </row>
    <row r="423" spans="6:7" x14ac:dyDescent="0.2">
      <c r="F423" s="209"/>
      <c r="G423" s="281"/>
    </row>
    <row r="424" spans="6:7" x14ac:dyDescent="0.2">
      <c r="F424" s="209"/>
      <c r="G424" s="281"/>
    </row>
    <row r="425" spans="6:7" x14ac:dyDescent="0.2">
      <c r="F425" s="209"/>
      <c r="G425" s="281"/>
    </row>
    <row r="426" spans="6:7" x14ac:dyDescent="0.2">
      <c r="F426" s="209"/>
      <c r="G426" s="281"/>
    </row>
    <row r="427" spans="6:7" x14ac:dyDescent="0.2">
      <c r="F427" s="209"/>
      <c r="G427" s="281"/>
    </row>
    <row r="428" spans="6:7" x14ac:dyDescent="0.2">
      <c r="F428" s="209"/>
      <c r="G428" s="281"/>
    </row>
    <row r="429" spans="6:7" x14ac:dyDescent="0.2">
      <c r="F429" s="209"/>
      <c r="G429" s="281"/>
    </row>
    <row r="430" spans="6:7" x14ac:dyDescent="0.2">
      <c r="F430" s="209"/>
      <c r="G430" s="281"/>
    </row>
    <row r="431" spans="6:7" x14ac:dyDescent="0.2">
      <c r="F431" s="209"/>
      <c r="G431" s="281"/>
    </row>
    <row r="432" spans="6:7" x14ac:dyDescent="0.2">
      <c r="F432" s="209"/>
      <c r="G432" s="281"/>
    </row>
    <row r="433" spans="6:7" x14ac:dyDescent="0.2">
      <c r="F433" s="209"/>
      <c r="G433" s="281"/>
    </row>
    <row r="434" spans="6:7" x14ac:dyDescent="0.2">
      <c r="F434" s="209"/>
      <c r="G434" s="281"/>
    </row>
    <row r="435" spans="6:7" x14ac:dyDescent="0.2">
      <c r="F435" s="209"/>
      <c r="G435" s="281"/>
    </row>
    <row r="436" spans="6:7" x14ac:dyDescent="0.2">
      <c r="F436" s="209"/>
      <c r="G436" s="281"/>
    </row>
    <row r="437" spans="6:7" x14ac:dyDescent="0.2">
      <c r="F437" s="209"/>
      <c r="G437" s="281"/>
    </row>
    <row r="438" spans="6:7" x14ac:dyDescent="0.2">
      <c r="F438" s="209"/>
      <c r="G438" s="281"/>
    </row>
    <row r="439" spans="6:7" x14ac:dyDescent="0.2">
      <c r="F439" s="209"/>
      <c r="G439" s="281"/>
    </row>
    <row r="440" spans="6:7" x14ac:dyDescent="0.2">
      <c r="F440" s="209"/>
      <c r="G440" s="281"/>
    </row>
    <row r="441" spans="6:7" x14ac:dyDescent="0.2">
      <c r="F441" s="209"/>
      <c r="G441" s="281"/>
    </row>
    <row r="442" spans="6:7" x14ac:dyDescent="0.2">
      <c r="F442" s="209"/>
      <c r="G442" s="281"/>
    </row>
    <row r="443" spans="6:7" x14ac:dyDescent="0.2">
      <c r="F443" s="209"/>
      <c r="G443" s="281"/>
    </row>
    <row r="444" spans="6:7" x14ac:dyDescent="0.2">
      <c r="F444" s="209"/>
      <c r="G444" s="281"/>
    </row>
    <row r="445" spans="6:7" x14ac:dyDescent="0.2">
      <c r="F445" s="209"/>
      <c r="G445" s="281"/>
    </row>
    <row r="446" spans="6:7" x14ac:dyDescent="0.2">
      <c r="F446" s="209"/>
      <c r="G446" s="281"/>
    </row>
    <row r="447" spans="6:7" x14ac:dyDescent="0.2">
      <c r="F447" s="209"/>
      <c r="G447" s="281"/>
    </row>
    <row r="448" spans="6:7" x14ac:dyDescent="0.2">
      <c r="F448" s="209"/>
      <c r="G448" s="281"/>
    </row>
    <row r="449" spans="6:7" x14ac:dyDescent="0.2">
      <c r="F449" s="209"/>
      <c r="G449" s="281"/>
    </row>
    <row r="450" spans="6:7" x14ac:dyDescent="0.2">
      <c r="F450" s="209"/>
      <c r="G450" s="281"/>
    </row>
    <row r="451" spans="6:7" x14ac:dyDescent="0.2">
      <c r="F451" s="209"/>
      <c r="G451" s="281"/>
    </row>
    <row r="452" spans="6:7" x14ac:dyDescent="0.2">
      <c r="F452" s="209"/>
      <c r="G452" s="281"/>
    </row>
    <row r="453" spans="6:7" x14ac:dyDescent="0.2">
      <c r="F453" s="209"/>
      <c r="G453" s="281"/>
    </row>
    <row r="454" spans="6:7" x14ac:dyDescent="0.2">
      <c r="F454" s="209"/>
      <c r="G454" s="281"/>
    </row>
    <row r="455" spans="6:7" x14ac:dyDescent="0.2">
      <c r="F455" s="209"/>
      <c r="G455" s="281"/>
    </row>
    <row r="456" spans="6:7" x14ac:dyDescent="0.2">
      <c r="F456" s="209"/>
      <c r="G456" s="281"/>
    </row>
    <row r="457" spans="6:7" x14ac:dyDescent="0.2">
      <c r="F457" s="209"/>
      <c r="G457" s="281"/>
    </row>
    <row r="458" spans="6:7" x14ac:dyDescent="0.2">
      <c r="F458" s="209"/>
      <c r="G458" s="281"/>
    </row>
    <row r="459" spans="6:7" x14ac:dyDescent="0.2">
      <c r="F459" s="209"/>
      <c r="G459" s="281"/>
    </row>
    <row r="460" spans="6:7" x14ac:dyDescent="0.2">
      <c r="F460" s="209"/>
      <c r="G460" s="281"/>
    </row>
    <row r="461" spans="6:7" x14ac:dyDescent="0.2">
      <c r="F461" s="209"/>
      <c r="G461" s="281"/>
    </row>
    <row r="462" spans="6:7" x14ac:dyDescent="0.2">
      <c r="F462" s="209"/>
      <c r="G462" s="281"/>
    </row>
    <row r="463" spans="6:7" x14ac:dyDescent="0.2">
      <c r="F463" s="209"/>
      <c r="G463" s="281"/>
    </row>
    <row r="464" spans="6:7" x14ac:dyDescent="0.2">
      <c r="F464" s="209"/>
      <c r="G464" s="281"/>
    </row>
    <row r="465" spans="6:7" x14ac:dyDescent="0.2">
      <c r="F465" s="209"/>
      <c r="G465" s="281"/>
    </row>
    <row r="466" spans="6:7" x14ac:dyDescent="0.2">
      <c r="F466" s="209"/>
      <c r="G466" s="281"/>
    </row>
    <row r="467" spans="6:7" x14ac:dyDescent="0.2">
      <c r="F467" s="209"/>
      <c r="G467" s="281"/>
    </row>
    <row r="468" spans="6:7" x14ac:dyDescent="0.2">
      <c r="F468" s="209"/>
      <c r="G468" s="281"/>
    </row>
    <row r="469" spans="6:7" x14ac:dyDescent="0.2">
      <c r="F469" s="209"/>
      <c r="G469" s="281"/>
    </row>
    <row r="470" spans="6:7" x14ac:dyDescent="0.2">
      <c r="F470" s="209"/>
      <c r="G470" s="281"/>
    </row>
    <row r="471" spans="6:7" x14ac:dyDescent="0.2">
      <c r="F471" s="209"/>
      <c r="G471" s="281"/>
    </row>
    <row r="472" spans="6:7" x14ac:dyDescent="0.2">
      <c r="F472" s="209"/>
      <c r="G472" s="281"/>
    </row>
    <row r="473" spans="6:7" x14ac:dyDescent="0.2">
      <c r="F473" s="209"/>
      <c r="G473" s="281"/>
    </row>
    <row r="474" spans="6:7" x14ac:dyDescent="0.2">
      <c r="F474" s="209"/>
      <c r="G474" s="281"/>
    </row>
    <row r="475" spans="6:7" x14ac:dyDescent="0.2">
      <c r="F475" s="209"/>
      <c r="G475" s="281"/>
    </row>
    <row r="476" spans="6:7" x14ac:dyDescent="0.2">
      <c r="F476" s="209"/>
      <c r="G476" s="281"/>
    </row>
    <row r="477" spans="6:7" x14ac:dyDescent="0.2">
      <c r="F477" s="209"/>
      <c r="G477" s="281"/>
    </row>
    <row r="478" spans="6:7" x14ac:dyDescent="0.2">
      <c r="F478" s="209"/>
      <c r="G478" s="281"/>
    </row>
    <row r="479" spans="6:7" x14ac:dyDescent="0.2">
      <c r="F479" s="209"/>
      <c r="G479" s="281"/>
    </row>
    <row r="480" spans="6:7" x14ac:dyDescent="0.2">
      <c r="F480" s="209"/>
      <c r="G480" s="281"/>
    </row>
    <row r="481" spans="6:7" x14ac:dyDescent="0.2">
      <c r="F481" s="209"/>
      <c r="G481" s="281"/>
    </row>
    <row r="482" spans="6:7" x14ac:dyDescent="0.2">
      <c r="F482" s="209"/>
      <c r="G482" s="281"/>
    </row>
    <row r="483" spans="6:7" x14ac:dyDescent="0.2">
      <c r="F483" s="209"/>
      <c r="G483" s="281"/>
    </row>
    <row r="484" spans="6:7" x14ac:dyDescent="0.2">
      <c r="F484" s="209"/>
      <c r="G484" s="281"/>
    </row>
    <row r="485" spans="6:7" x14ac:dyDescent="0.2">
      <c r="F485" s="209"/>
      <c r="G485" s="281"/>
    </row>
    <row r="486" spans="6:7" x14ac:dyDescent="0.2">
      <c r="F486" s="209"/>
      <c r="G486" s="281"/>
    </row>
    <row r="487" spans="6:7" x14ac:dyDescent="0.2">
      <c r="F487" s="209"/>
      <c r="G487" s="281"/>
    </row>
    <row r="488" spans="6:7" x14ac:dyDescent="0.2">
      <c r="F488" s="209"/>
      <c r="G488" s="281"/>
    </row>
    <row r="489" spans="6:7" x14ac:dyDescent="0.2">
      <c r="F489" s="209"/>
      <c r="G489" s="281"/>
    </row>
    <row r="490" spans="6:7" x14ac:dyDescent="0.2">
      <c r="F490" s="209"/>
      <c r="G490" s="281"/>
    </row>
    <row r="491" spans="6:7" x14ac:dyDescent="0.2">
      <c r="F491" s="209"/>
      <c r="G491" s="281"/>
    </row>
    <row r="492" spans="6:7" x14ac:dyDescent="0.2">
      <c r="F492" s="209"/>
      <c r="G492" s="281"/>
    </row>
    <row r="493" spans="6:7" x14ac:dyDescent="0.2">
      <c r="F493" s="209"/>
      <c r="G493" s="281"/>
    </row>
    <row r="494" spans="6:7" x14ac:dyDescent="0.2">
      <c r="F494" s="209"/>
      <c r="G494" s="281"/>
    </row>
    <row r="495" spans="6:7" x14ac:dyDescent="0.2">
      <c r="F495" s="209"/>
      <c r="G495" s="281"/>
    </row>
    <row r="496" spans="6:7" x14ac:dyDescent="0.2">
      <c r="F496" s="209"/>
      <c r="G496" s="281"/>
    </row>
    <row r="497" spans="6:7" x14ac:dyDescent="0.2">
      <c r="F497" s="209"/>
      <c r="G497" s="281"/>
    </row>
    <row r="498" spans="6:7" x14ac:dyDescent="0.2">
      <c r="F498" s="209"/>
      <c r="G498" s="281"/>
    </row>
    <row r="499" spans="6:7" x14ac:dyDescent="0.2">
      <c r="F499" s="209"/>
      <c r="G499" s="281"/>
    </row>
    <row r="500" spans="6:7" x14ac:dyDescent="0.2">
      <c r="F500" s="209"/>
      <c r="G500" s="281"/>
    </row>
    <row r="501" spans="6:7" x14ac:dyDescent="0.2">
      <c r="F501" s="209"/>
      <c r="G501" s="281"/>
    </row>
    <row r="502" spans="6:7" x14ac:dyDescent="0.2">
      <c r="F502" s="209"/>
      <c r="G502" s="281"/>
    </row>
    <row r="503" spans="6:7" x14ac:dyDescent="0.2">
      <c r="F503" s="209"/>
      <c r="G503" s="281"/>
    </row>
    <row r="504" spans="6:7" x14ac:dyDescent="0.2">
      <c r="F504" s="209"/>
      <c r="G504" s="281"/>
    </row>
    <row r="505" spans="6:7" x14ac:dyDescent="0.2">
      <c r="F505" s="209"/>
      <c r="G505" s="281"/>
    </row>
    <row r="506" spans="6:7" x14ac:dyDescent="0.2">
      <c r="F506" s="209"/>
      <c r="G506" s="281"/>
    </row>
    <row r="507" spans="6:7" x14ac:dyDescent="0.2">
      <c r="F507" s="209"/>
      <c r="G507" s="281"/>
    </row>
    <row r="508" spans="6:7" x14ac:dyDescent="0.2">
      <c r="F508" s="209"/>
      <c r="G508" s="281"/>
    </row>
    <row r="509" spans="6:7" x14ac:dyDescent="0.2">
      <c r="F509" s="209"/>
      <c r="G509" s="281"/>
    </row>
    <row r="510" spans="6:7" x14ac:dyDescent="0.2">
      <c r="F510" s="209"/>
      <c r="G510" s="281"/>
    </row>
    <row r="511" spans="6:7" x14ac:dyDescent="0.2">
      <c r="F511" s="209"/>
      <c r="G511" s="281"/>
    </row>
    <row r="512" spans="6:7" x14ac:dyDescent="0.2">
      <c r="F512" s="209"/>
      <c r="G512" s="281"/>
    </row>
    <row r="513" spans="6:7" x14ac:dyDescent="0.2">
      <c r="F513" s="209"/>
      <c r="G513" s="281"/>
    </row>
    <row r="514" spans="6:7" x14ac:dyDescent="0.2">
      <c r="F514" s="209"/>
      <c r="G514" s="281"/>
    </row>
    <row r="515" spans="6:7" x14ac:dyDescent="0.2">
      <c r="F515" s="209"/>
      <c r="G515" s="281"/>
    </row>
    <row r="516" spans="6:7" x14ac:dyDescent="0.2">
      <c r="F516" s="209"/>
      <c r="G516" s="281"/>
    </row>
    <row r="517" spans="6:7" x14ac:dyDescent="0.2">
      <c r="F517" s="209"/>
      <c r="G517" s="281"/>
    </row>
    <row r="518" spans="6:7" x14ac:dyDescent="0.2">
      <c r="F518" s="209"/>
      <c r="G518" s="281"/>
    </row>
    <row r="519" spans="6:7" x14ac:dyDescent="0.2">
      <c r="F519" s="209"/>
      <c r="G519" s="281"/>
    </row>
    <row r="520" spans="6:7" x14ac:dyDescent="0.2">
      <c r="F520" s="209"/>
      <c r="G520" s="281"/>
    </row>
    <row r="521" spans="6:7" x14ac:dyDescent="0.2">
      <c r="F521" s="209"/>
      <c r="G521" s="281"/>
    </row>
    <row r="522" spans="6:7" x14ac:dyDescent="0.2">
      <c r="F522" s="209"/>
      <c r="G522" s="281"/>
    </row>
    <row r="523" spans="6:7" x14ac:dyDescent="0.2">
      <c r="F523" s="209"/>
      <c r="G523" s="281"/>
    </row>
    <row r="524" spans="6:7" x14ac:dyDescent="0.2">
      <c r="F524" s="209"/>
      <c r="G524" s="281"/>
    </row>
    <row r="525" spans="6:7" x14ac:dyDescent="0.2">
      <c r="F525" s="209"/>
      <c r="G525" s="281"/>
    </row>
    <row r="526" spans="6:7" x14ac:dyDescent="0.2">
      <c r="F526" s="209"/>
      <c r="G526" s="281"/>
    </row>
    <row r="527" spans="6:7" x14ac:dyDescent="0.2">
      <c r="F527" s="209"/>
      <c r="G527" s="281"/>
    </row>
    <row r="528" spans="6:7" x14ac:dyDescent="0.2">
      <c r="F528" s="209"/>
      <c r="G528" s="281"/>
    </row>
    <row r="529" spans="6:7" x14ac:dyDescent="0.2">
      <c r="F529" s="209"/>
      <c r="G529" s="281"/>
    </row>
    <row r="530" spans="6:7" x14ac:dyDescent="0.2">
      <c r="F530" s="209"/>
      <c r="G530" s="281"/>
    </row>
    <row r="531" spans="6:7" x14ac:dyDescent="0.2">
      <c r="F531" s="209"/>
      <c r="G531" s="281"/>
    </row>
    <row r="532" spans="6:7" x14ac:dyDescent="0.2">
      <c r="F532" s="209"/>
      <c r="G532" s="281"/>
    </row>
    <row r="533" spans="6:7" x14ac:dyDescent="0.2">
      <c r="F533" s="209"/>
      <c r="G533" s="281"/>
    </row>
    <row r="534" spans="6:7" x14ac:dyDescent="0.2">
      <c r="F534" s="209"/>
      <c r="G534" s="281"/>
    </row>
    <row r="535" spans="6:7" x14ac:dyDescent="0.2">
      <c r="F535" s="209"/>
      <c r="G535" s="281"/>
    </row>
    <row r="536" spans="6:7" x14ac:dyDescent="0.2">
      <c r="F536" s="209"/>
      <c r="G536" s="281"/>
    </row>
    <row r="537" spans="6:7" x14ac:dyDescent="0.2">
      <c r="F537" s="209"/>
      <c r="G537" s="281"/>
    </row>
    <row r="538" spans="6:7" x14ac:dyDescent="0.2">
      <c r="F538" s="209"/>
      <c r="G538" s="281"/>
    </row>
    <row r="539" spans="6:7" x14ac:dyDescent="0.2">
      <c r="F539" s="209"/>
      <c r="G539" s="281"/>
    </row>
    <row r="540" spans="6:7" x14ac:dyDescent="0.2">
      <c r="F540" s="209"/>
      <c r="G540" s="281"/>
    </row>
    <row r="541" spans="6:7" x14ac:dyDescent="0.2">
      <c r="F541" s="209"/>
      <c r="G541" s="281"/>
    </row>
    <row r="542" spans="6:7" x14ac:dyDescent="0.2">
      <c r="F542" s="209"/>
      <c r="G542" s="281"/>
    </row>
    <row r="543" spans="6:7" x14ac:dyDescent="0.2">
      <c r="F543" s="209"/>
      <c r="G543" s="281"/>
    </row>
    <row r="544" spans="6:7" x14ac:dyDescent="0.2">
      <c r="F544" s="209"/>
      <c r="G544" s="281"/>
    </row>
    <row r="545" spans="6:7" x14ac:dyDescent="0.2">
      <c r="F545" s="209"/>
      <c r="G545" s="281"/>
    </row>
    <row r="546" spans="6:7" x14ac:dyDescent="0.2">
      <c r="F546" s="209"/>
      <c r="G546" s="281"/>
    </row>
    <row r="547" spans="6:7" x14ac:dyDescent="0.2">
      <c r="F547" s="209"/>
      <c r="G547" s="281"/>
    </row>
    <row r="548" spans="6:7" x14ac:dyDescent="0.2">
      <c r="F548" s="209"/>
      <c r="G548" s="281"/>
    </row>
    <row r="549" spans="6:7" x14ac:dyDescent="0.2">
      <c r="F549" s="209"/>
      <c r="G549" s="281"/>
    </row>
    <row r="550" spans="6:7" x14ac:dyDescent="0.2">
      <c r="F550" s="209"/>
      <c r="G550" s="281"/>
    </row>
    <row r="551" spans="6:7" x14ac:dyDescent="0.2">
      <c r="F551" s="209"/>
      <c r="G551" s="281"/>
    </row>
    <row r="552" spans="6:7" x14ac:dyDescent="0.2">
      <c r="F552" s="209"/>
      <c r="G552" s="281"/>
    </row>
    <row r="553" spans="6:7" x14ac:dyDescent="0.2">
      <c r="F553" s="209"/>
      <c r="G553" s="281"/>
    </row>
    <row r="554" spans="6:7" x14ac:dyDescent="0.2">
      <c r="F554" s="209"/>
      <c r="G554" s="281"/>
    </row>
    <row r="555" spans="6:7" x14ac:dyDescent="0.2">
      <c r="F555" s="209"/>
      <c r="G555" s="281"/>
    </row>
    <row r="556" spans="6:7" x14ac:dyDescent="0.2">
      <c r="F556" s="209"/>
      <c r="G556" s="281"/>
    </row>
    <row r="557" spans="6:7" x14ac:dyDescent="0.2">
      <c r="F557" s="209"/>
      <c r="G557" s="281"/>
    </row>
    <row r="558" spans="6:7" x14ac:dyDescent="0.2">
      <c r="F558" s="209"/>
      <c r="G558" s="281"/>
    </row>
    <row r="559" spans="6:7" x14ac:dyDescent="0.2">
      <c r="F559" s="209"/>
      <c r="G559" s="281"/>
    </row>
    <row r="560" spans="6:7" x14ac:dyDescent="0.2">
      <c r="F560" s="209"/>
      <c r="G560" s="281"/>
    </row>
    <row r="561" spans="6:7" x14ac:dyDescent="0.2">
      <c r="F561" s="209"/>
      <c r="G561" s="281"/>
    </row>
    <row r="562" spans="6:7" x14ac:dyDescent="0.2">
      <c r="F562" s="209"/>
      <c r="G562" s="281"/>
    </row>
    <row r="563" spans="6:7" x14ac:dyDescent="0.2">
      <c r="F563" s="209"/>
      <c r="G563" s="281"/>
    </row>
    <row r="564" spans="6:7" x14ac:dyDescent="0.2">
      <c r="F564" s="209"/>
      <c r="G564" s="281"/>
    </row>
    <row r="565" spans="6:7" x14ac:dyDescent="0.2">
      <c r="F565" s="209"/>
      <c r="G565" s="281"/>
    </row>
    <row r="566" spans="6:7" x14ac:dyDescent="0.2">
      <c r="F566" s="209"/>
      <c r="G566" s="281"/>
    </row>
    <row r="567" spans="6:7" x14ac:dyDescent="0.2">
      <c r="F567" s="209"/>
      <c r="G567" s="281"/>
    </row>
    <row r="568" spans="6:7" x14ac:dyDescent="0.2">
      <c r="F568" s="209"/>
      <c r="G568" s="281"/>
    </row>
    <row r="569" spans="6:7" x14ac:dyDescent="0.2">
      <c r="F569" s="209"/>
      <c r="G569" s="281"/>
    </row>
    <row r="570" spans="6:7" x14ac:dyDescent="0.2">
      <c r="F570" s="209"/>
      <c r="G570" s="281"/>
    </row>
    <row r="571" spans="6:7" x14ac:dyDescent="0.2">
      <c r="F571" s="209"/>
      <c r="G571" s="281"/>
    </row>
    <row r="572" spans="6:7" x14ac:dyDescent="0.2">
      <c r="F572" s="209"/>
      <c r="G572" s="281"/>
    </row>
    <row r="573" spans="6:7" x14ac:dyDescent="0.2">
      <c r="F573" s="209"/>
      <c r="G573" s="281"/>
    </row>
    <row r="574" spans="6:7" x14ac:dyDescent="0.2">
      <c r="F574" s="209"/>
      <c r="G574" s="281"/>
    </row>
    <row r="575" spans="6:7" x14ac:dyDescent="0.2">
      <c r="F575" s="209"/>
      <c r="G575" s="281"/>
    </row>
    <row r="576" spans="6:7" x14ac:dyDescent="0.2">
      <c r="F576" s="209"/>
      <c r="G576" s="281"/>
    </row>
    <row r="577" spans="6:7" x14ac:dyDescent="0.2">
      <c r="F577" s="209"/>
      <c r="G577" s="281"/>
    </row>
    <row r="578" spans="6:7" x14ac:dyDescent="0.2">
      <c r="F578" s="209"/>
      <c r="G578" s="281"/>
    </row>
    <row r="579" spans="6:7" x14ac:dyDescent="0.2">
      <c r="F579" s="209"/>
      <c r="G579" s="281"/>
    </row>
    <row r="580" spans="6:7" x14ac:dyDescent="0.2">
      <c r="F580" s="209"/>
      <c r="G580" s="281"/>
    </row>
    <row r="581" spans="6:7" x14ac:dyDescent="0.2">
      <c r="F581" s="209"/>
      <c r="G581" s="281"/>
    </row>
    <row r="582" spans="6:7" x14ac:dyDescent="0.2">
      <c r="F582" s="209"/>
      <c r="G582" s="281"/>
    </row>
    <row r="583" spans="6:7" x14ac:dyDescent="0.2">
      <c r="F583" s="209"/>
      <c r="G583" s="281"/>
    </row>
    <row r="584" spans="6:7" x14ac:dyDescent="0.2">
      <c r="F584" s="209"/>
      <c r="G584" s="281"/>
    </row>
    <row r="585" spans="6:7" x14ac:dyDescent="0.2">
      <c r="F585" s="209"/>
      <c r="G585" s="281"/>
    </row>
    <row r="586" spans="6:7" x14ac:dyDescent="0.2">
      <c r="F586" s="209"/>
      <c r="G586" s="281"/>
    </row>
    <row r="587" spans="6:7" x14ac:dyDescent="0.2">
      <c r="F587" s="209"/>
      <c r="G587" s="281"/>
    </row>
    <row r="588" spans="6:7" x14ac:dyDescent="0.2">
      <c r="F588" s="209"/>
      <c r="G588" s="281"/>
    </row>
    <row r="589" spans="6:7" x14ac:dyDescent="0.2">
      <c r="F589" s="209"/>
      <c r="G589" s="281"/>
    </row>
    <row r="590" spans="6:7" x14ac:dyDescent="0.2">
      <c r="F590" s="209"/>
      <c r="G590" s="281"/>
    </row>
    <row r="591" spans="6:7" x14ac:dyDescent="0.2">
      <c r="F591" s="209"/>
      <c r="G591" s="281"/>
    </row>
    <row r="592" spans="6:7" x14ac:dyDescent="0.2">
      <c r="F592" s="209"/>
      <c r="G592" s="281"/>
    </row>
    <row r="593" spans="6:7" x14ac:dyDescent="0.2">
      <c r="F593" s="209"/>
      <c r="G593" s="281"/>
    </row>
    <row r="594" spans="6:7" x14ac:dyDescent="0.2">
      <c r="F594" s="209"/>
      <c r="G594" s="281"/>
    </row>
    <row r="595" spans="6:7" x14ac:dyDescent="0.2">
      <c r="F595" s="209"/>
      <c r="G595" s="281"/>
    </row>
    <row r="596" spans="6:7" x14ac:dyDescent="0.2">
      <c r="F596" s="209"/>
      <c r="G596" s="281"/>
    </row>
    <row r="597" spans="6:7" x14ac:dyDescent="0.2">
      <c r="F597" s="209"/>
      <c r="G597" s="281"/>
    </row>
    <row r="598" spans="6:7" x14ac:dyDescent="0.2">
      <c r="F598" s="209"/>
      <c r="G598" s="281"/>
    </row>
    <row r="599" spans="6:7" x14ac:dyDescent="0.2">
      <c r="F599" s="209"/>
      <c r="G599" s="281"/>
    </row>
    <row r="600" spans="6:7" x14ac:dyDescent="0.2">
      <c r="F600" s="209"/>
      <c r="G600" s="281"/>
    </row>
    <row r="601" spans="6:7" x14ac:dyDescent="0.2">
      <c r="F601" s="209"/>
      <c r="G601" s="281"/>
    </row>
    <row r="602" spans="6:7" x14ac:dyDescent="0.2">
      <c r="F602" s="209"/>
      <c r="G602" s="281"/>
    </row>
    <row r="603" spans="6:7" x14ac:dyDescent="0.2">
      <c r="F603" s="209"/>
      <c r="G603" s="281"/>
    </row>
    <row r="604" spans="6:7" x14ac:dyDescent="0.2">
      <c r="F604" s="209"/>
      <c r="G604" s="281"/>
    </row>
    <row r="605" spans="6:7" x14ac:dyDescent="0.2">
      <c r="F605" s="209"/>
      <c r="G605" s="281"/>
    </row>
    <row r="606" spans="6:7" x14ac:dyDescent="0.2">
      <c r="F606" s="209"/>
      <c r="G606" s="281"/>
    </row>
    <row r="607" spans="6:7" x14ac:dyDescent="0.2">
      <c r="F607" s="209"/>
      <c r="G607" s="281"/>
    </row>
    <row r="608" spans="6:7" x14ac:dyDescent="0.2">
      <c r="F608" s="209"/>
      <c r="G608" s="281"/>
    </row>
    <row r="609" spans="6:7" x14ac:dyDescent="0.2">
      <c r="F609" s="209"/>
      <c r="G609" s="281"/>
    </row>
    <row r="610" spans="6:7" x14ac:dyDescent="0.2">
      <c r="F610" s="209"/>
      <c r="G610" s="281"/>
    </row>
    <row r="611" spans="6:7" x14ac:dyDescent="0.2">
      <c r="F611" s="209"/>
      <c r="G611" s="281"/>
    </row>
    <row r="612" spans="6:7" x14ac:dyDescent="0.2">
      <c r="F612" s="209"/>
      <c r="G612" s="281"/>
    </row>
    <row r="613" spans="6:7" x14ac:dyDescent="0.2">
      <c r="F613" s="209"/>
      <c r="G613" s="281"/>
    </row>
    <row r="614" spans="6:7" x14ac:dyDescent="0.2">
      <c r="F614" s="209"/>
      <c r="G614" s="281"/>
    </row>
    <row r="615" spans="6:7" x14ac:dyDescent="0.2">
      <c r="F615" s="209"/>
      <c r="G615" s="281"/>
    </row>
    <row r="616" spans="6:7" x14ac:dyDescent="0.2">
      <c r="F616" s="209"/>
      <c r="G616" s="281"/>
    </row>
    <row r="617" spans="6:7" x14ac:dyDescent="0.2">
      <c r="F617" s="209"/>
      <c r="G617" s="281"/>
    </row>
    <row r="618" spans="6:7" x14ac:dyDescent="0.2">
      <c r="F618" s="209"/>
      <c r="G618" s="281"/>
    </row>
    <row r="619" spans="6:7" x14ac:dyDescent="0.2">
      <c r="F619" s="209"/>
      <c r="G619" s="281"/>
    </row>
    <row r="620" spans="6:7" x14ac:dyDescent="0.2">
      <c r="F620" s="209"/>
      <c r="G620" s="281"/>
    </row>
    <row r="621" spans="6:7" x14ac:dyDescent="0.2">
      <c r="F621" s="209"/>
      <c r="G621" s="281"/>
    </row>
    <row r="622" spans="6:7" x14ac:dyDescent="0.2">
      <c r="F622" s="209"/>
      <c r="G622" s="281"/>
    </row>
    <row r="623" spans="6:7" x14ac:dyDescent="0.2">
      <c r="F623" s="209"/>
      <c r="G623" s="281"/>
    </row>
    <row r="624" spans="6:7" x14ac:dyDescent="0.2">
      <c r="F624" s="209"/>
      <c r="G624" s="281"/>
    </row>
    <row r="625" spans="6:7" x14ac:dyDescent="0.2">
      <c r="F625" s="209"/>
      <c r="G625" s="281"/>
    </row>
    <row r="626" spans="6:7" x14ac:dyDescent="0.2">
      <c r="F626" s="209"/>
      <c r="G626" s="281"/>
    </row>
    <row r="627" spans="6:7" x14ac:dyDescent="0.2">
      <c r="F627" s="209"/>
      <c r="G627" s="281"/>
    </row>
    <row r="628" spans="6:7" x14ac:dyDescent="0.2">
      <c r="F628" s="209"/>
      <c r="G628" s="281"/>
    </row>
    <row r="629" spans="6:7" x14ac:dyDescent="0.2">
      <c r="F629" s="209"/>
      <c r="G629" s="281"/>
    </row>
    <row r="630" spans="6:7" x14ac:dyDescent="0.2">
      <c r="F630" s="209"/>
      <c r="G630" s="281"/>
    </row>
    <row r="631" spans="6:7" x14ac:dyDescent="0.2">
      <c r="F631" s="209"/>
      <c r="G631" s="281"/>
    </row>
    <row r="632" spans="6:7" x14ac:dyDescent="0.2">
      <c r="F632" s="209"/>
      <c r="G632" s="281"/>
    </row>
    <row r="633" spans="6:7" x14ac:dyDescent="0.2">
      <c r="F633" s="209"/>
      <c r="G633" s="281"/>
    </row>
    <row r="634" spans="6:7" x14ac:dyDescent="0.2">
      <c r="F634" s="209"/>
      <c r="G634" s="281"/>
    </row>
    <row r="635" spans="6:7" x14ac:dyDescent="0.2">
      <c r="F635" s="209"/>
      <c r="G635" s="281"/>
    </row>
    <row r="636" spans="6:7" x14ac:dyDescent="0.2">
      <c r="F636" s="209"/>
      <c r="G636" s="281"/>
    </row>
    <row r="637" spans="6:7" x14ac:dyDescent="0.2">
      <c r="F637" s="209"/>
      <c r="G637" s="281"/>
    </row>
    <row r="638" spans="6:7" x14ac:dyDescent="0.2">
      <c r="F638" s="209"/>
      <c r="G638" s="281"/>
    </row>
    <row r="639" spans="6:7" x14ac:dyDescent="0.2">
      <c r="F639" s="209"/>
      <c r="G639" s="281"/>
    </row>
    <row r="640" spans="6:7" x14ac:dyDescent="0.2">
      <c r="F640" s="209"/>
      <c r="G640" s="281"/>
    </row>
    <row r="641" spans="6:7" x14ac:dyDescent="0.2">
      <c r="F641" s="209"/>
      <c r="G641" s="281"/>
    </row>
    <row r="642" spans="6:7" x14ac:dyDescent="0.2">
      <c r="F642" s="209"/>
      <c r="G642" s="281"/>
    </row>
    <row r="643" spans="6:7" x14ac:dyDescent="0.2">
      <c r="F643" s="209"/>
      <c r="G643" s="281"/>
    </row>
    <row r="644" spans="6:7" x14ac:dyDescent="0.2">
      <c r="F644" s="209"/>
      <c r="G644" s="281"/>
    </row>
    <row r="645" spans="6:7" x14ac:dyDescent="0.2">
      <c r="F645" s="209"/>
      <c r="G645" s="281"/>
    </row>
    <row r="646" spans="6:7" x14ac:dyDescent="0.2">
      <c r="F646" s="209"/>
      <c r="G646" s="281"/>
    </row>
    <row r="647" spans="6:7" x14ac:dyDescent="0.2">
      <c r="F647" s="209"/>
      <c r="G647" s="281"/>
    </row>
    <row r="648" spans="6:7" x14ac:dyDescent="0.2">
      <c r="F648" s="209"/>
      <c r="G648" s="281"/>
    </row>
    <row r="649" spans="6:7" x14ac:dyDescent="0.2">
      <c r="F649" s="209"/>
      <c r="G649" s="281"/>
    </row>
    <row r="650" spans="6:7" x14ac:dyDescent="0.2">
      <c r="F650" s="209"/>
      <c r="G650" s="281"/>
    </row>
    <row r="651" spans="6:7" x14ac:dyDescent="0.2">
      <c r="F651" s="209"/>
      <c r="G651" s="281"/>
    </row>
    <row r="652" spans="6:7" x14ac:dyDescent="0.2">
      <c r="F652" s="209"/>
      <c r="G652" s="281"/>
    </row>
    <row r="653" spans="6:7" x14ac:dyDescent="0.2">
      <c r="F653" s="209"/>
      <c r="G653" s="281"/>
    </row>
    <row r="654" spans="6:7" x14ac:dyDescent="0.2">
      <c r="F654" s="209"/>
      <c r="G654" s="281"/>
    </row>
    <row r="655" spans="6:7" x14ac:dyDescent="0.2">
      <c r="F655" s="209"/>
      <c r="G655" s="281"/>
    </row>
    <row r="656" spans="6:7" x14ac:dyDescent="0.2">
      <c r="F656" s="209"/>
      <c r="G656" s="281"/>
    </row>
    <row r="657" spans="6:7" x14ac:dyDescent="0.2">
      <c r="F657" s="209"/>
      <c r="G657" s="281"/>
    </row>
    <row r="658" spans="6:7" x14ac:dyDescent="0.2">
      <c r="F658" s="209"/>
      <c r="G658" s="281"/>
    </row>
    <row r="659" spans="6:7" x14ac:dyDescent="0.2">
      <c r="F659" s="209"/>
      <c r="G659" s="281"/>
    </row>
    <row r="660" spans="6:7" x14ac:dyDescent="0.2">
      <c r="F660" s="209"/>
      <c r="G660" s="281"/>
    </row>
    <row r="661" spans="6:7" x14ac:dyDescent="0.2">
      <c r="F661" s="209"/>
      <c r="G661" s="281"/>
    </row>
    <row r="662" spans="6:7" x14ac:dyDescent="0.2">
      <c r="F662" s="209"/>
      <c r="G662" s="281"/>
    </row>
    <row r="663" spans="6:7" x14ac:dyDescent="0.2">
      <c r="F663" s="209"/>
      <c r="G663" s="281"/>
    </row>
    <row r="664" spans="6:7" x14ac:dyDescent="0.2">
      <c r="F664" s="209"/>
      <c r="G664" s="281"/>
    </row>
    <row r="665" spans="6:7" x14ac:dyDescent="0.2">
      <c r="F665" s="209"/>
      <c r="G665" s="281"/>
    </row>
    <row r="666" spans="6:7" x14ac:dyDescent="0.2">
      <c r="F666" s="209"/>
      <c r="G666" s="281"/>
    </row>
    <row r="667" spans="6:7" x14ac:dyDescent="0.2">
      <c r="F667" s="209"/>
      <c r="G667" s="281"/>
    </row>
    <row r="668" spans="6:7" x14ac:dyDescent="0.2">
      <c r="F668" s="209"/>
      <c r="G668" s="281"/>
    </row>
    <row r="669" spans="6:7" x14ac:dyDescent="0.2">
      <c r="F669" s="209"/>
      <c r="G669" s="281"/>
    </row>
    <row r="670" spans="6:7" x14ac:dyDescent="0.2">
      <c r="F670" s="209"/>
      <c r="G670" s="281"/>
    </row>
    <row r="671" spans="6:7" x14ac:dyDescent="0.2">
      <c r="F671" s="209"/>
      <c r="G671" s="281"/>
    </row>
    <row r="672" spans="6:7" x14ac:dyDescent="0.2">
      <c r="F672" s="209"/>
      <c r="G672" s="281"/>
    </row>
    <row r="673" spans="6:7" x14ac:dyDescent="0.2">
      <c r="F673" s="209"/>
      <c r="G673" s="281"/>
    </row>
    <row r="674" spans="6:7" x14ac:dyDescent="0.2">
      <c r="F674" s="209"/>
      <c r="G674" s="281"/>
    </row>
    <row r="675" spans="6:7" x14ac:dyDescent="0.2">
      <c r="F675" s="209"/>
      <c r="G675" s="281"/>
    </row>
    <row r="676" spans="6:7" x14ac:dyDescent="0.2">
      <c r="F676" s="209"/>
      <c r="G676" s="281"/>
    </row>
    <row r="677" spans="6:7" x14ac:dyDescent="0.2">
      <c r="F677" s="209"/>
      <c r="G677" s="281"/>
    </row>
    <row r="678" spans="6:7" x14ac:dyDescent="0.2">
      <c r="F678" s="209"/>
      <c r="G678" s="281"/>
    </row>
    <row r="679" spans="6:7" x14ac:dyDescent="0.2">
      <c r="F679" s="209"/>
      <c r="G679" s="281"/>
    </row>
    <row r="680" spans="6:7" x14ac:dyDescent="0.2">
      <c r="F680" s="209"/>
      <c r="G680" s="281"/>
    </row>
    <row r="681" spans="6:7" x14ac:dyDescent="0.2">
      <c r="F681" s="209"/>
      <c r="G681" s="281"/>
    </row>
    <row r="682" spans="6:7" x14ac:dyDescent="0.2">
      <c r="F682" s="209"/>
      <c r="G682" s="281"/>
    </row>
    <row r="683" spans="6:7" x14ac:dyDescent="0.2">
      <c r="F683" s="209"/>
      <c r="G683" s="281"/>
    </row>
    <row r="684" spans="6:7" x14ac:dyDescent="0.2">
      <c r="F684" s="209"/>
      <c r="G684" s="281"/>
    </row>
    <row r="685" spans="6:7" x14ac:dyDescent="0.2">
      <c r="F685" s="209"/>
      <c r="G685" s="281"/>
    </row>
    <row r="686" spans="6:7" x14ac:dyDescent="0.2">
      <c r="F686" s="209"/>
      <c r="G686" s="281"/>
    </row>
    <row r="687" spans="6:7" x14ac:dyDescent="0.2">
      <c r="F687" s="209"/>
      <c r="G687" s="281"/>
    </row>
    <row r="688" spans="6:7" x14ac:dyDescent="0.2">
      <c r="F688" s="209"/>
      <c r="G688" s="281"/>
    </row>
    <row r="689" spans="6:7" x14ac:dyDescent="0.2">
      <c r="F689" s="209"/>
      <c r="G689" s="281"/>
    </row>
    <row r="690" spans="6:7" x14ac:dyDescent="0.2">
      <c r="F690" s="209"/>
      <c r="G690" s="281"/>
    </row>
    <row r="691" spans="6:7" x14ac:dyDescent="0.2">
      <c r="F691" s="209"/>
      <c r="G691" s="281"/>
    </row>
    <row r="692" spans="6:7" x14ac:dyDescent="0.2">
      <c r="F692" s="209"/>
      <c r="G692" s="281"/>
    </row>
    <row r="693" spans="6:7" x14ac:dyDescent="0.2">
      <c r="F693" s="209"/>
      <c r="G693" s="281"/>
    </row>
    <row r="694" spans="6:7" x14ac:dyDescent="0.2">
      <c r="F694" s="209"/>
      <c r="G694" s="281"/>
    </row>
    <row r="695" spans="6:7" x14ac:dyDescent="0.2">
      <c r="F695" s="209"/>
      <c r="G695" s="281"/>
    </row>
    <row r="696" spans="6:7" x14ac:dyDescent="0.2">
      <c r="F696" s="209"/>
      <c r="G696" s="281"/>
    </row>
    <row r="697" spans="6:7" x14ac:dyDescent="0.2">
      <c r="F697" s="209"/>
      <c r="G697" s="281"/>
    </row>
    <row r="698" spans="6:7" x14ac:dyDescent="0.2">
      <c r="F698" s="209"/>
      <c r="G698" s="281"/>
    </row>
    <row r="699" spans="6:7" x14ac:dyDescent="0.2">
      <c r="F699" s="209"/>
      <c r="G699" s="281"/>
    </row>
    <row r="700" spans="6:7" x14ac:dyDescent="0.2">
      <c r="F700" s="209"/>
      <c r="G700" s="281"/>
    </row>
    <row r="701" spans="6:7" x14ac:dyDescent="0.2">
      <c r="F701" s="209"/>
      <c r="G701" s="281"/>
    </row>
    <row r="702" spans="6:7" x14ac:dyDescent="0.2">
      <c r="F702" s="209"/>
      <c r="G702" s="281"/>
    </row>
    <row r="703" spans="6:7" x14ac:dyDescent="0.2">
      <c r="F703" s="209"/>
      <c r="G703" s="281"/>
    </row>
    <row r="704" spans="6:7" x14ac:dyDescent="0.2">
      <c r="F704" s="209"/>
      <c r="G704" s="281"/>
    </row>
    <row r="705" spans="6:7" x14ac:dyDescent="0.2">
      <c r="F705" s="209"/>
      <c r="G705" s="281"/>
    </row>
    <row r="706" spans="6:7" x14ac:dyDescent="0.2">
      <c r="F706" s="209"/>
      <c r="G706" s="281"/>
    </row>
    <row r="707" spans="6:7" x14ac:dyDescent="0.2">
      <c r="F707" s="209"/>
      <c r="G707" s="281"/>
    </row>
    <row r="708" spans="6:7" x14ac:dyDescent="0.2">
      <c r="F708" s="209"/>
      <c r="G708" s="281"/>
    </row>
    <row r="709" spans="6:7" x14ac:dyDescent="0.2">
      <c r="F709" s="209"/>
      <c r="G709" s="281"/>
    </row>
    <row r="710" spans="6:7" x14ac:dyDescent="0.2">
      <c r="F710" s="209"/>
      <c r="G710" s="281"/>
    </row>
    <row r="711" spans="6:7" x14ac:dyDescent="0.2">
      <c r="F711" s="209"/>
      <c r="G711" s="281"/>
    </row>
    <row r="712" spans="6:7" x14ac:dyDescent="0.2">
      <c r="F712" s="209"/>
      <c r="G712" s="281"/>
    </row>
    <row r="713" spans="6:7" x14ac:dyDescent="0.2">
      <c r="F713" s="209"/>
      <c r="G713" s="281"/>
    </row>
    <row r="714" spans="6:7" x14ac:dyDescent="0.2">
      <c r="F714" s="209"/>
      <c r="G714" s="281"/>
    </row>
    <row r="715" spans="6:7" x14ac:dyDescent="0.2">
      <c r="F715" s="209"/>
      <c r="G715" s="281"/>
    </row>
    <row r="716" spans="6:7" x14ac:dyDescent="0.2">
      <c r="F716" s="209"/>
      <c r="G716" s="281"/>
    </row>
    <row r="717" spans="6:7" x14ac:dyDescent="0.2">
      <c r="F717" s="209"/>
      <c r="G717" s="281"/>
    </row>
    <row r="718" spans="6:7" x14ac:dyDescent="0.2">
      <c r="F718" s="209"/>
      <c r="G718" s="281"/>
    </row>
    <row r="719" spans="6:7" x14ac:dyDescent="0.2">
      <c r="F719" s="209"/>
      <c r="G719" s="281"/>
    </row>
    <row r="720" spans="6:7" x14ac:dyDescent="0.2">
      <c r="F720" s="209"/>
      <c r="G720" s="281"/>
    </row>
    <row r="721" spans="6:7" x14ac:dyDescent="0.2">
      <c r="F721" s="209"/>
      <c r="G721" s="281"/>
    </row>
    <row r="722" spans="6:7" x14ac:dyDescent="0.2">
      <c r="F722" s="209"/>
      <c r="G722" s="281"/>
    </row>
    <row r="723" spans="6:7" x14ac:dyDescent="0.2">
      <c r="F723" s="209"/>
      <c r="G723" s="281"/>
    </row>
    <row r="724" spans="6:7" x14ac:dyDescent="0.2">
      <c r="F724" s="209"/>
      <c r="G724" s="281"/>
    </row>
    <row r="725" spans="6:7" x14ac:dyDescent="0.2">
      <c r="F725" s="209"/>
      <c r="G725" s="281"/>
    </row>
    <row r="726" spans="6:7" x14ac:dyDescent="0.2">
      <c r="F726" s="209"/>
      <c r="G726" s="281"/>
    </row>
    <row r="727" spans="6:7" x14ac:dyDescent="0.2">
      <c r="F727" s="209"/>
      <c r="G727" s="281"/>
    </row>
    <row r="728" spans="6:7" x14ac:dyDescent="0.2">
      <c r="F728" s="209"/>
      <c r="G728" s="281"/>
    </row>
    <row r="729" spans="6:7" x14ac:dyDescent="0.2">
      <c r="F729" s="209"/>
      <c r="G729" s="281"/>
    </row>
    <row r="730" spans="6:7" x14ac:dyDescent="0.2">
      <c r="F730" s="209"/>
      <c r="G730" s="281"/>
    </row>
    <row r="731" spans="6:7" x14ac:dyDescent="0.2">
      <c r="F731" s="209"/>
      <c r="G731" s="281"/>
    </row>
    <row r="732" spans="6:7" x14ac:dyDescent="0.2">
      <c r="F732" s="209"/>
      <c r="G732" s="281"/>
    </row>
    <row r="733" spans="6:7" x14ac:dyDescent="0.2">
      <c r="F733" s="209"/>
      <c r="G733" s="281"/>
    </row>
    <row r="734" spans="6:7" x14ac:dyDescent="0.2">
      <c r="F734" s="209"/>
      <c r="G734" s="281"/>
    </row>
    <row r="735" spans="6:7" x14ac:dyDescent="0.2">
      <c r="F735" s="209"/>
      <c r="G735" s="281"/>
    </row>
    <row r="736" spans="6:7" x14ac:dyDescent="0.2">
      <c r="F736" s="209"/>
      <c r="G736" s="281"/>
    </row>
    <row r="737" spans="6:7" x14ac:dyDescent="0.2">
      <c r="F737" s="209"/>
      <c r="G737" s="281"/>
    </row>
    <row r="738" spans="6:7" x14ac:dyDescent="0.2">
      <c r="F738" s="209"/>
      <c r="G738" s="281"/>
    </row>
    <row r="739" spans="6:7" x14ac:dyDescent="0.2">
      <c r="F739" s="209"/>
      <c r="G739" s="281"/>
    </row>
    <row r="740" spans="6:7" x14ac:dyDescent="0.2">
      <c r="F740" s="209"/>
      <c r="G740" s="281"/>
    </row>
    <row r="741" spans="6:7" x14ac:dyDescent="0.2">
      <c r="F741" s="209"/>
      <c r="G741" s="281"/>
    </row>
    <row r="742" spans="6:7" x14ac:dyDescent="0.2">
      <c r="F742" s="209"/>
      <c r="G742" s="281"/>
    </row>
    <row r="743" spans="6:7" x14ac:dyDescent="0.2">
      <c r="F743" s="209"/>
      <c r="G743" s="281"/>
    </row>
    <row r="744" spans="6:7" x14ac:dyDescent="0.2">
      <c r="F744" s="209"/>
      <c r="G744" s="281"/>
    </row>
    <row r="745" spans="6:7" x14ac:dyDescent="0.2">
      <c r="F745" s="209"/>
      <c r="G745" s="281"/>
    </row>
    <row r="746" spans="6:7" x14ac:dyDescent="0.2">
      <c r="F746" s="209"/>
      <c r="G746" s="281"/>
    </row>
    <row r="747" spans="6:7" x14ac:dyDescent="0.2">
      <c r="F747" s="209"/>
      <c r="G747" s="281"/>
    </row>
    <row r="748" spans="6:7" x14ac:dyDescent="0.2">
      <c r="F748" s="209"/>
      <c r="G748" s="281"/>
    </row>
    <row r="749" spans="6:7" x14ac:dyDescent="0.2">
      <c r="F749" s="209"/>
      <c r="G749" s="281"/>
    </row>
    <row r="750" spans="6:7" x14ac:dyDescent="0.2">
      <c r="F750" s="209"/>
      <c r="G750" s="281"/>
    </row>
    <row r="751" spans="6:7" x14ac:dyDescent="0.2">
      <c r="F751" s="209"/>
      <c r="G751" s="281"/>
    </row>
    <row r="752" spans="6:7" x14ac:dyDescent="0.2">
      <c r="F752" s="209"/>
      <c r="G752" s="281"/>
    </row>
    <row r="753" spans="6:7" x14ac:dyDescent="0.2">
      <c r="F753" s="209"/>
      <c r="G753" s="281"/>
    </row>
    <row r="754" spans="6:7" x14ac:dyDescent="0.2">
      <c r="F754" s="209"/>
      <c r="G754" s="281"/>
    </row>
    <row r="755" spans="6:7" x14ac:dyDescent="0.2">
      <c r="F755" s="209"/>
      <c r="G755" s="281"/>
    </row>
    <row r="756" spans="6:7" x14ac:dyDescent="0.2">
      <c r="F756" s="209"/>
      <c r="G756" s="281"/>
    </row>
    <row r="757" spans="6:7" x14ac:dyDescent="0.2">
      <c r="F757" s="209"/>
      <c r="G757" s="281"/>
    </row>
    <row r="758" spans="6:7" x14ac:dyDescent="0.2">
      <c r="F758" s="209"/>
      <c r="G758" s="281"/>
    </row>
    <row r="759" spans="6:7" x14ac:dyDescent="0.2">
      <c r="F759" s="209"/>
      <c r="G759" s="281"/>
    </row>
    <row r="760" spans="6:7" x14ac:dyDescent="0.2">
      <c r="F760" s="209"/>
      <c r="G760" s="281"/>
    </row>
    <row r="761" spans="6:7" x14ac:dyDescent="0.2">
      <c r="F761" s="209"/>
      <c r="G761" s="281"/>
    </row>
    <row r="762" spans="6:7" x14ac:dyDescent="0.2">
      <c r="F762" s="209"/>
      <c r="G762" s="281"/>
    </row>
    <row r="763" spans="6:7" x14ac:dyDescent="0.2">
      <c r="F763" s="209"/>
      <c r="G763" s="281"/>
    </row>
    <row r="764" spans="6:7" x14ac:dyDescent="0.2">
      <c r="F764" s="209"/>
      <c r="G764" s="281"/>
    </row>
    <row r="765" spans="6:7" x14ac:dyDescent="0.2">
      <c r="F765" s="209"/>
      <c r="G765" s="281"/>
    </row>
    <row r="766" spans="6:7" x14ac:dyDescent="0.2">
      <c r="F766" s="209"/>
      <c r="G766" s="281"/>
    </row>
    <row r="767" spans="6:7" x14ac:dyDescent="0.2">
      <c r="F767" s="209"/>
      <c r="G767" s="281"/>
    </row>
    <row r="768" spans="6:7" x14ac:dyDescent="0.2">
      <c r="F768" s="209"/>
      <c r="G768" s="281"/>
    </row>
    <row r="769" spans="6:7" x14ac:dyDescent="0.2">
      <c r="F769" s="209"/>
      <c r="G769" s="281"/>
    </row>
    <row r="770" spans="6:7" x14ac:dyDescent="0.2">
      <c r="F770" s="209"/>
      <c r="G770" s="281"/>
    </row>
    <row r="771" spans="6:7" x14ac:dyDescent="0.2">
      <c r="F771" s="209"/>
      <c r="G771" s="281"/>
    </row>
    <row r="772" spans="6:7" x14ac:dyDescent="0.2">
      <c r="F772" s="209"/>
      <c r="G772" s="281"/>
    </row>
    <row r="773" spans="6:7" x14ac:dyDescent="0.2">
      <c r="F773" s="209"/>
      <c r="G773" s="281"/>
    </row>
    <row r="774" spans="6:7" x14ac:dyDescent="0.2">
      <c r="F774" s="209"/>
      <c r="G774" s="281"/>
    </row>
    <row r="775" spans="6:7" x14ac:dyDescent="0.2">
      <c r="F775" s="209"/>
      <c r="G775" s="281"/>
    </row>
    <row r="776" spans="6:7" x14ac:dyDescent="0.2">
      <c r="F776" s="209"/>
      <c r="G776" s="281"/>
    </row>
    <row r="777" spans="6:7" x14ac:dyDescent="0.2">
      <c r="F777" s="209"/>
      <c r="G777" s="281"/>
    </row>
    <row r="778" spans="6:7" x14ac:dyDescent="0.2">
      <c r="F778" s="209"/>
      <c r="G778" s="281"/>
    </row>
    <row r="779" spans="6:7" x14ac:dyDescent="0.2">
      <c r="F779" s="209"/>
      <c r="G779" s="281"/>
    </row>
    <row r="780" spans="6:7" x14ac:dyDescent="0.2">
      <c r="F780" s="209"/>
      <c r="G780" s="281"/>
    </row>
    <row r="781" spans="6:7" x14ac:dyDescent="0.2">
      <c r="F781" s="209"/>
      <c r="G781" s="281"/>
    </row>
    <row r="782" spans="6:7" x14ac:dyDescent="0.2">
      <c r="F782" s="209"/>
      <c r="G782" s="281"/>
    </row>
    <row r="783" spans="6:7" x14ac:dyDescent="0.2">
      <c r="F783" s="209"/>
      <c r="G783" s="281"/>
    </row>
    <row r="784" spans="6:7" x14ac:dyDescent="0.2">
      <c r="F784" s="209"/>
      <c r="G784" s="281"/>
    </row>
    <row r="785" spans="6:7" x14ac:dyDescent="0.2">
      <c r="F785" s="209"/>
      <c r="G785" s="281"/>
    </row>
    <row r="786" spans="6:7" x14ac:dyDescent="0.2">
      <c r="F786" s="209"/>
      <c r="G786" s="281"/>
    </row>
    <row r="787" spans="6:7" x14ac:dyDescent="0.2">
      <c r="F787" s="209"/>
      <c r="G787" s="281"/>
    </row>
    <row r="788" spans="6:7" x14ac:dyDescent="0.2">
      <c r="F788" s="209"/>
      <c r="G788" s="281"/>
    </row>
    <row r="789" spans="6:7" x14ac:dyDescent="0.2">
      <c r="F789" s="209"/>
      <c r="G789" s="281"/>
    </row>
    <row r="790" spans="6:7" x14ac:dyDescent="0.2">
      <c r="F790" s="209"/>
      <c r="G790" s="281"/>
    </row>
    <row r="791" spans="6:7" x14ac:dyDescent="0.2">
      <c r="F791" s="209"/>
      <c r="G791" s="281"/>
    </row>
    <row r="792" spans="6:7" x14ac:dyDescent="0.2">
      <c r="F792" s="209"/>
      <c r="G792" s="281"/>
    </row>
    <row r="793" spans="6:7" x14ac:dyDescent="0.2">
      <c r="F793" s="209"/>
      <c r="G793" s="281"/>
    </row>
    <row r="794" spans="6:7" x14ac:dyDescent="0.2">
      <c r="F794" s="209"/>
      <c r="G794" s="281"/>
    </row>
    <row r="795" spans="6:7" x14ac:dyDescent="0.2">
      <c r="F795" s="209"/>
      <c r="G795" s="281"/>
    </row>
    <row r="796" spans="6:7" x14ac:dyDescent="0.2">
      <c r="F796" s="209"/>
      <c r="G796" s="281"/>
    </row>
    <row r="797" spans="6:7" x14ac:dyDescent="0.2">
      <c r="F797" s="209"/>
      <c r="G797" s="281"/>
    </row>
    <row r="798" spans="6:7" x14ac:dyDescent="0.2">
      <c r="F798" s="209"/>
      <c r="G798" s="281"/>
    </row>
    <row r="799" spans="6:7" x14ac:dyDescent="0.2">
      <c r="F799" s="209"/>
      <c r="G799" s="281"/>
    </row>
    <row r="800" spans="6:7" x14ac:dyDescent="0.2">
      <c r="F800" s="209"/>
      <c r="G800" s="281"/>
    </row>
    <row r="801" spans="6:7" x14ac:dyDescent="0.2">
      <c r="F801" s="209"/>
      <c r="G801" s="281"/>
    </row>
    <row r="802" spans="6:7" x14ac:dyDescent="0.2">
      <c r="F802" s="209"/>
      <c r="G802" s="281"/>
    </row>
    <row r="803" spans="6:7" x14ac:dyDescent="0.2">
      <c r="F803" s="209"/>
      <c r="G803" s="281"/>
    </row>
    <row r="804" spans="6:7" x14ac:dyDescent="0.2">
      <c r="F804" s="209"/>
      <c r="G804" s="281"/>
    </row>
    <row r="805" spans="6:7" x14ac:dyDescent="0.2">
      <c r="F805" s="209"/>
      <c r="G805" s="281"/>
    </row>
    <row r="806" spans="6:7" x14ac:dyDescent="0.2">
      <c r="F806" s="209"/>
      <c r="G806" s="281"/>
    </row>
    <row r="807" spans="6:7" x14ac:dyDescent="0.2">
      <c r="F807" s="209"/>
      <c r="G807" s="281"/>
    </row>
    <row r="808" spans="6:7" x14ac:dyDescent="0.2">
      <c r="F808" s="209"/>
      <c r="G808" s="281"/>
    </row>
    <row r="809" spans="6:7" x14ac:dyDescent="0.2">
      <c r="F809" s="209"/>
      <c r="G809" s="281"/>
    </row>
    <row r="810" spans="6:7" x14ac:dyDescent="0.2">
      <c r="F810" s="209"/>
      <c r="G810" s="281"/>
    </row>
    <row r="811" spans="6:7" x14ac:dyDescent="0.2">
      <c r="F811" s="209"/>
      <c r="G811" s="281"/>
    </row>
    <row r="812" spans="6:7" x14ac:dyDescent="0.2">
      <c r="F812" s="209"/>
      <c r="G812" s="281"/>
    </row>
    <row r="813" spans="6:7" x14ac:dyDescent="0.2">
      <c r="F813" s="209"/>
      <c r="G813" s="281"/>
    </row>
    <row r="814" spans="6:7" x14ac:dyDescent="0.2">
      <c r="F814" s="209"/>
      <c r="G814" s="281"/>
    </row>
    <row r="815" spans="6:7" x14ac:dyDescent="0.2">
      <c r="F815" s="209"/>
      <c r="G815" s="281"/>
    </row>
    <row r="816" spans="6:7" x14ac:dyDescent="0.2">
      <c r="F816" s="209"/>
      <c r="G816" s="281"/>
    </row>
    <row r="817" spans="6:7" x14ac:dyDescent="0.2">
      <c r="F817" s="209"/>
      <c r="G817" s="281"/>
    </row>
    <row r="818" spans="6:7" x14ac:dyDescent="0.2">
      <c r="F818" s="209"/>
      <c r="G818" s="281"/>
    </row>
    <row r="819" spans="6:7" x14ac:dyDescent="0.2">
      <c r="F819" s="209"/>
      <c r="G819" s="281"/>
    </row>
    <row r="820" spans="6:7" x14ac:dyDescent="0.2">
      <c r="F820" s="209"/>
      <c r="G820" s="281"/>
    </row>
    <row r="821" spans="6:7" x14ac:dyDescent="0.2">
      <c r="F821" s="209"/>
      <c r="G821" s="281"/>
    </row>
    <row r="822" spans="6:7" x14ac:dyDescent="0.2">
      <c r="F822" s="209"/>
      <c r="G822" s="281"/>
    </row>
    <row r="823" spans="6:7" x14ac:dyDescent="0.2">
      <c r="F823" s="209"/>
      <c r="G823" s="281"/>
    </row>
    <row r="824" spans="6:7" x14ac:dyDescent="0.2">
      <c r="F824" s="209"/>
      <c r="G824" s="281"/>
    </row>
    <row r="825" spans="6:7" x14ac:dyDescent="0.2">
      <c r="F825" s="209"/>
      <c r="G825" s="281"/>
    </row>
    <row r="826" spans="6:7" x14ac:dyDescent="0.2">
      <c r="F826" s="209"/>
      <c r="G826" s="281"/>
    </row>
    <row r="827" spans="6:7" x14ac:dyDescent="0.2">
      <c r="F827" s="209"/>
      <c r="G827" s="281"/>
    </row>
    <row r="828" spans="6:7" x14ac:dyDescent="0.2">
      <c r="F828" s="209"/>
      <c r="G828" s="281"/>
    </row>
    <row r="829" spans="6:7" x14ac:dyDescent="0.2">
      <c r="F829" s="209"/>
      <c r="G829" s="281"/>
    </row>
    <row r="830" spans="6:7" x14ac:dyDescent="0.2">
      <c r="F830" s="209"/>
      <c r="G830" s="281"/>
    </row>
    <row r="831" spans="6:7" x14ac:dyDescent="0.2">
      <c r="F831" s="209"/>
      <c r="G831" s="281"/>
    </row>
    <row r="832" spans="6:7" x14ac:dyDescent="0.2">
      <c r="F832" s="209"/>
      <c r="G832" s="281"/>
    </row>
    <row r="833" spans="6:7" x14ac:dyDescent="0.2">
      <c r="F833" s="209"/>
      <c r="G833" s="281"/>
    </row>
    <row r="834" spans="6:7" x14ac:dyDescent="0.2">
      <c r="F834" s="209"/>
      <c r="G834" s="281"/>
    </row>
    <row r="835" spans="6:7" x14ac:dyDescent="0.2">
      <c r="F835" s="209"/>
      <c r="G835" s="281"/>
    </row>
    <row r="836" spans="6:7" x14ac:dyDescent="0.2">
      <c r="F836" s="209"/>
      <c r="G836" s="281"/>
    </row>
    <row r="837" spans="6:7" x14ac:dyDescent="0.2">
      <c r="F837" s="209"/>
      <c r="G837" s="281"/>
    </row>
    <row r="838" spans="6:7" x14ac:dyDescent="0.2">
      <c r="F838" s="209"/>
      <c r="G838" s="281"/>
    </row>
    <row r="839" spans="6:7" x14ac:dyDescent="0.2">
      <c r="F839" s="209"/>
      <c r="G839" s="281"/>
    </row>
    <row r="840" spans="6:7" x14ac:dyDescent="0.2">
      <c r="F840" s="209"/>
      <c r="G840" s="281"/>
    </row>
    <row r="841" spans="6:7" x14ac:dyDescent="0.2">
      <c r="F841" s="209"/>
      <c r="G841" s="281"/>
    </row>
    <row r="842" spans="6:7" x14ac:dyDescent="0.2">
      <c r="F842" s="209"/>
      <c r="G842" s="281"/>
    </row>
    <row r="843" spans="6:7" x14ac:dyDescent="0.2">
      <c r="F843" s="209"/>
      <c r="G843" s="281"/>
    </row>
    <row r="844" spans="6:7" x14ac:dyDescent="0.2">
      <c r="F844" s="209"/>
      <c r="G844" s="281"/>
    </row>
    <row r="845" spans="6:7" x14ac:dyDescent="0.2">
      <c r="F845" s="209"/>
      <c r="G845" s="281"/>
    </row>
    <row r="846" spans="6:7" x14ac:dyDescent="0.2">
      <c r="F846" s="209"/>
      <c r="G846" s="281"/>
    </row>
    <row r="847" spans="6:7" x14ac:dyDescent="0.2">
      <c r="F847" s="209"/>
      <c r="G847" s="281"/>
    </row>
    <row r="848" spans="6:7" x14ac:dyDescent="0.2">
      <c r="F848" s="209"/>
      <c r="G848" s="281"/>
    </row>
    <row r="849" spans="6:7" x14ac:dyDescent="0.2">
      <c r="F849" s="209"/>
      <c r="G849" s="281"/>
    </row>
    <row r="850" spans="6:7" x14ac:dyDescent="0.2">
      <c r="F850" s="209"/>
      <c r="G850" s="281"/>
    </row>
    <row r="851" spans="6:7" x14ac:dyDescent="0.2">
      <c r="F851" s="209"/>
      <c r="G851" s="281"/>
    </row>
    <row r="852" spans="6:7" x14ac:dyDescent="0.2">
      <c r="F852" s="209"/>
      <c r="G852" s="281"/>
    </row>
    <row r="853" spans="6:7" x14ac:dyDescent="0.2">
      <c r="F853" s="209"/>
      <c r="G853" s="281"/>
    </row>
    <row r="854" spans="6:7" x14ac:dyDescent="0.2">
      <c r="F854" s="209"/>
      <c r="G854" s="281"/>
    </row>
    <row r="855" spans="6:7" x14ac:dyDescent="0.2">
      <c r="F855" s="209"/>
      <c r="G855" s="281"/>
    </row>
    <row r="856" spans="6:7" x14ac:dyDescent="0.2">
      <c r="F856" s="209"/>
      <c r="G856" s="281"/>
    </row>
    <row r="857" spans="6:7" x14ac:dyDescent="0.2">
      <c r="F857" s="209"/>
      <c r="G857" s="281"/>
    </row>
    <row r="858" spans="6:7" x14ac:dyDescent="0.2">
      <c r="F858" s="209"/>
      <c r="G858" s="281"/>
    </row>
    <row r="859" spans="6:7" x14ac:dyDescent="0.2">
      <c r="F859" s="209"/>
      <c r="G859" s="281"/>
    </row>
    <row r="860" spans="6:7" x14ac:dyDescent="0.2">
      <c r="F860" s="209"/>
      <c r="G860" s="281"/>
    </row>
    <row r="861" spans="6:7" x14ac:dyDescent="0.2">
      <c r="F861" s="209"/>
      <c r="G861" s="281"/>
    </row>
    <row r="862" spans="6:7" x14ac:dyDescent="0.2">
      <c r="F862" s="209"/>
      <c r="G862" s="281"/>
    </row>
    <row r="863" spans="6:7" x14ac:dyDescent="0.2">
      <c r="F863" s="209"/>
      <c r="G863" s="281"/>
    </row>
    <row r="864" spans="6:7" x14ac:dyDescent="0.2">
      <c r="F864" s="209"/>
      <c r="G864" s="281"/>
    </row>
    <row r="865" spans="6:7" x14ac:dyDescent="0.2">
      <c r="F865" s="209"/>
      <c r="G865" s="281"/>
    </row>
    <row r="866" spans="6:7" x14ac:dyDescent="0.2">
      <c r="F866" s="209"/>
      <c r="G866" s="281"/>
    </row>
    <row r="867" spans="6:7" x14ac:dyDescent="0.2">
      <c r="F867" s="209"/>
      <c r="G867" s="281"/>
    </row>
    <row r="868" spans="6:7" x14ac:dyDescent="0.2">
      <c r="F868" s="209"/>
      <c r="G868" s="281"/>
    </row>
    <row r="869" spans="6:7" x14ac:dyDescent="0.2">
      <c r="F869" s="209"/>
      <c r="G869" s="281"/>
    </row>
    <row r="870" spans="6:7" x14ac:dyDescent="0.2">
      <c r="F870" s="209"/>
      <c r="G870" s="281"/>
    </row>
    <row r="871" spans="6:7" x14ac:dyDescent="0.2">
      <c r="F871" s="209"/>
      <c r="G871" s="281"/>
    </row>
    <row r="872" spans="6:7" x14ac:dyDescent="0.2">
      <c r="F872" s="209"/>
      <c r="G872" s="281"/>
    </row>
    <row r="873" spans="6:7" x14ac:dyDescent="0.2">
      <c r="F873" s="209"/>
      <c r="G873" s="281"/>
    </row>
    <row r="874" spans="6:7" x14ac:dyDescent="0.2">
      <c r="F874" s="209"/>
      <c r="G874" s="281"/>
    </row>
    <row r="875" spans="6:7" x14ac:dyDescent="0.2">
      <c r="F875" s="209"/>
      <c r="G875" s="281"/>
    </row>
    <row r="876" spans="6:7" x14ac:dyDescent="0.2">
      <c r="F876" s="209"/>
      <c r="G876" s="281"/>
    </row>
    <row r="877" spans="6:7" x14ac:dyDescent="0.2">
      <c r="F877" s="209"/>
      <c r="G877" s="281"/>
    </row>
    <row r="878" spans="6:7" x14ac:dyDescent="0.2">
      <c r="F878" s="209"/>
      <c r="G878" s="281"/>
    </row>
    <row r="879" spans="6:7" x14ac:dyDescent="0.2">
      <c r="F879" s="209"/>
      <c r="G879" s="281"/>
    </row>
    <row r="880" spans="6:7" x14ac:dyDescent="0.2">
      <c r="F880" s="209"/>
      <c r="G880" s="281"/>
    </row>
    <row r="881" spans="6:7" x14ac:dyDescent="0.2">
      <c r="F881" s="209"/>
      <c r="G881" s="281"/>
    </row>
    <row r="882" spans="6:7" x14ac:dyDescent="0.2">
      <c r="F882" s="209"/>
      <c r="G882" s="281"/>
    </row>
    <row r="883" spans="6:7" x14ac:dyDescent="0.2">
      <c r="F883" s="209"/>
      <c r="G883" s="281"/>
    </row>
    <row r="884" spans="6:7" x14ac:dyDescent="0.2">
      <c r="F884" s="209"/>
      <c r="G884" s="281"/>
    </row>
    <row r="885" spans="6:7" x14ac:dyDescent="0.2">
      <c r="F885" s="209"/>
      <c r="G885" s="281"/>
    </row>
    <row r="886" spans="6:7" x14ac:dyDescent="0.2">
      <c r="F886" s="209"/>
      <c r="G886" s="281"/>
    </row>
    <row r="887" spans="6:7" x14ac:dyDescent="0.2">
      <c r="F887" s="209"/>
      <c r="G887" s="281"/>
    </row>
    <row r="888" spans="6:7" x14ac:dyDescent="0.2">
      <c r="F888" s="209"/>
      <c r="G888" s="281"/>
    </row>
    <row r="889" spans="6:7" x14ac:dyDescent="0.2">
      <c r="F889" s="209"/>
      <c r="G889" s="281"/>
    </row>
    <row r="890" spans="6:7" x14ac:dyDescent="0.2">
      <c r="F890" s="209"/>
      <c r="G890" s="281"/>
    </row>
    <row r="891" spans="6:7" x14ac:dyDescent="0.2">
      <c r="F891" s="209"/>
      <c r="G891" s="281"/>
    </row>
    <row r="892" spans="6:7" x14ac:dyDescent="0.2">
      <c r="F892" s="209"/>
      <c r="G892" s="281"/>
    </row>
    <row r="893" spans="6:7" x14ac:dyDescent="0.2">
      <c r="F893" s="209"/>
      <c r="G893" s="281"/>
    </row>
    <row r="894" spans="6:7" x14ac:dyDescent="0.2">
      <c r="F894" s="209"/>
      <c r="G894" s="281"/>
    </row>
    <row r="895" spans="6:7" x14ac:dyDescent="0.2">
      <c r="F895" s="209"/>
      <c r="G895" s="281"/>
    </row>
    <row r="896" spans="6:7" x14ac:dyDescent="0.2">
      <c r="F896" s="209"/>
      <c r="G896" s="281"/>
    </row>
    <row r="897" spans="6:7" x14ac:dyDescent="0.2">
      <c r="F897" s="209"/>
      <c r="G897" s="281"/>
    </row>
    <row r="898" spans="6:7" x14ac:dyDescent="0.2">
      <c r="F898" s="209"/>
      <c r="G898" s="281"/>
    </row>
    <row r="899" spans="6:7" x14ac:dyDescent="0.2">
      <c r="F899" s="209"/>
      <c r="G899" s="281"/>
    </row>
    <row r="900" spans="6:7" x14ac:dyDescent="0.2">
      <c r="F900" s="209"/>
      <c r="G900" s="281"/>
    </row>
    <row r="901" spans="6:7" x14ac:dyDescent="0.2">
      <c r="F901" s="209"/>
      <c r="G901" s="281"/>
    </row>
    <row r="902" spans="6:7" x14ac:dyDescent="0.2">
      <c r="F902" s="209"/>
      <c r="G902" s="281"/>
    </row>
    <row r="903" spans="6:7" x14ac:dyDescent="0.2">
      <c r="F903" s="209"/>
      <c r="G903" s="281"/>
    </row>
    <row r="904" spans="6:7" x14ac:dyDescent="0.2">
      <c r="F904" s="209"/>
      <c r="G904" s="281"/>
    </row>
    <row r="905" spans="6:7" x14ac:dyDescent="0.2">
      <c r="F905" s="209"/>
      <c r="G905" s="281"/>
    </row>
    <row r="906" spans="6:7" x14ac:dyDescent="0.2">
      <c r="F906" s="209"/>
      <c r="G906" s="281"/>
    </row>
    <row r="907" spans="6:7" x14ac:dyDescent="0.2">
      <c r="F907" s="209"/>
      <c r="G907" s="281"/>
    </row>
    <row r="908" spans="6:7" x14ac:dyDescent="0.2">
      <c r="F908" s="209"/>
      <c r="G908" s="281"/>
    </row>
    <row r="909" spans="6:7" x14ac:dyDescent="0.2">
      <c r="F909" s="209"/>
      <c r="G909" s="281"/>
    </row>
    <row r="910" spans="6:7" x14ac:dyDescent="0.2">
      <c r="F910" s="209"/>
      <c r="G910" s="281"/>
    </row>
    <row r="911" spans="6:7" x14ac:dyDescent="0.2">
      <c r="F911" s="209"/>
      <c r="G911" s="281"/>
    </row>
    <row r="912" spans="6:7" x14ac:dyDescent="0.2">
      <c r="F912" s="209"/>
      <c r="G912" s="281"/>
    </row>
    <row r="913" spans="6:7" x14ac:dyDescent="0.2">
      <c r="F913" s="209"/>
      <c r="G913" s="281"/>
    </row>
    <row r="914" spans="6:7" x14ac:dyDescent="0.2">
      <c r="F914" s="209"/>
      <c r="G914" s="281"/>
    </row>
    <row r="915" spans="6:7" x14ac:dyDescent="0.2">
      <c r="F915" s="209"/>
      <c r="G915" s="281"/>
    </row>
    <row r="916" spans="6:7" x14ac:dyDescent="0.2">
      <c r="F916" s="209"/>
      <c r="G916" s="281"/>
    </row>
    <row r="917" spans="6:7" x14ac:dyDescent="0.2">
      <c r="F917" s="209"/>
      <c r="G917" s="281"/>
    </row>
    <row r="918" spans="6:7" x14ac:dyDescent="0.2">
      <c r="F918" s="209"/>
      <c r="G918" s="281"/>
    </row>
    <row r="919" spans="6:7" x14ac:dyDescent="0.2">
      <c r="F919" s="209"/>
      <c r="G919" s="281"/>
    </row>
    <row r="920" spans="6:7" x14ac:dyDescent="0.2">
      <c r="F920" s="209"/>
      <c r="G920" s="281"/>
    </row>
    <row r="921" spans="6:7" x14ac:dyDescent="0.2">
      <c r="F921" s="209"/>
      <c r="G921" s="281"/>
    </row>
    <row r="922" spans="6:7" x14ac:dyDescent="0.2">
      <c r="F922" s="209"/>
      <c r="G922" s="281"/>
    </row>
    <row r="923" spans="6:7" x14ac:dyDescent="0.2">
      <c r="F923" s="209"/>
      <c r="G923" s="281"/>
    </row>
    <row r="924" spans="6:7" x14ac:dyDescent="0.2">
      <c r="F924" s="209"/>
      <c r="G924" s="281"/>
    </row>
    <row r="925" spans="6:7" x14ac:dyDescent="0.2">
      <c r="F925" s="209"/>
      <c r="G925" s="281"/>
    </row>
    <row r="926" spans="6:7" x14ac:dyDescent="0.2">
      <c r="F926" s="209"/>
      <c r="G926" s="281"/>
    </row>
    <row r="927" spans="6:7" x14ac:dyDescent="0.2">
      <c r="F927" s="209"/>
      <c r="G927" s="281"/>
    </row>
    <row r="928" spans="6:7" x14ac:dyDescent="0.2">
      <c r="F928" s="209"/>
      <c r="G928" s="281"/>
    </row>
    <row r="929" spans="6:7" x14ac:dyDescent="0.2">
      <c r="F929" s="209"/>
      <c r="G929" s="281"/>
    </row>
    <row r="930" spans="6:7" x14ac:dyDescent="0.2">
      <c r="F930" s="209"/>
      <c r="G930" s="281"/>
    </row>
    <row r="931" spans="6:7" x14ac:dyDescent="0.2">
      <c r="F931" s="209"/>
      <c r="G931" s="281"/>
    </row>
    <row r="932" spans="6:7" x14ac:dyDescent="0.2">
      <c r="F932" s="209"/>
      <c r="G932" s="281"/>
    </row>
    <row r="933" spans="6:7" x14ac:dyDescent="0.2">
      <c r="F933" s="209"/>
      <c r="G933" s="281"/>
    </row>
    <row r="934" spans="6:7" x14ac:dyDescent="0.2">
      <c r="F934" s="209"/>
      <c r="G934" s="281"/>
    </row>
    <row r="935" spans="6:7" x14ac:dyDescent="0.2">
      <c r="F935" s="209"/>
      <c r="G935" s="281"/>
    </row>
    <row r="936" spans="6:7" x14ac:dyDescent="0.2">
      <c r="F936" s="209"/>
      <c r="G936" s="281"/>
    </row>
    <row r="937" spans="6:7" x14ac:dyDescent="0.2">
      <c r="F937" s="209"/>
      <c r="G937" s="281"/>
    </row>
    <row r="938" spans="6:7" x14ac:dyDescent="0.2">
      <c r="F938" s="209"/>
      <c r="G938" s="281"/>
    </row>
    <row r="939" spans="6:7" x14ac:dyDescent="0.2">
      <c r="F939" s="209"/>
      <c r="G939" s="281"/>
    </row>
    <row r="940" spans="6:7" x14ac:dyDescent="0.2">
      <c r="F940" s="209"/>
      <c r="G940" s="281"/>
    </row>
    <row r="941" spans="6:7" x14ac:dyDescent="0.2">
      <c r="F941" s="209"/>
      <c r="G941" s="281"/>
    </row>
    <row r="942" spans="6:7" x14ac:dyDescent="0.2">
      <c r="F942" s="209"/>
      <c r="G942" s="281"/>
    </row>
    <row r="943" spans="6:7" x14ac:dyDescent="0.2">
      <c r="F943" s="209"/>
      <c r="G943" s="281"/>
    </row>
    <row r="944" spans="6:7" x14ac:dyDescent="0.2">
      <c r="F944" s="209"/>
      <c r="G944" s="281"/>
    </row>
    <row r="945" spans="6:7" x14ac:dyDescent="0.2">
      <c r="F945" s="209"/>
      <c r="G945" s="281"/>
    </row>
    <row r="946" spans="6:7" x14ac:dyDescent="0.2">
      <c r="F946" s="209"/>
      <c r="G946" s="281"/>
    </row>
    <row r="947" spans="6:7" x14ac:dyDescent="0.2">
      <c r="F947" s="209"/>
      <c r="G947" s="281"/>
    </row>
    <row r="948" spans="6:7" x14ac:dyDescent="0.2">
      <c r="F948" s="209"/>
      <c r="G948" s="281"/>
    </row>
    <row r="949" spans="6:7" x14ac:dyDescent="0.2">
      <c r="F949" s="209"/>
      <c r="G949" s="281"/>
    </row>
    <row r="950" spans="6:7" x14ac:dyDescent="0.2">
      <c r="F950" s="209"/>
      <c r="G950" s="281"/>
    </row>
    <row r="951" spans="6:7" x14ac:dyDescent="0.2">
      <c r="F951" s="209"/>
      <c r="G951" s="281"/>
    </row>
    <row r="952" spans="6:7" x14ac:dyDescent="0.2">
      <c r="F952" s="209"/>
      <c r="G952" s="281"/>
    </row>
    <row r="953" spans="6:7" x14ac:dyDescent="0.2">
      <c r="F953" s="209"/>
      <c r="G953" s="281"/>
    </row>
    <row r="954" spans="6:7" x14ac:dyDescent="0.2">
      <c r="F954" s="209"/>
      <c r="G954" s="281"/>
    </row>
    <row r="955" spans="6:7" x14ac:dyDescent="0.2">
      <c r="F955" s="209"/>
      <c r="G955" s="281"/>
    </row>
    <row r="956" spans="6:7" x14ac:dyDescent="0.2">
      <c r="F956" s="209"/>
      <c r="G956" s="281"/>
    </row>
    <row r="957" spans="6:7" x14ac:dyDescent="0.2">
      <c r="F957" s="209"/>
      <c r="G957" s="281"/>
    </row>
    <row r="958" spans="6:7" x14ac:dyDescent="0.2">
      <c r="F958" s="209"/>
      <c r="G958" s="281"/>
    </row>
    <row r="959" spans="6:7" x14ac:dyDescent="0.2">
      <c r="F959" s="209"/>
      <c r="G959" s="281"/>
    </row>
    <row r="960" spans="6:7" x14ac:dyDescent="0.2">
      <c r="F960" s="209"/>
      <c r="G960" s="281"/>
    </row>
    <row r="961" spans="6:7" x14ac:dyDescent="0.2">
      <c r="F961" s="209"/>
      <c r="G961" s="281"/>
    </row>
    <row r="962" spans="6:7" x14ac:dyDescent="0.2">
      <c r="F962" s="209"/>
      <c r="G962" s="281"/>
    </row>
    <row r="963" spans="6:7" x14ac:dyDescent="0.2">
      <c r="F963" s="209"/>
      <c r="G963" s="281"/>
    </row>
    <row r="964" spans="6:7" x14ac:dyDescent="0.2">
      <c r="F964" s="209"/>
      <c r="G964" s="281"/>
    </row>
    <row r="965" spans="6:7" x14ac:dyDescent="0.2">
      <c r="F965" s="209"/>
      <c r="G965" s="281"/>
    </row>
    <row r="966" spans="6:7" x14ac:dyDescent="0.2">
      <c r="F966" s="209"/>
      <c r="G966" s="281"/>
    </row>
    <row r="967" spans="6:7" x14ac:dyDescent="0.2">
      <c r="F967" s="209"/>
      <c r="G967" s="281"/>
    </row>
    <row r="968" spans="6:7" x14ac:dyDescent="0.2">
      <c r="F968" s="209"/>
      <c r="G968" s="281"/>
    </row>
    <row r="969" spans="6:7" x14ac:dyDescent="0.2">
      <c r="F969" s="209"/>
      <c r="G969" s="281"/>
    </row>
    <row r="970" spans="6:7" x14ac:dyDescent="0.2">
      <c r="F970" s="209"/>
      <c r="G970" s="281"/>
    </row>
    <row r="971" spans="6:7" x14ac:dyDescent="0.2">
      <c r="F971" s="209"/>
      <c r="G971" s="281"/>
    </row>
    <row r="972" spans="6:7" x14ac:dyDescent="0.2">
      <c r="F972" s="209"/>
      <c r="G972" s="281"/>
    </row>
    <row r="973" spans="6:7" x14ac:dyDescent="0.2">
      <c r="F973" s="209"/>
      <c r="G973" s="281"/>
    </row>
    <row r="974" spans="6:7" x14ac:dyDescent="0.2">
      <c r="F974" s="209"/>
      <c r="G974" s="281"/>
    </row>
    <row r="975" spans="6:7" x14ac:dyDescent="0.2">
      <c r="F975" s="209"/>
      <c r="G975" s="281"/>
    </row>
    <row r="976" spans="6:7" x14ac:dyDescent="0.2">
      <c r="F976" s="209"/>
      <c r="G976" s="281"/>
    </row>
    <row r="977" spans="6:7" x14ac:dyDescent="0.2">
      <c r="F977" s="209"/>
      <c r="G977" s="281"/>
    </row>
    <row r="978" spans="6:7" x14ac:dyDescent="0.2">
      <c r="F978" s="209"/>
      <c r="G978" s="281"/>
    </row>
    <row r="979" spans="6:7" x14ac:dyDescent="0.2">
      <c r="F979" s="209"/>
      <c r="G979" s="281"/>
    </row>
    <row r="980" spans="6:7" x14ac:dyDescent="0.2">
      <c r="F980" s="209"/>
      <c r="G980" s="281"/>
    </row>
    <row r="981" spans="6:7" x14ac:dyDescent="0.2">
      <c r="F981" s="209"/>
      <c r="G981" s="281"/>
    </row>
    <row r="982" spans="6:7" x14ac:dyDescent="0.2">
      <c r="F982" s="209"/>
      <c r="G982" s="281"/>
    </row>
    <row r="983" spans="6:7" x14ac:dyDescent="0.2">
      <c r="F983" s="209"/>
      <c r="G983" s="281"/>
    </row>
    <row r="984" spans="6:7" x14ac:dyDescent="0.2">
      <c r="F984" s="209"/>
      <c r="G984" s="281"/>
    </row>
    <row r="985" spans="6:7" x14ac:dyDescent="0.2">
      <c r="F985" s="209"/>
      <c r="G985" s="281"/>
    </row>
    <row r="986" spans="6:7" x14ac:dyDescent="0.2">
      <c r="F986" s="209"/>
      <c r="G986" s="281"/>
    </row>
    <row r="987" spans="6:7" x14ac:dyDescent="0.2">
      <c r="F987" s="209"/>
      <c r="G987" s="281"/>
    </row>
    <row r="988" spans="6:7" x14ac:dyDescent="0.2">
      <c r="F988" s="209"/>
      <c r="G988" s="281"/>
    </row>
    <row r="989" spans="6:7" x14ac:dyDescent="0.2">
      <c r="F989" s="209"/>
      <c r="G989" s="281"/>
    </row>
    <row r="990" spans="6:7" x14ac:dyDescent="0.2">
      <c r="F990" s="209"/>
      <c r="G990" s="281"/>
    </row>
    <row r="991" spans="6:7" x14ac:dyDescent="0.2">
      <c r="F991" s="209"/>
      <c r="G991" s="281"/>
    </row>
    <row r="992" spans="6:7" x14ac:dyDescent="0.2">
      <c r="F992" s="209"/>
      <c r="G992" s="281"/>
    </row>
    <row r="993" spans="6:7" x14ac:dyDescent="0.2">
      <c r="F993" s="209"/>
      <c r="G993" s="281"/>
    </row>
    <row r="994" spans="6:7" x14ac:dyDescent="0.2">
      <c r="F994" s="209"/>
      <c r="G994" s="281"/>
    </row>
    <row r="995" spans="6:7" x14ac:dyDescent="0.2">
      <c r="F995" s="209"/>
      <c r="G995" s="281"/>
    </row>
    <row r="996" spans="6:7" x14ac:dyDescent="0.2">
      <c r="F996" s="209"/>
      <c r="G996" s="281"/>
    </row>
    <row r="997" spans="6:7" x14ac:dyDescent="0.2">
      <c r="F997" s="209"/>
      <c r="G997" s="281"/>
    </row>
    <row r="998" spans="6:7" x14ac:dyDescent="0.2">
      <c r="F998" s="209"/>
      <c r="G998" s="281"/>
    </row>
    <row r="999" spans="6:7" x14ac:dyDescent="0.2">
      <c r="F999" s="209"/>
      <c r="G999" s="281"/>
    </row>
    <row r="1000" spans="6:7" x14ac:dyDescent="0.2">
      <c r="F1000" s="209"/>
      <c r="G1000" s="281"/>
    </row>
    <row r="1001" spans="6:7" x14ac:dyDescent="0.2">
      <c r="F1001" s="209"/>
      <c r="G1001" s="281"/>
    </row>
    <row r="1002" spans="6:7" x14ac:dyDescent="0.2">
      <c r="F1002" s="209"/>
      <c r="G1002" s="281"/>
    </row>
    <row r="1003" spans="6:7" x14ac:dyDescent="0.2">
      <c r="F1003" s="209"/>
      <c r="G1003" s="281"/>
    </row>
    <row r="1004" spans="6:7" x14ac:dyDescent="0.2">
      <c r="F1004" s="209"/>
      <c r="G1004" s="281"/>
    </row>
    <row r="1005" spans="6:7" x14ac:dyDescent="0.2">
      <c r="F1005" s="209"/>
      <c r="G1005" s="281"/>
    </row>
    <row r="1006" spans="6:7" x14ac:dyDescent="0.2">
      <c r="F1006" s="209"/>
      <c r="G1006" s="281"/>
    </row>
    <row r="1007" spans="6:7" x14ac:dyDescent="0.2">
      <c r="F1007" s="209"/>
      <c r="G1007" s="281"/>
    </row>
    <row r="1008" spans="6:7" x14ac:dyDescent="0.2">
      <c r="F1008" s="209"/>
      <c r="G1008" s="281"/>
    </row>
    <row r="1009" spans="6:7" x14ac:dyDescent="0.2">
      <c r="F1009" s="209"/>
      <c r="G1009" s="281"/>
    </row>
    <row r="1010" spans="6:7" x14ac:dyDescent="0.2">
      <c r="F1010" s="209"/>
      <c r="G1010" s="281"/>
    </row>
    <row r="1011" spans="6:7" x14ac:dyDescent="0.2">
      <c r="F1011" s="209"/>
      <c r="G1011" s="281"/>
    </row>
    <row r="1012" spans="6:7" x14ac:dyDescent="0.2">
      <c r="F1012" s="209"/>
      <c r="G1012" s="281"/>
    </row>
    <row r="1013" spans="6:7" x14ac:dyDescent="0.2">
      <c r="F1013" s="209"/>
      <c r="G1013" s="281"/>
    </row>
    <row r="1014" spans="6:7" x14ac:dyDescent="0.2">
      <c r="F1014" s="209"/>
      <c r="G1014" s="281"/>
    </row>
    <row r="1015" spans="6:7" x14ac:dyDescent="0.2">
      <c r="F1015" s="209"/>
      <c r="G1015" s="281"/>
    </row>
    <row r="1016" spans="6:7" x14ac:dyDescent="0.2">
      <c r="F1016" s="209"/>
      <c r="G1016" s="281"/>
    </row>
    <row r="1017" spans="6:7" x14ac:dyDescent="0.2">
      <c r="F1017" s="209"/>
      <c r="G1017" s="281"/>
    </row>
    <row r="1018" spans="6:7" x14ac:dyDescent="0.2">
      <c r="F1018" s="209"/>
      <c r="G1018" s="281"/>
    </row>
    <row r="1019" spans="6:7" x14ac:dyDescent="0.2">
      <c r="F1019" s="209"/>
      <c r="G1019" s="281"/>
    </row>
    <row r="1020" spans="6:7" x14ac:dyDescent="0.2">
      <c r="F1020" s="209"/>
      <c r="G1020" s="281"/>
    </row>
    <row r="1021" spans="6:7" x14ac:dyDescent="0.2">
      <c r="F1021" s="209"/>
      <c r="G1021" s="281"/>
    </row>
    <row r="1022" spans="6:7" x14ac:dyDescent="0.2">
      <c r="F1022" s="209"/>
      <c r="G1022" s="281"/>
    </row>
    <row r="1023" spans="6:7" x14ac:dyDescent="0.2">
      <c r="F1023" s="209"/>
      <c r="G1023" s="281"/>
    </row>
    <row r="1024" spans="6:7" x14ac:dyDescent="0.2">
      <c r="F1024" s="209"/>
      <c r="G1024" s="281"/>
    </row>
    <row r="1025" spans="6:7" x14ac:dyDescent="0.2">
      <c r="F1025" s="209"/>
      <c r="G1025" s="281"/>
    </row>
    <row r="1026" spans="6:7" x14ac:dyDescent="0.2">
      <c r="F1026" s="209"/>
      <c r="G1026" s="281"/>
    </row>
    <row r="1027" spans="6:7" x14ac:dyDescent="0.2">
      <c r="F1027" s="209"/>
      <c r="G1027" s="281"/>
    </row>
    <row r="1028" spans="6:7" x14ac:dyDescent="0.2">
      <c r="F1028" s="209"/>
      <c r="G1028" s="281"/>
    </row>
    <row r="1029" spans="6:7" x14ac:dyDescent="0.2">
      <c r="F1029" s="209"/>
      <c r="G1029" s="281"/>
    </row>
    <row r="1030" spans="6:7" x14ac:dyDescent="0.2">
      <c r="F1030" s="209"/>
      <c r="G1030" s="281"/>
    </row>
    <row r="1031" spans="6:7" x14ac:dyDescent="0.2">
      <c r="F1031" s="209"/>
      <c r="G1031" s="281"/>
    </row>
    <row r="1032" spans="6:7" x14ac:dyDescent="0.2">
      <c r="F1032" s="209"/>
      <c r="G1032" s="281"/>
    </row>
    <row r="1033" spans="6:7" x14ac:dyDescent="0.2">
      <c r="F1033" s="209"/>
      <c r="G1033" s="281"/>
    </row>
    <row r="1034" spans="6:7" x14ac:dyDescent="0.2">
      <c r="F1034" s="209"/>
      <c r="G1034" s="281"/>
    </row>
    <row r="1035" spans="6:7" x14ac:dyDescent="0.2">
      <c r="F1035" s="209"/>
      <c r="G1035" s="281"/>
    </row>
    <row r="1036" spans="6:7" x14ac:dyDescent="0.2">
      <c r="F1036" s="209"/>
      <c r="G1036" s="281"/>
    </row>
    <row r="1037" spans="6:7" x14ac:dyDescent="0.2">
      <c r="F1037" s="209"/>
      <c r="G1037" s="281"/>
    </row>
    <row r="1038" spans="6:7" x14ac:dyDescent="0.2">
      <c r="F1038" s="209"/>
      <c r="G1038" s="281"/>
    </row>
    <row r="1039" spans="6:7" x14ac:dyDescent="0.2">
      <c r="F1039" s="209"/>
      <c r="G1039" s="281"/>
    </row>
    <row r="1040" spans="6:7" x14ac:dyDescent="0.2">
      <c r="F1040" s="209"/>
      <c r="G1040" s="281"/>
    </row>
    <row r="1041" spans="6:7" x14ac:dyDescent="0.2">
      <c r="F1041" s="209"/>
      <c r="G1041" s="281"/>
    </row>
    <row r="1042" spans="6:7" x14ac:dyDescent="0.2">
      <c r="F1042" s="209"/>
      <c r="G1042" s="281"/>
    </row>
    <row r="1043" spans="6:7" x14ac:dyDescent="0.2">
      <c r="F1043" s="209"/>
      <c r="G1043" s="281"/>
    </row>
    <row r="1044" spans="6:7" x14ac:dyDescent="0.2">
      <c r="F1044" s="209"/>
      <c r="G1044" s="281"/>
    </row>
    <row r="1045" spans="6:7" x14ac:dyDescent="0.2">
      <c r="F1045" s="209"/>
      <c r="G1045" s="281"/>
    </row>
    <row r="1046" spans="6:7" x14ac:dyDescent="0.2">
      <c r="F1046" s="209"/>
      <c r="G1046" s="281"/>
    </row>
    <row r="1047" spans="6:7" x14ac:dyDescent="0.2">
      <c r="F1047" s="209"/>
      <c r="G1047" s="281"/>
    </row>
    <row r="1048" spans="6:7" x14ac:dyDescent="0.2">
      <c r="F1048" s="209"/>
      <c r="G1048" s="281"/>
    </row>
    <row r="1049" spans="6:7" x14ac:dyDescent="0.2">
      <c r="F1049" s="209"/>
      <c r="G1049" s="281"/>
    </row>
    <row r="1050" spans="6:7" x14ac:dyDescent="0.2">
      <c r="F1050" s="209"/>
      <c r="G1050" s="281"/>
    </row>
    <row r="1051" spans="6:7" x14ac:dyDescent="0.2">
      <c r="F1051" s="209"/>
      <c r="G1051" s="281"/>
    </row>
    <row r="1052" spans="6:7" x14ac:dyDescent="0.2">
      <c r="F1052" s="209"/>
      <c r="G1052" s="281"/>
    </row>
    <row r="1053" spans="6:7" x14ac:dyDescent="0.2">
      <c r="F1053" s="209"/>
      <c r="G1053" s="281"/>
    </row>
    <row r="1054" spans="6:7" x14ac:dyDescent="0.2">
      <c r="F1054" s="209"/>
      <c r="G1054" s="281"/>
    </row>
    <row r="1055" spans="6:7" x14ac:dyDescent="0.2">
      <c r="F1055" s="209"/>
      <c r="G1055" s="281"/>
    </row>
    <row r="1056" spans="6:7" x14ac:dyDescent="0.2">
      <c r="F1056" s="209"/>
      <c r="G1056" s="281"/>
    </row>
    <row r="1057" spans="6:7" x14ac:dyDescent="0.2">
      <c r="F1057" s="209"/>
      <c r="G1057" s="281"/>
    </row>
    <row r="1058" spans="6:7" x14ac:dyDescent="0.2">
      <c r="F1058" s="209"/>
      <c r="G1058" s="281"/>
    </row>
    <row r="1059" spans="6:7" x14ac:dyDescent="0.2">
      <c r="F1059" s="209"/>
      <c r="G1059" s="281"/>
    </row>
    <row r="1060" spans="6:7" x14ac:dyDescent="0.2">
      <c r="F1060" s="209"/>
      <c r="G1060" s="281"/>
    </row>
    <row r="1061" spans="6:7" x14ac:dyDescent="0.2">
      <c r="F1061" s="209"/>
      <c r="G1061" s="281"/>
    </row>
    <row r="1062" spans="6:7" x14ac:dyDescent="0.2">
      <c r="F1062" s="209"/>
      <c r="G1062" s="281"/>
    </row>
    <row r="1063" spans="6:7" x14ac:dyDescent="0.2">
      <c r="F1063" s="209"/>
      <c r="G1063" s="281"/>
    </row>
    <row r="1064" spans="6:7" x14ac:dyDescent="0.2">
      <c r="F1064" s="209"/>
      <c r="G1064" s="281"/>
    </row>
    <row r="1065" spans="6:7" x14ac:dyDescent="0.2">
      <c r="F1065" s="209"/>
      <c r="G1065" s="281"/>
    </row>
    <row r="1066" spans="6:7" x14ac:dyDescent="0.2">
      <c r="F1066" s="209"/>
      <c r="G1066" s="281"/>
    </row>
    <row r="1067" spans="6:7" x14ac:dyDescent="0.2">
      <c r="F1067" s="209"/>
      <c r="G1067" s="281"/>
    </row>
    <row r="1068" spans="6:7" x14ac:dyDescent="0.2">
      <c r="F1068" s="209"/>
      <c r="G1068" s="281"/>
    </row>
    <row r="1069" spans="6:7" x14ac:dyDescent="0.2">
      <c r="F1069" s="209"/>
      <c r="G1069" s="281"/>
    </row>
    <row r="1070" spans="6:7" x14ac:dyDescent="0.2">
      <c r="F1070" s="209"/>
      <c r="G1070" s="281"/>
    </row>
    <row r="1071" spans="6:7" x14ac:dyDescent="0.2">
      <c r="F1071" s="209"/>
      <c r="G1071" s="281"/>
    </row>
    <row r="1072" spans="6:7" x14ac:dyDescent="0.2">
      <c r="F1072" s="209"/>
      <c r="G1072" s="281"/>
    </row>
    <row r="1073" spans="6:7" x14ac:dyDescent="0.2">
      <c r="F1073" s="209"/>
      <c r="G1073" s="281"/>
    </row>
    <row r="1074" spans="6:7" x14ac:dyDescent="0.2">
      <c r="F1074" s="209"/>
      <c r="G1074" s="281"/>
    </row>
    <row r="1075" spans="6:7" x14ac:dyDescent="0.2">
      <c r="F1075" s="209"/>
      <c r="G1075" s="281"/>
    </row>
    <row r="1076" spans="6:7" x14ac:dyDescent="0.2">
      <c r="F1076" s="209"/>
      <c r="G1076" s="281"/>
    </row>
    <row r="1077" spans="6:7" x14ac:dyDescent="0.2">
      <c r="F1077" s="209"/>
      <c r="G1077" s="281"/>
    </row>
    <row r="1078" spans="6:7" x14ac:dyDescent="0.2">
      <c r="F1078" s="209"/>
      <c r="G1078" s="281"/>
    </row>
    <row r="1079" spans="6:7" x14ac:dyDescent="0.2">
      <c r="F1079" s="209"/>
      <c r="G1079" s="281"/>
    </row>
    <row r="1080" spans="6:7" x14ac:dyDescent="0.2">
      <c r="F1080" s="209"/>
      <c r="G1080" s="281"/>
    </row>
    <row r="1081" spans="6:7" x14ac:dyDescent="0.2">
      <c r="F1081" s="209"/>
      <c r="G1081" s="281"/>
    </row>
    <row r="1082" spans="6:7" x14ac:dyDescent="0.2">
      <c r="F1082" s="209"/>
      <c r="G1082" s="281"/>
    </row>
    <row r="1083" spans="6:7" x14ac:dyDescent="0.2">
      <c r="F1083" s="209"/>
      <c r="G1083" s="281"/>
    </row>
    <row r="1084" spans="6:7" x14ac:dyDescent="0.2">
      <c r="F1084" s="209"/>
      <c r="G1084" s="281"/>
    </row>
    <row r="1085" spans="6:7" x14ac:dyDescent="0.2">
      <c r="F1085" s="209"/>
      <c r="G1085" s="281"/>
    </row>
    <row r="1086" spans="6:7" x14ac:dyDescent="0.2">
      <c r="F1086" s="209"/>
      <c r="G1086" s="281"/>
    </row>
    <row r="1087" spans="6:7" x14ac:dyDescent="0.2">
      <c r="F1087" s="209"/>
      <c r="G1087" s="281"/>
    </row>
    <row r="1088" spans="6:7" x14ac:dyDescent="0.2">
      <c r="F1088" s="209"/>
      <c r="G1088" s="281"/>
    </row>
    <row r="1089" spans="6:7" x14ac:dyDescent="0.2">
      <c r="F1089" s="209"/>
      <c r="G1089" s="281"/>
    </row>
    <row r="1090" spans="6:7" x14ac:dyDescent="0.2">
      <c r="F1090" s="209"/>
      <c r="G1090" s="281"/>
    </row>
    <row r="1091" spans="6:7" x14ac:dyDescent="0.2">
      <c r="F1091" s="209"/>
      <c r="G1091" s="281"/>
    </row>
    <row r="1092" spans="6:7" x14ac:dyDescent="0.2">
      <c r="F1092" s="209"/>
      <c r="G1092" s="281"/>
    </row>
    <row r="1093" spans="6:7" x14ac:dyDescent="0.2">
      <c r="F1093" s="209"/>
      <c r="G1093" s="281"/>
    </row>
    <row r="1094" spans="6:7" x14ac:dyDescent="0.2">
      <c r="F1094" s="209"/>
      <c r="G1094" s="281"/>
    </row>
    <row r="1095" spans="6:7" x14ac:dyDescent="0.2">
      <c r="F1095" s="209"/>
      <c r="G1095" s="281"/>
    </row>
    <row r="1096" spans="6:7" x14ac:dyDescent="0.2">
      <c r="F1096" s="209"/>
      <c r="G1096" s="281"/>
    </row>
    <row r="1097" spans="6:7" x14ac:dyDescent="0.2">
      <c r="F1097" s="209"/>
      <c r="G1097" s="281"/>
    </row>
    <row r="1098" spans="6:7" x14ac:dyDescent="0.2">
      <c r="F1098" s="209"/>
      <c r="G1098" s="281"/>
    </row>
    <row r="1099" spans="6:7" x14ac:dyDescent="0.2">
      <c r="F1099" s="209"/>
      <c r="G1099" s="281"/>
    </row>
    <row r="1100" spans="6:7" x14ac:dyDescent="0.2">
      <c r="F1100" s="209"/>
      <c r="G1100" s="281"/>
    </row>
    <row r="1101" spans="6:7" x14ac:dyDescent="0.2">
      <c r="F1101" s="209"/>
      <c r="G1101" s="281"/>
    </row>
    <row r="1102" spans="6:7" x14ac:dyDescent="0.2">
      <c r="F1102" s="209"/>
      <c r="G1102" s="281"/>
    </row>
    <row r="1103" spans="6:7" x14ac:dyDescent="0.2">
      <c r="F1103" s="209"/>
      <c r="G1103" s="281"/>
    </row>
    <row r="1104" spans="6:7" x14ac:dyDescent="0.2">
      <c r="F1104" s="209"/>
      <c r="G1104" s="281"/>
    </row>
    <row r="1105" spans="6:7" x14ac:dyDescent="0.2">
      <c r="F1105" s="209"/>
      <c r="G1105" s="281"/>
    </row>
    <row r="1106" spans="6:7" x14ac:dyDescent="0.2">
      <c r="F1106" s="209"/>
      <c r="G1106" s="281"/>
    </row>
    <row r="1107" spans="6:7" x14ac:dyDescent="0.2">
      <c r="F1107" s="209"/>
      <c r="G1107" s="281"/>
    </row>
    <row r="1108" spans="6:7" x14ac:dyDescent="0.2">
      <c r="F1108" s="209"/>
      <c r="G1108" s="281"/>
    </row>
    <row r="1109" spans="6:7" x14ac:dyDescent="0.2">
      <c r="F1109" s="209"/>
      <c r="G1109" s="281"/>
    </row>
    <row r="1110" spans="6:7" x14ac:dyDescent="0.2">
      <c r="F1110" s="209"/>
      <c r="G1110" s="281"/>
    </row>
    <row r="1111" spans="6:7" x14ac:dyDescent="0.2">
      <c r="F1111" s="209"/>
      <c r="G1111" s="281"/>
    </row>
    <row r="1112" spans="6:7" x14ac:dyDescent="0.2">
      <c r="F1112" s="209"/>
      <c r="G1112" s="281"/>
    </row>
    <row r="1113" spans="6:7" x14ac:dyDescent="0.2">
      <c r="F1113" s="209"/>
      <c r="G1113" s="281"/>
    </row>
    <row r="1114" spans="6:7" x14ac:dyDescent="0.2">
      <c r="F1114" s="209"/>
      <c r="G1114" s="281"/>
    </row>
    <row r="1115" spans="6:7" x14ac:dyDescent="0.2">
      <c r="F1115" s="209"/>
      <c r="G1115" s="281"/>
    </row>
    <row r="1116" spans="6:7" x14ac:dyDescent="0.2">
      <c r="F1116" s="209"/>
      <c r="G1116" s="281"/>
    </row>
    <row r="1117" spans="6:7" x14ac:dyDescent="0.2">
      <c r="F1117" s="209"/>
      <c r="G1117" s="281"/>
    </row>
    <row r="1118" spans="6:7" x14ac:dyDescent="0.2">
      <c r="F1118" s="209"/>
      <c r="G1118" s="281"/>
    </row>
    <row r="1119" spans="6:7" x14ac:dyDescent="0.2">
      <c r="F1119" s="209"/>
      <c r="G1119" s="281"/>
    </row>
    <row r="1120" spans="6:7" x14ac:dyDescent="0.2">
      <c r="F1120" s="209"/>
      <c r="G1120" s="281"/>
    </row>
    <row r="1121" spans="6:7" x14ac:dyDescent="0.2">
      <c r="F1121" s="209"/>
      <c r="G1121" s="281"/>
    </row>
    <row r="1122" spans="6:7" x14ac:dyDescent="0.2">
      <c r="F1122" s="209"/>
      <c r="G1122" s="281"/>
    </row>
    <row r="1123" spans="6:7" x14ac:dyDescent="0.2">
      <c r="F1123" s="209"/>
      <c r="G1123" s="281"/>
    </row>
    <row r="1124" spans="6:7" x14ac:dyDescent="0.2">
      <c r="F1124" s="209"/>
      <c r="G1124" s="281"/>
    </row>
    <row r="1125" spans="6:7" x14ac:dyDescent="0.2">
      <c r="F1125" s="209"/>
      <c r="G1125" s="281"/>
    </row>
    <row r="1126" spans="6:7" x14ac:dyDescent="0.2">
      <c r="F1126" s="209"/>
      <c r="G1126" s="281"/>
    </row>
    <row r="1127" spans="6:7" x14ac:dyDescent="0.2">
      <c r="F1127" s="209"/>
      <c r="G1127" s="281"/>
    </row>
    <row r="1128" spans="6:7" x14ac:dyDescent="0.2">
      <c r="F1128" s="209"/>
      <c r="G1128" s="281"/>
    </row>
    <row r="1129" spans="6:7" x14ac:dyDescent="0.2">
      <c r="F1129" s="209"/>
      <c r="G1129" s="281"/>
    </row>
    <row r="1130" spans="6:7" x14ac:dyDescent="0.2">
      <c r="F1130" s="209"/>
      <c r="G1130" s="281"/>
    </row>
    <row r="1131" spans="6:7" x14ac:dyDescent="0.2">
      <c r="F1131" s="209"/>
      <c r="G1131" s="281"/>
    </row>
    <row r="1132" spans="6:7" x14ac:dyDescent="0.2">
      <c r="F1132" s="209"/>
      <c r="G1132" s="281"/>
    </row>
    <row r="1133" spans="6:7" x14ac:dyDescent="0.2">
      <c r="F1133" s="209"/>
      <c r="G1133" s="281"/>
    </row>
    <row r="1134" spans="6:7" x14ac:dyDescent="0.2">
      <c r="F1134" s="209"/>
      <c r="G1134" s="281"/>
    </row>
    <row r="1135" spans="6:7" x14ac:dyDescent="0.2">
      <c r="F1135" s="209"/>
      <c r="G1135" s="281"/>
    </row>
    <row r="1136" spans="6:7" x14ac:dyDescent="0.2">
      <c r="F1136" s="209"/>
      <c r="G1136" s="281"/>
    </row>
    <row r="1137" spans="6:7" x14ac:dyDescent="0.2">
      <c r="F1137" s="209"/>
      <c r="G1137" s="281"/>
    </row>
    <row r="1138" spans="6:7" x14ac:dyDescent="0.2">
      <c r="F1138" s="209"/>
      <c r="G1138" s="281"/>
    </row>
    <row r="1139" spans="6:7" x14ac:dyDescent="0.2">
      <c r="F1139" s="209"/>
      <c r="G1139" s="281"/>
    </row>
    <row r="1140" spans="6:7" x14ac:dyDescent="0.2">
      <c r="F1140" s="209"/>
      <c r="G1140" s="281"/>
    </row>
    <row r="1141" spans="6:7" x14ac:dyDescent="0.2">
      <c r="F1141" s="209"/>
      <c r="G1141" s="281"/>
    </row>
    <row r="1142" spans="6:7" x14ac:dyDescent="0.2">
      <c r="F1142" s="209"/>
      <c r="G1142" s="281"/>
    </row>
    <row r="1143" spans="6:7" x14ac:dyDescent="0.2">
      <c r="F1143" s="209"/>
      <c r="G1143" s="281"/>
    </row>
    <row r="1144" spans="6:7" x14ac:dyDescent="0.2">
      <c r="F1144" s="209"/>
      <c r="G1144" s="281"/>
    </row>
    <row r="1145" spans="6:7" x14ac:dyDescent="0.2">
      <c r="F1145" s="209"/>
      <c r="G1145" s="281"/>
    </row>
    <row r="1146" spans="6:7" x14ac:dyDescent="0.2">
      <c r="F1146" s="209"/>
      <c r="G1146" s="281"/>
    </row>
    <row r="1147" spans="6:7" x14ac:dyDescent="0.2">
      <c r="F1147" s="209"/>
      <c r="G1147" s="281"/>
    </row>
    <row r="1148" spans="6:7" x14ac:dyDescent="0.2">
      <c r="F1148" s="209"/>
      <c r="G1148" s="281"/>
    </row>
    <row r="1149" spans="6:7" x14ac:dyDescent="0.2">
      <c r="F1149" s="209"/>
      <c r="G1149" s="281"/>
    </row>
    <row r="1150" spans="6:7" x14ac:dyDescent="0.2">
      <c r="F1150" s="209"/>
      <c r="G1150" s="281"/>
    </row>
    <row r="1151" spans="6:7" x14ac:dyDescent="0.2">
      <c r="F1151" s="209"/>
      <c r="G1151" s="281"/>
    </row>
    <row r="1152" spans="6:7" x14ac:dyDescent="0.2">
      <c r="F1152" s="209"/>
      <c r="G1152" s="281"/>
    </row>
    <row r="1153" spans="6:7" x14ac:dyDescent="0.2">
      <c r="F1153" s="209"/>
      <c r="G1153" s="281"/>
    </row>
    <row r="1154" spans="6:7" x14ac:dyDescent="0.2">
      <c r="F1154" s="209"/>
      <c r="G1154" s="281"/>
    </row>
    <row r="1155" spans="6:7" x14ac:dyDescent="0.2">
      <c r="F1155" s="209"/>
      <c r="G1155" s="281"/>
    </row>
    <row r="1156" spans="6:7" x14ac:dyDescent="0.2">
      <c r="F1156" s="209"/>
      <c r="G1156" s="281"/>
    </row>
    <row r="1157" spans="6:7" x14ac:dyDescent="0.2">
      <c r="F1157" s="209"/>
      <c r="G1157" s="281"/>
    </row>
    <row r="1158" spans="6:7" x14ac:dyDescent="0.2">
      <c r="F1158" s="209"/>
      <c r="G1158" s="281"/>
    </row>
    <row r="1159" spans="6:7" x14ac:dyDescent="0.2">
      <c r="F1159" s="209"/>
      <c r="G1159" s="281"/>
    </row>
    <row r="1160" spans="6:7" x14ac:dyDescent="0.2">
      <c r="F1160" s="209"/>
      <c r="G1160" s="281"/>
    </row>
    <row r="1161" spans="6:7" x14ac:dyDescent="0.2">
      <c r="F1161" s="209"/>
      <c r="G1161" s="281"/>
    </row>
    <row r="1162" spans="6:7" x14ac:dyDescent="0.2">
      <c r="F1162" s="209"/>
      <c r="G1162" s="281"/>
    </row>
    <row r="1163" spans="6:7" x14ac:dyDescent="0.2">
      <c r="F1163" s="209"/>
      <c r="G1163" s="281"/>
    </row>
    <row r="1164" spans="6:7" x14ac:dyDescent="0.2">
      <c r="F1164" s="209"/>
      <c r="G1164" s="281"/>
    </row>
    <row r="1165" spans="6:7" x14ac:dyDescent="0.2">
      <c r="F1165" s="209"/>
      <c r="G1165" s="281"/>
    </row>
    <row r="1166" spans="6:7" x14ac:dyDescent="0.2">
      <c r="F1166" s="209"/>
      <c r="G1166" s="281"/>
    </row>
    <row r="1167" spans="6:7" x14ac:dyDescent="0.2">
      <c r="F1167" s="209"/>
      <c r="G1167" s="281"/>
    </row>
    <row r="1168" spans="6:7" x14ac:dyDescent="0.2">
      <c r="F1168" s="209"/>
      <c r="G1168" s="281"/>
    </row>
    <row r="1169" spans="6:7" x14ac:dyDescent="0.2">
      <c r="F1169" s="209"/>
      <c r="G1169" s="281"/>
    </row>
    <row r="1170" spans="6:7" x14ac:dyDescent="0.2">
      <c r="F1170" s="209"/>
      <c r="G1170" s="281"/>
    </row>
    <row r="1171" spans="6:7" x14ac:dyDescent="0.2">
      <c r="F1171" s="209"/>
      <c r="G1171" s="281"/>
    </row>
    <row r="1172" spans="6:7" x14ac:dyDescent="0.2">
      <c r="F1172" s="209"/>
      <c r="G1172" s="281"/>
    </row>
    <row r="1173" spans="6:7" x14ac:dyDescent="0.2">
      <c r="F1173" s="209"/>
      <c r="G1173" s="281"/>
    </row>
    <row r="1174" spans="6:7" x14ac:dyDescent="0.2">
      <c r="F1174" s="209"/>
      <c r="G1174" s="281"/>
    </row>
    <row r="1175" spans="6:7" x14ac:dyDescent="0.2">
      <c r="F1175" s="209"/>
      <c r="G1175" s="281"/>
    </row>
    <row r="1176" spans="6:7" x14ac:dyDescent="0.2">
      <c r="F1176" s="209"/>
      <c r="G1176" s="281"/>
    </row>
    <row r="1177" spans="6:7" x14ac:dyDescent="0.2">
      <c r="F1177" s="209"/>
      <c r="G1177" s="281"/>
    </row>
    <row r="1178" spans="6:7" x14ac:dyDescent="0.2">
      <c r="F1178" s="209"/>
      <c r="G1178" s="281"/>
    </row>
    <row r="1179" spans="6:7" x14ac:dyDescent="0.2">
      <c r="F1179" s="209"/>
      <c r="G1179" s="281"/>
    </row>
    <row r="1180" spans="6:7" x14ac:dyDescent="0.2">
      <c r="F1180" s="209"/>
      <c r="G1180" s="281"/>
    </row>
    <row r="1181" spans="6:7" x14ac:dyDescent="0.2">
      <c r="F1181" s="209"/>
      <c r="G1181" s="281"/>
    </row>
    <row r="1182" spans="6:7" x14ac:dyDescent="0.2">
      <c r="F1182" s="209"/>
      <c r="G1182" s="281"/>
    </row>
    <row r="1183" spans="6:7" x14ac:dyDescent="0.2">
      <c r="F1183" s="209"/>
      <c r="G1183" s="281"/>
    </row>
    <row r="1184" spans="6:7" x14ac:dyDescent="0.2">
      <c r="F1184" s="209"/>
      <c r="G1184" s="281"/>
    </row>
    <row r="1185" spans="6:7" x14ac:dyDescent="0.2">
      <c r="F1185" s="209"/>
      <c r="G1185" s="281"/>
    </row>
    <row r="1186" spans="6:7" x14ac:dyDescent="0.2">
      <c r="F1186" s="209"/>
      <c r="G1186" s="281"/>
    </row>
    <row r="1187" spans="6:7" x14ac:dyDescent="0.2">
      <c r="F1187" s="209"/>
      <c r="G1187" s="281"/>
    </row>
    <row r="1188" spans="6:7" x14ac:dyDescent="0.2">
      <c r="F1188" s="209"/>
      <c r="G1188" s="281"/>
    </row>
    <row r="1189" spans="6:7" x14ac:dyDescent="0.2">
      <c r="F1189" s="209"/>
      <c r="G1189" s="281"/>
    </row>
    <row r="1190" spans="6:7" x14ac:dyDescent="0.2">
      <c r="F1190" s="209"/>
      <c r="G1190" s="281"/>
    </row>
    <row r="1191" spans="6:7" x14ac:dyDescent="0.2">
      <c r="F1191" s="209"/>
      <c r="G1191" s="281"/>
    </row>
    <row r="1192" spans="6:7" x14ac:dyDescent="0.2">
      <c r="F1192" s="209"/>
      <c r="G1192" s="281"/>
    </row>
    <row r="1193" spans="6:7" x14ac:dyDescent="0.2">
      <c r="F1193" s="209"/>
      <c r="G1193" s="281"/>
    </row>
    <row r="1194" spans="6:7" x14ac:dyDescent="0.2">
      <c r="F1194" s="209"/>
      <c r="G1194" s="281"/>
    </row>
    <row r="1195" spans="6:7" x14ac:dyDescent="0.2">
      <c r="F1195" s="209"/>
      <c r="G1195" s="281"/>
    </row>
    <row r="1196" spans="6:7" x14ac:dyDescent="0.2">
      <c r="F1196" s="209"/>
      <c r="G1196" s="281"/>
    </row>
    <row r="1197" spans="6:7" x14ac:dyDescent="0.2">
      <c r="F1197" s="209"/>
      <c r="G1197" s="281"/>
    </row>
    <row r="1198" spans="6:7" x14ac:dyDescent="0.2">
      <c r="F1198" s="209"/>
      <c r="G1198" s="281"/>
    </row>
    <row r="1199" spans="6:7" x14ac:dyDescent="0.2">
      <c r="F1199" s="209"/>
      <c r="G1199" s="281"/>
    </row>
    <row r="1200" spans="6:7" x14ac:dyDescent="0.2">
      <c r="F1200" s="209"/>
      <c r="G1200" s="281"/>
    </row>
    <row r="1201" spans="6:7" x14ac:dyDescent="0.2">
      <c r="F1201" s="209"/>
      <c r="G1201" s="281"/>
    </row>
    <row r="1202" spans="6:7" x14ac:dyDescent="0.2">
      <c r="F1202" s="209"/>
      <c r="G1202" s="281"/>
    </row>
    <row r="1203" spans="6:7" x14ac:dyDescent="0.2">
      <c r="F1203" s="209"/>
      <c r="G1203" s="281"/>
    </row>
    <row r="1204" spans="6:7" x14ac:dyDescent="0.2">
      <c r="F1204" s="209"/>
      <c r="G1204" s="281"/>
    </row>
    <row r="1205" spans="6:7" x14ac:dyDescent="0.2">
      <c r="F1205" s="209"/>
      <c r="G1205" s="281"/>
    </row>
    <row r="1206" spans="6:7" x14ac:dyDescent="0.2">
      <c r="F1206" s="209"/>
      <c r="G1206" s="281"/>
    </row>
    <row r="1207" spans="6:7" x14ac:dyDescent="0.2">
      <c r="F1207" s="209"/>
      <c r="G1207" s="281"/>
    </row>
    <row r="1208" spans="6:7" x14ac:dyDescent="0.2">
      <c r="F1208" s="209"/>
      <c r="G1208" s="281"/>
    </row>
    <row r="1209" spans="6:7" x14ac:dyDescent="0.2">
      <c r="F1209" s="209"/>
      <c r="G1209" s="281"/>
    </row>
    <row r="1210" spans="6:7" x14ac:dyDescent="0.2">
      <c r="F1210" s="209"/>
      <c r="G1210" s="281"/>
    </row>
    <row r="1211" spans="6:7" x14ac:dyDescent="0.2">
      <c r="F1211" s="209"/>
      <c r="G1211" s="281"/>
    </row>
    <row r="1212" spans="6:7" x14ac:dyDescent="0.2">
      <c r="F1212" s="209"/>
      <c r="G1212" s="281"/>
    </row>
    <row r="1213" spans="6:7" x14ac:dyDescent="0.2">
      <c r="F1213" s="209"/>
      <c r="G1213" s="281"/>
    </row>
    <row r="1214" spans="6:7" x14ac:dyDescent="0.2">
      <c r="F1214" s="209"/>
      <c r="G1214" s="281"/>
    </row>
    <row r="1215" spans="6:7" x14ac:dyDescent="0.2">
      <c r="F1215" s="209"/>
      <c r="G1215" s="281"/>
    </row>
    <row r="1216" spans="6:7" x14ac:dyDescent="0.2">
      <c r="F1216" s="209"/>
      <c r="G1216" s="281"/>
    </row>
    <row r="1217" spans="6:7" x14ac:dyDescent="0.2">
      <c r="F1217" s="209"/>
      <c r="G1217" s="281"/>
    </row>
    <row r="1218" spans="6:7" x14ac:dyDescent="0.2">
      <c r="F1218" s="209"/>
      <c r="G1218" s="281"/>
    </row>
    <row r="1219" spans="6:7" x14ac:dyDescent="0.2">
      <c r="F1219" s="209"/>
      <c r="G1219" s="281"/>
    </row>
    <row r="1220" spans="6:7" x14ac:dyDescent="0.2">
      <c r="F1220" s="209"/>
      <c r="G1220" s="281"/>
    </row>
    <row r="1221" spans="6:7" x14ac:dyDescent="0.2">
      <c r="F1221" s="209"/>
      <c r="G1221" s="281"/>
    </row>
    <row r="1222" spans="6:7" x14ac:dyDescent="0.2">
      <c r="F1222" s="209"/>
      <c r="G1222" s="281"/>
    </row>
    <row r="1223" spans="6:7" x14ac:dyDescent="0.2">
      <c r="F1223" s="209"/>
      <c r="G1223" s="281"/>
    </row>
    <row r="1224" spans="6:7" x14ac:dyDescent="0.2">
      <c r="F1224" s="209"/>
      <c r="G1224" s="281"/>
    </row>
    <row r="1225" spans="6:7" x14ac:dyDescent="0.2">
      <c r="F1225" s="209"/>
      <c r="G1225" s="281"/>
    </row>
    <row r="1226" spans="6:7" x14ac:dyDescent="0.2">
      <c r="F1226" s="209"/>
      <c r="G1226" s="281"/>
    </row>
    <row r="1227" spans="6:7" x14ac:dyDescent="0.2">
      <c r="F1227" s="209"/>
      <c r="G1227" s="281"/>
    </row>
    <row r="1228" spans="6:7" x14ac:dyDescent="0.2">
      <c r="F1228" s="209"/>
      <c r="G1228" s="281"/>
    </row>
    <row r="1229" spans="6:7" x14ac:dyDescent="0.2">
      <c r="F1229" s="209"/>
      <c r="G1229" s="281"/>
    </row>
    <row r="1230" spans="6:7" x14ac:dyDescent="0.2">
      <c r="F1230" s="209"/>
      <c r="G1230" s="281"/>
    </row>
    <row r="1231" spans="6:7" x14ac:dyDescent="0.2">
      <c r="F1231" s="209"/>
      <c r="G1231" s="281"/>
    </row>
    <row r="1232" spans="6:7" x14ac:dyDescent="0.2">
      <c r="F1232" s="209"/>
      <c r="G1232" s="281"/>
    </row>
    <row r="1233" spans="6:7" x14ac:dyDescent="0.2">
      <c r="F1233" s="209"/>
      <c r="G1233" s="281"/>
    </row>
    <row r="1234" spans="6:7" x14ac:dyDescent="0.2">
      <c r="F1234" s="209"/>
      <c r="G1234" s="281"/>
    </row>
    <row r="1235" spans="6:7" x14ac:dyDescent="0.2">
      <c r="F1235" s="209"/>
      <c r="G1235" s="281"/>
    </row>
    <row r="1236" spans="6:7" x14ac:dyDescent="0.2">
      <c r="F1236" s="209"/>
      <c r="G1236" s="281"/>
    </row>
    <row r="1237" spans="6:7" x14ac:dyDescent="0.2">
      <c r="F1237" s="209"/>
      <c r="G1237" s="281"/>
    </row>
    <row r="1238" spans="6:7" x14ac:dyDescent="0.2">
      <c r="F1238" s="209"/>
      <c r="G1238" s="281"/>
    </row>
    <row r="1239" spans="6:7" x14ac:dyDescent="0.2">
      <c r="F1239" s="209"/>
      <c r="G1239" s="281"/>
    </row>
    <row r="1240" spans="6:7" x14ac:dyDescent="0.2">
      <c r="F1240" s="209"/>
      <c r="G1240" s="281"/>
    </row>
    <row r="1241" spans="6:7" x14ac:dyDescent="0.2">
      <c r="F1241" s="209"/>
      <c r="G1241" s="281"/>
    </row>
    <row r="1242" spans="6:7" x14ac:dyDescent="0.2">
      <c r="F1242" s="209"/>
      <c r="G1242" s="281"/>
    </row>
    <row r="1243" spans="6:7" x14ac:dyDescent="0.2">
      <c r="F1243" s="209"/>
      <c r="G1243" s="281"/>
    </row>
    <row r="1244" spans="6:7" x14ac:dyDescent="0.2">
      <c r="F1244" s="209"/>
      <c r="G1244" s="281"/>
    </row>
    <row r="1245" spans="6:7" x14ac:dyDescent="0.2">
      <c r="F1245" s="209"/>
      <c r="G1245" s="281"/>
    </row>
    <row r="1246" spans="6:7" x14ac:dyDescent="0.2">
      <c r="F1246" s="209"/>
      <c r="G1246" s="281"/>
    </row>
    <row r="1247" spans="6:7" x14ac:dyDescent="0.2">
      <c r="F1247" s="209"/>
      <c r="G1247" s="281"/>
    </row>
    <row r="1248" spans="6:7" x14ac:dyDescent="0.2">
      <c r="F1248" s="209"/>
      <c r="G1248" s="281"/>
    </row>
    <row r="1249" spans="6:7" x14ac:dyDescent="0.2">
      <c r="F1249" s="209"/>
      <c r="G1249" s="281"/>
    </row>
    <row r="1250" spans="6:7" x14ac:dyDescent="0.2">
      <c r="F1250" s="209"/>
      <c r="G1250" s="281"/>
    </row>
    <row r="1251" spans="6:7" x14ac:dyDescent="0.2">
      <c r="F1251" s="209"/>
      <c r="G1251" s="281"/>
    </row>
    <row r="1252" spans="6:7" x14ac:dyDescent="0.2">
      <c r="F1252" s="209"/>
      <c r="G1252" s="281"/>
    </row>
    <row r="1253" spans="6:7" x14ac:dyDescent="0.2">
      <c r="F1253" s="209"/>
      <c r="G1253" s="281"/>
    </row>
    <row r="1254" spans="6:7" x14ac:dyDescent="0.2">
      <c r="F1254" s="209"/>
      <c r="G1254" s="281"/>
    </row>
    <row r="1255" spans="6:7" x14ac:dyDescent="0.2">
      <c r="F1255" s="209"/>
      <c r="G1255" s="281"/>
    </row>
    <row r="1256" spans="6:7" x14ac:dyDescent="0.2">
      <c r="F1256" s="209"/>
      <c r="G1256" s="281"/>
    </row>
    <row r="1257" spans="6:7" x14ac:dyDescent="0.2">
      <c r="F1257" s="209"/>
      <c r="G1257" s="281"/>
    </row>
    <row r="1258" spans="6:7" x14ac:dyDescent="0.2">
      <c r="F1258" s="209"/>
      <c r="G1258" s="281"/>
    </row>
    <row r="1259" spans="6:7" x14ac:dyDescent="0.2">
      <c r="F1259" s="209"/>
      <c r="G1259" s="281"/>
    </row>
    <row r="1260" spans="6:7" x14ac:dyDescent="0.2">
      <c r="F1260" s="209"/>
      <c r="G1260" s="281"/>
    </row>
    <row r="1261" spans="6:7" x14ac:dyDescent="0.2">
      <c r="F1261" s="209"/>
      <c r="G1261" s="281"/>
    </row>
    <row r="1262" spans="6:7" x14ac:dyDescent="0.2">
      <c r="F1262" s="209"/>
      <c r="G1262" s="281"/>
    </row>
    <row r="1263" spans="6:7" x14ac:dyDescent="0.2">
      <c r="F1263" s="209"/>
      <c r="G1263" s="281"/>
    </row>
    <row r="1264" spans="6:7" x14ac:dyDescent="0.2">
      <c r="F1264" s="209"/>
      <c r="G1264" s="281"/>
    </row>
    <row r="1265" spans="6:7" x14ac:dyDescent="0.2">
      <c r="F1265" s="209"/>
      <c r="G1265" s="281"/>
    </row>
    <row r="1266" spans="6:7" x14ac:dyDescent="0.2">
      <c r="F1266" s="209"/>
      <c r="G1266" s="281"/>
    </row>
    <row r="1267" spans="6:7" x14ac:dyDescent="0.2">
      <c r="F1267" s="209"/>
      <c r="G1267" s="281"/>
    </row>
    <row r="1268" spans="6:7" x14ac:dyDescent="0.2">
      <c r="F1268" s="209"/>
      <c r="G1268" s="281"/>
    </row>
    <row r="1269" spans="6:7" x14ac:dyDescent="0.2">
      <c r="F1269" s="209"/>
      <c r="G1269" s="281"/>
    </row>
    <row r="1270" spans="6:7" x14ac:dyDescent="0.2">
      <c r="F1270" s="209"/>
      <c r="G1270" s="281"/>
    </row>
    <row r="1271" spans="6:7" x14ac:dyDescent="0.2">
      <c r="F1271" s="209"/>
      <c r="G1271" s="281"/>
    </row>
    <row r="1272" spans="6:7" x14ac:dyDescent="0.2">
      <c r="F1272" s="209"/>
      <c r="G1272" s="281"/>
    </row>
    <row r="1273" spans="6:7" x14ac:dyDescent="0.2">
      <c r="F1273" s="209"/>
      <c r="G1273" s="281"/>
    </row>
    <row r="1274" spans="6:7" x14ac:dyDescent="0.2">
      <c r="F1274" s="209"/>
      <c r="G1274" s="281"/>
    </row>
    <row r="1275" spans="6:7" x14ac:dyDescent="0.2">
      <c r="F1275" s="209"/>
      <c r="G1275" s="281"/>
    </row>
    <row r="1276" spans="6:7" x14ac:dyDescent="0.2">
      <c r="F1276" s="209"/>
      <c r="G1276" s="281"/>
    </row>
    <row r="1277" spans="6:7" x14ac:dyDescent="0.2">
      <c r="F1277" s="209"/>
      <c r="G1277" s="281"/>
    </row>
    <row r="1278" spans="6:7" x14ac:dyDescent="0.2">
      <c r="F1278" s="209"/>
      <c r="G1278" s="281"/>
    </row>
    <row r="1279" spans="6:7" x14ac:dyDescent="0.2">
      <c r="F1279" s="209"/>
      <c r="G1279" s="281"/>
    </row>
    <row r="1280" spans="6:7" x14ac:dyDescent="0.2">
      <c r="F1280" s="209"/>
      <c r="G1280" s="281"/>
    </row>
    <row r="1281" spans="6:7" x14ac:dyDescent="0.2">
      <c r="F1281" s="209"/>
      <c r="G1281" s="281"/>
    </row>
    <row r="1282" spans="6:7" x14ac:dyDescent="0.2">
      <c r="F1282" s="209"/>
      <c r="G1282" s="281"/>
    </row>
    <row r="1283" spans="6:7" x14ac:dyDescent="0.2">
      <c r="F1283" s="209"/>
      <c r="G1283" s="281"/>
    </row>
    <row r="1284" spans="6:7" x14ac:dyDescent="0.2">
      <c r="F1284" s="209"/>
      <c r="G1284" s="281"/>
    </row>
    <row r="1285" spans="6:7" x14ac:dyDescent="0.2">
      <c r="F1285" s="209"/>
      <c r="G1285" s="281"/>
    </row>
    <row r="1286" spans="6:7" x14ac:dyDescent="0.2">
      <c r="F1286" s="209"/>
      <c r="G1286" s="281"/>
    </row>
    <row r="1287" spans="6:7" x14ac:dyDescent="0.2">
      <c r="F1287" s="209"/>
      <c r="G1287" s="281"/>
    </row>
    <row r="1288" spans="6:7" x14ac:dyDescent="0.2">
      <c r="F1288" s="209"/>
      <c r="G1288" s="281"/>
    </row>
    <row r="1289" spans="6:7" x14ac:dyDescent="0.2">
      <c r="F1289" s="209"/>
      <c r="G1289" s="281"/>
    </row>
    <row r="1290" spans="6:7" x14ac:dyDescent="0.2">
      <c r="F1290" s="209"/>
      <c r="G1290" s="281"/>
    </row>
    <row r="1291" spans="6:7" x14ac:dyDescent="0.2">
      <c r="F1291" s="209"/>
      <c r="G1291" s="281"/>
    </row>
    <row r="1292" spans="6:7" x14ac:dyDescent="0.2">
      <c r="F1292" s="209"/>
      <c r="G1292" s="281"/>
    </row>
    <row r="1293" spans="6:7" x14ac:dyDescent="0.2">
      <c r="F1293" s="209"/>
      <c r="G1293" s="281"/>
    </row>
    <row r="1294" spans="6:7" x14ac:dyDescent="0.2">
      <c r="F1294" s="209"/>
      <c r="G1294" s="281"/>
    </row>
    <row r="1295" spans="6:7" x14ac:dyDescent="0.2">
      <c r="F1295" s="209"/>
      <c r="G1295" s="281"/>
    </row>
    <row r="1296" spans="6:7" x14ac:dyDescent="0.2">
      <c r="F1296" s="209"/>
      <c r="G1296" s="281"/>
    </row>
    <row r="1297" spans="6:7" x14ac:dyDescent="0.2">
      <c r="F1297" s="209"/>
      <c r="G1297" s="281"/>
    </row>
    <row r="1298" spans="6:7" x14ac:dyDescent="0.2">
      <c r="F1298" s="209"/>
      <c r="G1298" s="281"/>
    </row>
    <row r="1299" spans="6:7" x14ac:dyDescent="0.2">
      <c r="F1299" s="209"/>
      <c r="G1299" s="281"/>
    </row>
    <row r="1300" spans="6:7" x14ac:dyDescent="0.2">
      <c r="F1300" s="209"/>
      <c r="G1300" s="281"/>
    </row>
    <row r="1301" spans="6:7" x14ac:dyDescent="0.2">
      <c r="F1301" s="209"/>
      <c r="G1301" s="281"/>
    </row>
    <row r="1302" spans="6:7" x14ac:dyDescent="0.2">
      <c r="F1302" s="209"/>
      <c r="G1302" s="281"/>
    </row>
    <row r="1303" spans="6:7" x14ac:dyDescent="0.2">
      <c r="F1303" s="209"/>
      <c r="G1303" s="281"/>
    </row>
    <row r="1304" spans="6:7" x14ac:dyDescent="0.2">
      <c r="F1304" s="209"/>
      <c r="G1304" s="281"/>
    </row>
    <row r="1305" spans="6:7" x14ac:dyDescent="0.2">
      <c r="F1305" s="209"/>
      <c r="G1305" s="281"/>
    </row>
    <row r="1306" spans="6:7" x14ac:dyDescent="0.2">
      <c r="F1306" s="209"/>
      <c r="G1306" s="281"/>
    </row>
    <row r="1307" spans="6:7" x14ac:dyDescent="0.2">
      <c r="F1307" s="209"/>
      <c r="G1307" s="281"/>
    </row>
    <row r="1308" spans="6:7" x14ac:dyDescent="0.2">
      <c r="F1308" s="209"/>
      <c r="G1308" s="281"/>
    </row>
    <row r="1309" spans="6:7" x14ac:dyDescent="0.2">
      <c r="F1309" s="209"/>
      <c r="G1309" s="281"/>
    </row>
    <row r="1310" spans="6:7" x14ac:dyDescent="0.2">
      <c r="F1310" s="209"/>
      <c r="G1310" s="281"/>
    </row>
    <row r="1311" spans="6:7" x14ac:dyDescent="0.2">
      <c r="F1311" s="209"/>
      <c r="G1311" s="281"/>
    </row>
    <row r="1312" spans="6:7" x14ac:dyDescent="0.2">
      <c r="F1312" s="209"/>
      <c r="G1312" s="281"/>
    </row>
    <row r="1313" spans="6:7" x14ac:dyDescent="0.2">
      <c r="F1313" s="209"/>
      <c r="G1313" s="281"/>
    </row>
    <row r="1314" spans="6:7" x14ac:dyDescent="0.2">
      <c r="F1314" s="209"/>
      <c r="G1314" s="281"/>
    </row>
    <row r="1315" spans="6:7" x14ac:dyDescent="0.2">
      <c r="F1315" s="209"/>
      <c r="G1315" s="281"/>
    </row>
    <row r="1316" spans="6:7" x14ac:dyDescent="0.2">
      <c r="F1316" s="209"/>
      <c r="G1316" s="281"/>
    </row>
    <row r="1317" spans="6:7" x14ac:dyDescent="0.2">
      <c r="F1317" s="209"/>
      <c r="G1317" s="281"/>
    </row>
    <row r="1318" spans="6:7" x14ac:dyDescent="0.2">
      <c r="F1318" s="209"/>
      <c r="G1318" s="281"/>
    </row>
    <row r="1319" spans="6:7" x14ac:dyDescent="0.2">
      <c r="F1319" s="209"/>
      <c r="G1319" s="281"/>
    </row>
    <row r="1320" spans="6:7" x14ac:dyDescent="0.2">
      <c r="F1320" s="209"/>
      <c r="G1320" s="281"/>
    </row>
    <row r="1321" spans="6:7" x14ac:dyDescent="0.2">
      <c r="F1321" s="209"/>
      <c r="G1321" s="281"/>
    </row>
    <row r="1322" spans="6:7" x14ac:dyDescent="0.2">
      <c r="F1322" s="209"/>
      <c r="G1322" s="281"/>
    </row>
    <row r="1323" spans="6:7" x14ac:dyDescent="0.2">
      <c r="F1323" s="209"/>
      <c r="G1323" s="281"/>
    </row>
    <row r="1324" spans="6:7" x14ac:dyDescent="0.2">
      <c r="F1324" s="209"/>
      <c r="G1324" s="281"/>
    </row>
    <row r="1325" spans="6:7" x14ac:dyDescent="0.2">
      <c r="F1325" s="209"/>
      <c r="G1325" s="281"/>
    </row>
    <row r="1326" spans="6:7" x14ac:dyDescent="0.2">
      <c r="F1326" s="209"/>
      <c r="G1326" s="281"/>
    </row>
    <row r="1327" spans="6:7" x14ac:dyDescent="0.2">
      <c r="F1327" s="209"/>
      <c r="G1327" s="281"/>
    </row>
    <row r="1328" spans="6:7" x14ac:dyDescent="0.2">
      <c r="F1328" s="209"/>
      <c r="G1328" s="281"/>
    </row>
    <row r="1329" spans="6:7" x14ac:dyDescent="0.2">
      <c r="F1329" s="209"/>
      <c r="G1329" s="281"/>
    </row>
    <row r="1330" spans="6:7" x14ac:dyDescent="0.2">
      <c r="F1330" s="209"/>
      <c r="G1330" s="281"/>
    </row>
    <row r="1331" spans="6:7" x14ac:dyDescent="0.2">
      <c r="F1331" s="209"/>
      <c r="G1331" s="281"/>
    </row>
    <row r="1332" spans="6:7" x14ac:dyDescent="0.2">
      <c r="F1332" s="209"/>
      <c r="G1332" s="281"/>
    </row>
    <row r="1333" spans="6:7" x14ac:dyDescent="0.2">
      <c r="F1333" s="209"/>
      <c r="G1333" s="281"/>
    </row>
    <row r="1334" spans="6:7" x14ac:dyDescent="0.2">
      <c r="F1334" s="209"/>
      <c r="G1334" s="281"/>
    </row>
    <row r="1335" spans="6:7" x14ac:dyDescent="0.2">
      <c r="F1335" s="209"/>
      <c r="G1335" s="281"/>
    </row>
    <row r="1336" spans="6:7" x14ac:dyDescent="0.2">
      <c r="F1336" s="209"/>
      <c r="G1336" s="281"/>
    </row>
    <row r="1337" spans="6:7" x14ac:dyDescent="0.2">
      <c r="F1337" s="209"/>
      <c r="G1337" s="281"/>
    </row>
    <row r="1338" spans="6:7" x14ac:dyDescent="0.2">
      <c r="F1338" s="209"/>
      <c r="G1338" s="281"/>
    </row>
    <row r="1339" spans="6:7" x14ac:dyDescent="0.2">
      <c r="F1339" s="209"/>
      <c r="G1339" s="281"/>
    </row>
    <row r="1340" spans="6:7" x14ac:dyDescent="0.2">
      <c r="F1340" s="209"/>
      <c r="G1340" s="281"/>
    </row>
    <row r="1341" spans="6:7" x14ac:dyDescent="0.2">
      <c r="F1341" s="209"/>
      <c r="G1341" s="281"/>
    </row>
    <row r="1342" spans="6:7" x14ac:dyDescent="0.2">
      <c r="F1342" s="209"/>
      <c r="G1342" s="281"/>
    </row>
    <row r="1343" spans="6:7" x14ac:dyDescent="0.2">
      <c r="F1343" s="209"/>
      <c r="G1343" s="281"/>
    </row>
    <row r="1344" spans="6:7" x14ac:dyDescent="0.2">
      <c r="F1344" s="209"/>
      <c r="G1344" s="281"/>
    </row>
    <row r="1345" spans="6:7" x14ac:dyDescent="0.2">
      <c r="F1345" s="209"/>
      <c r="G1345" s="281"/>
    </row>
    <row r="1346" spans="6:7" x14ac:dyDescent="0.2">
      <c r="F1346" s="209"/>
      <c r="G1346" s="281"/>
    </row>
    <row r="1347" spans="6:7" x14ac:dyDescent="0.2">
      <c r="F1347" s="209"/>
      <c r="G1347" s="281"/>
    </row>
    <row r="1348" spans="6:7" x14ac:dyDescent="0.2">
      <c r="F1348" s="209"/>
      <c r="G1348" s="281"/>
    </row>
    <row r="1349" spans="6:7" x14ac:dyDescent="0.2">
      <c r="F1349" s="209"/>
      <c r="G1349" s="281"/>
    </row>
    <row r="1350" spans="6:7" x14ac:dyDescent="0.2">
      <c r="F1350" s="209"/>
      <c r="G1350" s="281"/>
    </row>
    <row r="1351" spans="6:7" x14ac:dyDescent="0.2">
      <c r="F1351" s="209"/>
      <c r="G1351" s="281"/>
    </row>
    <row r="1352" spans="6:7" x14ac:dyDescent="0.2">
      <c r="F1352" s="209"/>
      <c r="G1352" s="281"/>
    </row>
    <row r="1353" spans="6:7" x14ac:dyDescent="0.2">
      <c r="F1353" s="209"/>
      <c r="G1353" s="281"/>
    </row>
    <row r="1354" spans="6:7" x14ac:dyDescent="0.2">
      <c r="F1354" s="209"/>
      <c r="G1354" s="281"/>
    </row>
    <row r="1355" spans="6:7" x14ac:dyDescent="0.2">
      <c r="F1355" s="209"/>
      <c r="G1355" s="281"/>
    </row>
    <row r="1356" spans="6:7" x14ac:dyDescent="0.2">
      <c r="F1356" s="209"/>
      <c r="G1356" s="281"/>
    </row>
    <row r="1357" spans="6:7" x14ac:dyDescent="0.2">
      <c r="F1357" s="209"/>
      <c r="G1357" s="281"/>
    </row>
    <row r="1358" spans="6:7" x14ac:dyDescent="0.2">
      <c r="F1358" s="209"/>
      <c r="G1358" s="281"/>
    </row>
    <row r="1359" spans="6:7" x14ac:dyDescent="0.2">
      <c r="F1359" s="209"/>
      <c r="G1359" s="281"/>
    </row>
    <row r="1360" spans="6:7" x14ac:dyDescent="0.2">
      <c r="F1360" s="209"/>
      <c r="G1360" s="281"/>
    </row>
    <row r="1361" spans="6:7" x14ac:dyDescent="0.2">
      <c r="F1361" s="209"/>
      <c r="G1361" s="281"/>
    </row>
    <row r="1362" spans="6:7" x14ac:dyDescent="0.2">
      <c r="F1362" s="209"/>
      <c r="G1362" s="281"/>
    </row>
    <row r="1363" spans="6:7" x14ac:dyDescent="0.2">
      <c r="F1363" s="209"/>
      <c r="G1363" s="281"/>
    </row>
    <row r="1364" spans="6:7" x14ac:dyDescent="0.2">
      <c r="F1364" s="209"/>
      <c r="G1364" s="281"/>
    </row>
    <row r="1365" spans="6:7" x14ac:dyDescent="0.2">
      <c r="F1365" s="209"/>
      <c r="G1365" s="281"/>
    </row>
    <row r="1366" spans="6:7" x14ac:dyDescent="0.2">
      <c r="F1366" s="209"/>
      <c r="G1366" s="281"/>
    </row>
    <row r="1367" spans="6:7" x14ac:dyDescent="0.2">
      <c r="F1367" s="209"/>
      <c r="G1367" s="281"/>
    </row>
    <row r="1368" spans="6:7" x14ac:dyDescent="0.2">
      <c r="F1368" s="209"/>
      <c r="G1368" s="281"/>
    </row>
    <row r="1369" spans="6:7" x14ac:dyDescent="0.2">
      <c r="F1369" s="209"/>
      <c r="G1369" s="281"/>
    </row>
    <row r="1370" spans="6:7" x14ac:dyDescent="0.2">
      <c r="F1370" s="209"/>
      <c r="G1370" s="281"/>
    </row>
    <row r="1371" spans="6:7" x14ac:dyDescent="0.2">
      <c r="F1371" s="209"/>
      <c r="G1371" s="281"/>
    </row>
    <row r="1372" spans="6:7" x14ac:dyDescent="0.2">
      <c r="F1372" s="209"/>
      <c r="G1372" s="281"/>
    </row>
    <row r="1373" spans="6:7" x14ac:dyDescent="0.2">
      <c r="F1373" s="209"/>
      <c r="G1373" s="281"/>
    </row>
    <row r="1374" spans="6:7" x14ac:dyDescent="0.2">
      <c r="F1374" s="209"/>
      <c r="G1374" s="281"/>
    </row>
    <row r="1375" spans="6:7" x14ac:dyDescent="0.2">
      <c r="F1375" s="209"/>
      <c r="G1375" s="281"/>
    </row>
    <row r="1376" spans="6:7" x14ac:dyDescent="0.2">
      <c r="F1376" s="209"/>
      <c r="G1376" s="281"/>
    </row>
    <row r="1377" spans="6:7" x14ac:dyDescent="0.2">
      <c r="F1377" s="209"/>
      <c r="G1377" s="281"/>
    </row>
    <row r="1378" spans="6:7" x14ac:dyDescent="0.2">
      <c r="F1378" s="209"/>
      <c r="G1378" s="281"/>
    </row>
    <row r="1379" spans="6:7" x14ac:dyDescent="0.2">
      <c r="F1379" s="209"/>
      <c r="G1379" s="281"/>
    </row>
    <row r="1380" spans="6:7" x14ac:dyDescent="0.2">
      <c r="F1380" s="209"/>
      <c r="G1380" s="281"/>
    </row>
    <row r="1381" spans="6:7" x14ac:dyDescent="0.2">
      <c r="F1381" s="209"/>
      <c r="G1381" s="281"/>
    </row>
    <row r="1382" spans="6:7" x14ac:dyDescent="0.2">
      <c r="F1382" s="209"/>
      <c r="G1382" s="281"/>
    </row>
    <row r="1383" spans="6:7" x14ac:dyDescent="0.2">
      <c r="F1383" s="209"/>
      <c r="G1383" s="281"/>
    </row>
    <row r="1384" spans="6:7" x14ac:dyDescent="0.2">
      <c r="F1384" s="209"/>
      <c r="G1384" s="281"/>
    </row>
    <row r="1385" spans="6:7" x14ac:dyDescent="0.2">
      <c r="F1385" s="209"/>
      <c r="G1385" s="281"/>
    </row>
    <row r="1386" spans="6:7" x14ac:dyDescent="0.2">
      <c r="F1386" s="209"/>
      <c r="G1386" s="281"/>
    </row>
    <row r="1387" spans="6:7" x14ac:dyDescent="0.2">
      <c r="F1387" s="209"/>
      <c r="G1387" s="281"/>
    </row>
    <row r="1388" spans="6:7" x14ac:dyDescent="0.2">
      <c r="F1388" s="209"/>
      <c r="G1388" s="281"/>
    </row>
    <row r="1389" spans="6:7" x14ac:dyDescent="0.2">
      <c r="F1389" s="209"/>
      <c r="G1389" s="281"/>
    </row>
    <row r="1390" spans="6:7" x14ac:dyDescent="0.2">
      <c r="F1390" s="209"/>
      <c r="G1390" s="281"/>
    </row>
    <row r="1391" spans="6:7" x14ac:dyDescent="0.2">
      <c r="F1391" s="209"/>
      <c r="G1391" s="281"/>
    </row>
    <row r="1392" spans="6:7" x14ac:dyDescent="0.2">
      <c r="F1392" s="209"/>
      <c r="G1392" s="281"/>
    </row>
    <row r="1393" spans="6:7" x14ac:dyDescent="0.2">
      <c r="F1393" s="209"/>
      <c r="G1393" s="281"/>
    </row>
    <row r="1394" spans="6:7" x14ac:dyDescent="0.2">
      <c r="F1394" s="209"/>
      <c r="G1394" s="281"/>
    </row>
    <row r="1395" spans="6:7" x14ac:dyDescent="0.2">
      <c r="F1395" s="209"/>
      <c r="G1395" s="281"/>
    </row>
    <row r="1396" spans="6:7" x14ac:dyDescent="0.2">
      <c r="F1396" s="209"/>
      <c r="G1396" s="281"/>
    </row>
    <row r="1397" spans="6:7" x14ac:dyDescent="0.2">
      <c r="F1397" s="209"/>
      <c r="G1397" s="281"/>
    </row>
    <row r="1398" spans="6:7" x14ac:dyDescent="0.2">
      <c r="F1398" s="209"/>
      <c r="G1398" s="281"/>
    </row>
    <row r="1399" spans="6:7" x14ac:dyDescent="0.2">
      <c r="F1399" s="209"/>
      <c r="G1399" s="281"/>
    </row>
    <row r="1400" spans="6:7" x14ac:dyDescent="0.2">
      <c r="F1400" s="209"/>
      <c r="G1400" s="281"/>
    </row>
    <row r="1401" spans="6:7" x14ac:dyDescent="0.2">
      <c r="F1401" s="209"/>
      <c r="G1401" s="281"/>
    </row>
    <row r="1402" spans="6:7" x14ac:dyDescent="0.2">
      <c r="F1402" s="209"/>
      <c r="G1402" s="281"/>
    </row>
    <row r="1403" spans="6:7" x14ac:dyDescent="0.2">
      <c r="F1403" s="209"/>
      <c r="G1403" s="281"/>
    </row>
    <row r="1404" spans="6:7" x14ac:dyDescent="0.2">
      <c r="F1404" s="209"/>
      <c r="G1404" s="281"/>
    </row>
    <row r="1405" spans="6:7" x14ac:dyDescent="0.2">
      <c r="F1405" s="209"/>
      <c r="G1405" s="281"/>
    </row>
    <row r="1406" spans="6:7" x14ac:dyDescent="0.2">
      <c r="F1406" s="209"/>
      <c r="G1406" s="281"/>
    </row>
    <row r="1407" spans="6:7" x14ac:dyDescent="0.2">
      <c r="F1407" s="209"/>
      <c r="G1407" s="281"/>
    </row>
    <row r="1408" spans="6:7" x14ac:dyDescent="0.2">
      <c r="F1408" s="209"/>
      <c r="G1408" s="281"/>
    </row>
    <row r="1409" spans="6:7" x14ac:dyDescent="0.2">
      <c r="F1409" s="209"/>
      <c r="G1409" s="281"/>
    </row>
    <row r="1410" spans="6:7" x14ac:dyDescent="0.2">
      <c r="F1410" s="209"/>
      <c r="G1410" s="281"/>
    </row>
    <row r="1411" spans="6:7" x14ac:dyDescent="0.2">
      <c r="F1411" s="209"/>
      <c r="G1411" s="281"/>
    </row>
    <row r="1412" spans="6:7" x14ac:dyDescent="0.2">
      <c r="F1412" s="209"/>
      <c r="G1412" s="281"/>
    </row>
    <row r="1413" spans="6:7" x14ac:dyDescent="0.2">
      <c r="F1413" s="209"/>
      <c r="G1413" s="281"/>
    </row>
    <row r="1414" spans="6:7" x14ac:dyDescent="0.2">
      <c r="F1414" s="209"/>
      <c r="G1414" s="281"/>
    </row>
    <row r="1415" spans="6:7" x14ac:dyDescent="0.2">
      <c r="F1415" s="209"/>
      <c r="G1415" s="281"/>
    </row>
    <row r="1416" spans="6:7" x14ac:dyDescent="0.2">
      <c r="F1416" s="209"/>
      <c r="G1416" s="281"/>
    </row>
    <row r="1417" spans="6:7" x14ac:dyDescent="0.2">
      <c r="F1417" s="209"/>
      <c r="G1417" s="281"/>
    </row>
    <row r="1418" spans="6:7" x14ac:dyDescent="0.2">
      <c r="F1418" s="209"/>
      <c r="G1418" s="281"/>
    </row>
    <row r="1419" spans="6:7" x14ac:dyDescent="0.2">
      <c r="F1419" s="209"/>
      <c r="G1419" s="281"/>
    </row>
    <row r="1420" spans="6:7" x14ac:dyDescent="0.2">
      <c r="F1420" s="209"/>
      <c r="G1420" s="281"/>
    </row>
    <row r="1421" spans="6:7" x14ac:dyDescent="0.2">
      <c r="F1421" s="209"/>
      <c r="G1421" s="281"/>
    </row>
    <row r="1422" spans="6:7" x14ac:dyDescent="0.2">
      <c r="F1422" s="209"/>
      <c r="G1422" s="281"/>
    </row>
    <row r="1423" spans="6:7" x14ac:dyDescent="0.2">
      <c r="F1423" s="209"/>
      <c r="G1423" s="281"/>
    </row>
    <row r="1424" spans="6:7" x14ac:dyDescent="0.2">
      <c r="F1424" s="209"/>
      <c r="G1424" s="281"/>
    </row>
    <row r="1425" spans="6:7" x14ac:dyDescent="0.2">
      <c r="F1425" s="209"/>
      <c r="G1425" s="281"/>
    </row>
    <row r="1426" spans="6:7" x14ac:dyDescent="0.2">
      <c r="F1426" s="209"/>
      <c r="G1426" s="281"/>
    </row>
    <row r="1427" spans="6:7" x14ac:dyDescent="0.2">
      <c r="F1427" s="209"/>
      <c r="G1427" s="281"/>
    </row>
    <row r="1428" spans="6:7" x14ac:dyDescent="0.2">
      <c r="F1428" s="209"/>
      <c r="G1428" s="281"/>
    </row>
    <row r="1429" spans="6:7" x14ac:dyDescent="0.2">
      <c r="F1429" s="209"/>
      <c r="G1429" s="281"/>
    </row>
    <row r="1430" spans="6:7" x14ac:dyDescent="0.2">
      <c r="F1430" s="209"/>
      <c r="G1430" s="281"/>
    </row>
    <row r="1431" spans="6:7" x14ac:dyDescent="0.2">
      <c r="F1431" s="209"/>
      <c r="G1431" s="281"/>
    </row>
    <row r="1432" spans="6:7" x14ac:dyDescent="0.2">
      <c r="F1432" s="209"/>
      <c r="G1432" s="281"/>
    </row>
    <row r="1433" spans="6:7" x14ac:dyDescent="0.2">
      <c r="F1433" s="209"/>
      <c r="G1433" s="281"/>
    </row>
    <row r="1434" spans="6:7" x14ac:dyDescent="0.2">
      <c r="F1434" s="209"/>
      <c r="G1434" s="281"/>
    </row>
    <row r="1435" spans="6:7" x14ac:dyDescent="0.2">
      <c r="F1435" s="209"/>
      <c r="G1435" s="281"/>
    </row>
    <row r="1436" spans="6:7" x14ac:dyDescent="0.2">
      <c r="F1436" s="209"/>
      <c r="G1436" s="281"/>
    </row>
    <row r="1437" spans="6:7" x14ac:dyDescent="0.2">
      <c r="F1437" s="209"/>
      <c r="G1437" s="281"/>
    </row>
    <row r="1438" spans="6:7" x14ac:dyDescent="0.2">
      <c r="F1438" s="209"/>
      <c r="G1438" s="281"/>
    </row>
    <row r="1439" spans="6:7" x14ac:dyDescent="0.2">
      <c r="F1439" s="209"/>
      <c r="G1439" s="281"/>
    </row>
    <row r="1440" spans="6:7" x14ac:dyDescent="0.2">
      <c r="F1440" s="209"/>
      <c r="G1440" s="281"/>
    </row>
    <row r="1441" spans="6:7" x14ac:dyDescent="0.2">
      <c r="F1441" s="209"/>
      <c r="G1441" s="281"/>
    </row>
    <row r="1442" spans="6:7" x14ac:dyDescent="0.2">
      <c r="F1442" s="209"/>
      <c r="G1442" s="281"/>
    </row>
    <row r="1443" spans="6:7" x14ac:dyDescent="0.2">
      <c r="F1443" s="209"/>
      <c r="G1443" s="281"/>
    </row>
    <row r="1444" spans="6:7" x14ac:dyDescent="0.2">
      <c r="F1444" s="209"/>
      <c r="G1444" s="281"/>
    </row>
    <row r="1445" spans="6:7" x14ac:dyDescent="0.2">
      <c r="F1445" s="209"/>
      <c r="G1445" s="281"/>
    </row>
    <row r="1446" spans="6:7" x14ac:dyDescent="0.2">
      <c r="F1446" s="209"/>
      <c r="G1446" s="281"/>
    </row>
    <row r="1447" spans="6:7" x14ac:dyDescent="0.2">
      <c r="F1447" s="209"/>
      <c r="G1447" s="281"/>
    </row>
    <row r="1448" spans="6:7" x14ac:dyDescent="0.2">
      <c r="F1448" s="209"/>
      <c r="G1448" s="281"/>
    </row>
    <row r="1449" spans="6:7" x14ac:dyDescent="0.2">
      <c r="F1449" s="209"/>
      <c r="G1449" s="281"/>
    </row>
    <row r="1450" spans="6:7" x14ac:dyDescent="0.2">
      <c r="F1450" s="209"/>
      <c r="G1450" s="281"/>
    </row>
    <row r="1451" spans="6:7" x14ac:dyDescent="0.2">
      <c r="F1451" s="209"/>
      <c r="G1451" s="281"/>
    </row>
    <row r="1452" spans="6:7" x14ac:dyDescent="0.2">
      <c r="F1452" s="209"/>
      <c r="G1452" s="281"/>
    </row>
    <row r="1453" spans="6:7" x14ac:dyDescent="0.2">
      <c r="F1453" s="209"/>
      <c r="G1453" s="281"/>
    </row>
    <row r="1454" spans="6:7" x14ac:dyDescent="0.2">
      <c r="F1454" s="209"/>
      <c r="G1454" s="281"/>
    </row>
    <row r="1455" spans="6:7" x14ac:dyDescent="0.2">
      <c r="F1455" s="209"/>
      <c r="G1455" s="281"/>
    </row>
    <row r="1456" spans="6:7" x14ac:dyDescent="0.2">
      <c r="F1456" s="209"/>
      <c r="G1456" s="281"/>
    </row>
    <row r="1457" spans="6:7" x14ac:dyDescent="0.2">
      <c r="F1457" s="209"/>
      <c r="G1457" s="281"/>
    </row>
    <row r="1458" spans="6:7" x14ac:dyDescent="0.2">
      <c r="F1458" s="209"/>
      <c r="G1458" s="281"/>
    </row>
    <row r="1459" spans="6:7" x14ac:dyDescent="0.2">
      <c r="F1459" s="209"/>
      <c r="G1459" s="281"/>
    </row>
    <row r="1460" spans="6:7" x14ac:dyDescent="0.2">
      <c r="F1460" s="209"/>
      <c r="G1460" s="281"/>
    </row>
    <row r="1461" spans="6:7" x14ac:dyDescent="0.2">
      <c r="F1461" s="209"/>
      <c r="G1461" s="281"/>
    </row>
    <row r="1462" spans="6:7" x14ac:dyDescent="0.2">
      <c r="F1462" s="209"/>
      <c r="G1462" s="281"/>
    </row>
    <row r="1463" spans="6:7" x14ac:dyDescent="0.2">
      <c r="F1463" s="209"/>
      <c r="G1463" s="281"/>
    </row>
    <row r="1464" spans="6:7" x14ac:dyDescent="0.2">
      <c r="F1464" s="209"/>
      <c r="G1464" s="281"/>
    </row>
    <row r="1465" spans="6:7" x14ac:dyDescent="0.2">
      <c r="F1465" s="209"/>
      <c r="G1465" s="281"/>
    </row>
    <row r="1466" spans="6:7" x14ac:dyDescent="0.2">
      <c r="F1466" s="209"/>
      <c r="G1466" s="281"/>
    </row>
    <row r="1467" spans="6:7" x14ac:dyDescent="0.2">
      <c r="F1467" s="209"/>
      <c r="G1467" s="281"/>
    </row>
    <row r="1468" spans="6:7" x14ac:dyDescent="0.2">
      <c r="F1468" s="209"/>
      <c r="G1468" s="281"/>
    </row>
    <row r="1469" spans="6:7" x14ac:dyDescent="0.2">
      <c r="F1469" s="209"/>
      <c r="G1469" s="281"/>
    </row>
    <row r="1470" spans="6:7" x14ac:dyDescent="0.2">
      <c r="F1470" s="209"/>
      <c r="G1470" s="281"/>
    </row>
    <row r="1471" spans="6:7" x14ac:dyDescent="0.2">
      <c r="F1471" s="209"/>
      <c r="G1471" s="281"/>
    </row>
    <row r="1472" spans="6:7" x14ac:dyDescent="0.2">
      <c r="F1472" s="209"/>
      <c r="G1472" s="281"/>
    </row>
    <row r="1473" spans="6:7" x14ac:dyDescent="0.2">
      <c r="F1473" s="209"/>
      <c r="G1473" s="281"/>
    </row>
    <row r="1474" spans="6:7" x14ac:dyDescent="0.2">
      <c r="F1474" s="209"/>
      <c r="G1474" s="281"/>
    </row>
    <row r="1475" spans="6:7" x14ac:dyDescent="0.2">
      <c r="F1475" s="209"/>
      <c r="G1475" s="281"/>
    </row>
    <row r="1476" spans="6:7" x14ac:dyDescent="0.2">
      <c r="F1476" s="209"/>
      <c r="G1476" s="281"/>
    </row>
    <row r="1477" spans="6:7" x14ac:dyDescent="0.2">
      <c r="F1477" s="209"/>
      <c r="G1477" s="281"/>
    </row>
    <row r="1478" spans="6:7" x14ac:dyDescent="0.2">
      <c r="F1478" s="209"/>
      <c r="G1478" s="281"/>
    </row>
    <row r="1479" spans="6:7" x14ac:dyDescent="0.2">
      <c r="F1479" s="209"/>
      <c r="G1479" s="281"/>
    </row>
    <row r="1480" spans="6:7" x14ac:dyDescent="0.2">
      <c r="F1480" s="209"/>
      <c r="G1480" s="281"/>
    </row>
    <row r="1481" spans="6:7" x14ac:dyDescent="0.2">
      <c r="F1481" s="209"/>
      <c r="G1481" s="281"/>
    </row>
    <row r="1482" spans="6:7" x14ac:dyDescent="0.2">
      <c r="F1482" s="209"/>
      <c r="G1482" s="281"/>
    </row>
    <row r="1483" spans="6:7" x14ac:dyDescent="0.2">
      <c r="F1483" s="209"/>
      <c r="G1483" s="281"/>
    </row>
    <row r="1484" spans="6:7" x14ac:dyDescent="0.2">
      <c r="F1484" s="209"/>
      <c r="G1484" s="281"/>
    </row>
    <row r="1485" spans="6:7" x14ac:dyDescent="0.2">
      <c r="F1485" s="209"/>
      <c r="G1485" s="281"/>
    </row>
    <row r="1486" spans="6:7" x14ac:dyDescent="0.2">
      <c r="F1486" s="209"/>
      <c r="G1486" s="281"/>
    </row>
    <row r="1487" spans="6:7" x14ac:dyDescent="0.2">
      <c r="F1487" s="209"/>
      <c r="G1487" s="281"/>
    </row>
    <row r="1488" spans="6:7" x14ac:dyDescent="0.2">
      <c r="F1488" s="209"/>
      <c r="G1488" s="281"/>
    </row>
    <row r="1489" spans="6:7" x14ac:dyDescent="0.2">
      <c r="F1489" s="209"/>
      <c r="G1489" s="281"/>
    </row>
    <row r="1490" spans="6:7" x14ac:dyDescent="0.2">
      <c r="F1490" s="209"/>
      <c r="G1490" s="281"/>
    </row>
    <row r="1491" spans="6:7" x14ac:dyDescent="0.2">
      <c r="F1491" s="209"/>
      <c r="G1491" s="281"/>
    </row>
    <row r="1492" spans="6:7" x14ac:dyDescent="0.2">
      <c r="F1492" s="209"/>
      <c r="G1492" s="281"/>
    </row>
    <row r="1493" spans="6:7" x14ac:dyDescent="0.2">
      <c r="F1493" s="209"/>
      <c r="G1493" s="281"/>
    </row>
    <row r="1494" spans="6:7" x14ac:dyDescent="0.2">
      <c r="F1494" s="209"/>
      <c r="G1494" s="281"/>
    </row>
    <row r="1495" spans="6:7" x14ac:dyDescent="0.2">
      <c r="F1495" s="209"/>
      <c r="G1495" s="281"/>
    </row>
    <row r="1496" spans="6:7" x14ac:dyDescent="0.2">
      <c r="F1496" s="209"/>
      <c r="G1496" s="281"/>
    </row>
    <row r="1497" spans="6:7" x14ac:dyDescent="0.2">
      <c r="F1497" s="209"/>
      <c r="G1497" s="281"/>
    </row>
    <row r="1498" spans="6:7" x14ac:dyDescent="0.2">
      <c r="F1498" s="209"/>
      <c r="G1498" s="281"/>
    </row>
    <row r="1499" spans="6:7" x14ac:dyDescent="0.2">
      <c r="F1499" s="209"/>
      <c r="G1499" s="281"/>
    </row>
    <row r="1500" spans="6:7" x14ac:dyDescent="0.2">
      <c r="F1500" s="209"/>
      <c r="G1500" s="281"/>
    </row>
    <row r="1501" spans="6:7" x14ac:dyDescent="0.2">
      <c r="F1501" s="209"/>
      <c r="G1501" s="281"/>
    </row>
    <row r="1502" spans="6:7" x14ac:dyDescent="0.2">
      <c r="F1502" s="209"/>
      <c r="G1502" s="281"/>
    </row>
    <row r="1503" spans="6:7" x14ac:dyDescent="0.2">
      <c r="F1503" s="209"/>
      <c r="G1503" s="281"/>
    </row>
    <row r="1504" spans="6:7" x14ac:dyDescent="0.2">
      <c r="F1504" s="209"/>
      <c r="G1504" s="281"/>
    </row>
    <row r="1505" spans="6:7" x14ac:dyDescent="0.2">
      <c r="F1505" s="209"/>
      <c r="G1505" s="281"/>
    </row>
    <row r="1506" spans="6:7" x14ac:dyDescent="0.2">
      <c r="F1506" s="209"/>
      <c r="G1506" s="281"/>
    </row>
    <row r="1507" spans="6:7" x14ac:dyDescent="0.2">
      <c r="F1507" s="209"/>
      <c r="G1507" s="281"/>
    </row>
    <row r="1508" spans="6:7" x14ac:dyDescent="0.2">
      <c r="F1508" s="209"/>
      <c r="G1508" s="281"/>
    </row>
    <row r="1509" spans="6:7" x14ac:dyDescent="0.2">
      <c r="F1509" s="209"/>
      <c r="G1509" s="281"/>
    </row>
    <row r="1510" spans="6:7" x14ac:dyDescent="0.2">
      <c r="F1510" s="209"/>
      <c r="G1510" s="281"/>
    </row>
    <row r="1511" spans="6:7" x14ac:dyDescent="0.2">
      <c r="F1511" s="209"/>
      <c r="G1511" s="281"/>
    </row>
    <row r="1512" spans="6:7" x14ac:dyDescent="0.2">
      <c r="F1512" s="209"/>
      <c r="G1512" s="281"/>
    </row>
    <row r="1513" spans="6:7" x14ac:dyDescent="0.2">
      <c r="F1513" s="209"/>
      <c r="G1513" s="281"/>
    </row>
    <row r="1514" spans="6:7" x14ac:dyDescent="0.2">
      <c r="F1514" s="209"/>
      <c r="G1514" s="281"/>
    </row>
    <row r="1515" spans="6:7" x14ac:dyDescent="0.2">
      <c r="F1515" s="209"/>
      <c r="G1515" s="281"/>
    </row>
    <row r="1516" spans="6:7" x14ac:dyDescent="0.2">
      <c r="F1516" s="209"/>
      <c r="G1516" s="281"/>
    </row>
    <row r="1517" spans="6:7" x14ac:dyDescent="0.2">
      <c r="F1517" s="209"/>
      <c r="G1517" s="281"/>
    </row>
    <row r="1518" spans="6:7" x14ac:dyDescent="0.2">
      <c r="F1518" s="209"/>
      <c r="G1518" s="281"/>
    </row>
    <row r="1519" spans="6:7" x14ac:dyDescent="0.2">
      <c r="F1519" s="209"/>
      <c r="G1519" s="281"/>
    </row>
    <row r="1520" spans="6:7" x14ac:dyDescent="0.2">
      <c r="F1520" s="209"/>
      <c r="G1520" s="281"/>
    </row>
    <row r="1521" spans="6:7" x14ac:dyDescent="0.2">
      <c r="F1521" s="209"/>
      <c r="G1521" s="281"/>
    </row>
    <row r="1522" spans="6:7" x14ac:dyDescent="0.2">
      <c r="F1522" s="209"/>
      <c r="G1522" s="281"/>
    </row>
    <row r="1523" spans="6:7" x14ac:dyDescent="0.2">
      <c r="F1523" s="209"/>
      <c r="G1523" s="281"/>
    </row>
    <row r="1524" spans="6:7" x14ac:dyDescent="0.2">
      <c r="F1524" s="209"/>
      <c r="G1524" s="281"/>
    </row>
    <row r="1525" spans="6:7" x14ac:dyDescent="0.2">
      <c r="F1525" s="209"/>
      <c r="G1525" s="281"/>
    </row>
    <row r="1526" spans="6:7" x14ac:dyDescent="0.2">
      <c r="F1526" s="209"/>
      <c r="G1526" s="281"/>
    </row>
    <row r="1527" spans="6:7" x14ac:dyDescent="0.2">
      <c r="F1527" s="209"/>
      <c r="G1527" s="281"/>
    </row>
    <row r="1528" spans="6:7" x14ac:dyDescent="0.2">
      <c r="F1528" s="209"/>
      <c r="G1528" s="281"/>
    </row>
    <row r="1529" spans="6:7" x14ac:dyDescent="0.2">
      <c r="F1529" s="209"/>
      <c r="G1529" s="281"/>
    </row>
    <row r="1530" spans="6:7" x14ac:dyDescent="0.2">
      <c r="F1530" s="209"/>
      <c r="G1530" s="281"/>
    </row>
    <row r="1531" spans="6:7" x14ac:dyDescent="0.2">
      <c r="F1531" s="209"/>
      <c r="G1531" s="281"/>
    </row>
    <row r="1532" spans="6:7" x14ac:dyDescent="0.2">
      <c r="F1532" s="209"/>
      <c r="G1532" s="281"/>
    </row>
    <row r="1533" spans="6:7" x14ac:dyDescent="0.2">
      <c r="F1533" s="209"/>
      <c r="G1533" s="281"/>
    </row>
    <row r="1534" spans="6:7" x14ac:dyDescent="0.2">
      <c r="F1534" s="209"/>
      <c r="G1534" s="281"/>
    </row>
    <row r="1535" spans="6:7" x14ac:dyDescent="0.2">
      <c r="F1535" s="209"/>
      <c r="G1535" s="281"/>
    </row>
    <row r="1536" spans="6:7" x14ac:dyDescent="0.2">
      <c r="F1536" s="209"/>
      <c r="G1536" s="281"/>
    </row>
    <row r="1537" spans="6:7" x14ac:dyDescent="0.2">
      <c r="F1537" s="209"/>
      <c r="G1537" s="281"/>
    </row>
    <row r="1538" spans="6:7" x14ac:dyDescent="0.2">
      <c r="F1538" s="209"/>
      <c r="G1538" s="281"/>
    </row>
    <row r="1539" spans="6:7" x14ac:dyDescent="0.2">
      <c r="F1539" s="209"/>
      <c r="G1539" s="281"/>
    </row>
    <row r="1540" spans="6:7" x14ac:dyDescent="0.2">
      <c r="F1540" s="209"/>
      <c r="G1540" s="281"/>
    </row>
    <row r="1541" spans="6:7" x14ac:dyDescent="0.2">
      <c r="F1541" s="209"/>
      <c r="G1541" s="281"/>
    </row>
    <row r="1542" spans="6:7" x14ac:dyDescent="0.2">
      <c r="F1542" s="209"/>
      <c r="G1542" s="281"/>
    </row>
    <row r="1543" spans="6:7" x14ac:dyDescent="0.2">
      <c r="F1543" s="209"/>
      <c r="G1543" s="281"/>
    </row>
    <row r="1544" spans="6:7" x14ac:dyDescent="0.2">
      <c r="F1544" s="209"/>
      <c r="G1544" s="281"/>
    </row>
    <row r="1545" spans="6:7" x14ac:dyDescent="0.2">
      <c r="F1545" s="209"/>
      <c r="G1545" s="281"/>
    </row>
    <row r="1546" spans="6:7" x14ac:dyDescent="0.2">
      <c r="F1546" s="209"/>
      <c r="G1546" s="281"/>
    </row>
    <row r="1547" spans="6:7" x14ac:dyDescent="0.2">
      <c r="F1547" s="209"/>
      <c r="G1547" s="281"/>
    </row>
    <row r="1548" spans="6:7" x14ac:dyDescent="0.2">
      <c r="F1548" s="209"/>
      <c r="G1548" s="281"/>
    </row>
    <row r="1549" spans="6:7" x14ac:dyDescent="0.2">
      <c r="F1549" s="209"/>
      <c r="G1549" s="281"/>
    </row>
    <row r="1550" spans="6:7" x14ac:dyDescent="0.2">
      <c r="F1550" s="209"/>
      <c r="G1550" s="281"/>
    </row>
    <row r="1551" spans="6:7" x14ac:dyDescent="0.2">
      <c r="F1551" s="209"/>
      <c r="G1551" s="281"/>
    </row>
    <row r="1552" spans="6:7" x14ac:dyDescent="0.2">
      <c r="F1552" s="209"/>
      <c r="G1552" s="281"/>
    </row>
    <row r="1553" spans="6:7" x14ac:dyDescent="0.2">
      <c r="F1553" s="209"/>
      <c r="G1553" s="281"/>
    </row>
    <row r="1554" spans="6:7" x14ac:dyDescent="0.2">
      <c r="F1554" s="209"/>
      <c r="G1554" s="281"/>
    </row>
    <row r="1555" spans="6:7" x14ac:dyDescent="0.2">
      <c r="F1555" s="209"/>
      <c r="G1555" s="281"/>
    </row>
    <row r="1556" spans="6:7" x14ac:dyDescent="0.2">
      <c r="F1556" s="209"/>
      <c r="G1556" s="281"/>
    </row>
    <row r="1557" spans="6:7" x14ac:dyDescent="0.2">
      <c r="F1557" s="209"/>
      <c r="G1557" s="281"/>
    </row>
    <row r="1558" spans="6:7" x14ac:dyDescent="0.2">
      <c r="F1558" s="209"/>
      <c r="G1558" s="281"/>
    </row>
    <row r="1559" spans="6:7" x14ac:dyDescent="0.2">
      <c r="F1559" s="209"/>
      <c r="G1559" s="281"/>
    </row>
    <row r="1560" spans="6:7" x14ac:dyDescent="0.2">
      <c r="F1560" s="209"/>
      <c r="G1560" s="281"/>
    </row>
    <row r="1561" spans="6:7" x14ac:dyDescent="0.2">
      <c r="F1561" s="209"/>
      <c r="G1561" s="281"/>
    </row>
    <row r="1562" spans="6:7" x14ac:dyDescent="0.2">
      <c r="F1562" s="209"/>
      <c r="G1562" s="281"/>
    </row>
    <row r="1563" spans="6:7" x14ac:dyDescent="0.2">
      <c r="F1563" s="209"/>
      <c r="G1563" s="281"/>
    </row>
    <row r="1564" spans="6:7" x14ac:dyDescent="0.2">
      <c r="F1564" s="209"/>
      <c r="G1564" s="281"/>
    </row>
    <row r="1565" spans="6:7" x14ac:dyDescent="0.2">
      <c r="F1565" s="209"/>
      <c r="G1565" s="281"/>
    </row>
    <row r="1566" spans="6:7" x14ac:dyDescent="0.2">
      <c r="F1566" s="209"/>
      <c r="G1566" s="281"/>
    </row>
    <row r="1567" spans="6:7" x14ac:dyDescent="0.2">
      <c r="F1567" s="209"/>
      <c r="G1567" s="281"/>
    </row>
    <row r="1568" spans="6:7" x14ac:dyDescent="0.2">
      <c r="F1568" s="209"/>
      <c r="G1568" s="281"/>
    </row>
    <row r="1569" spans="6:7" x14ac:dyDescent="0.2">
      <c r="F1569" s="209"/>
      <c r="G1569" s="281"/>
    </row>
    <row r="1570" spans="6:7" x14ac:dyDescent="0.2">
      <c r="F1570" s="209"/>
      <c r="G1570" s="281"/>
    </row>
    <row r="1571" spans="6:7" x14ac:dyDescent="0.2">
      <c r="F1571" s="209"/>
      <c r="G1571" s="281"/>
    </row>
    <row r="1572" spans="6:7" x14ac:dyDescent="0.2">
      <c r="F1572" s="209"/>
      <c r="G1572" s="281"/>
    </row>
    <row r="1573" spans="6:7" x14ac:dyDescent="0.2">
      <c r="F1573" s="209"/>
      <c r="G1573" s="281"/>
    </row>
    <row r="1574" spans="6:7" x14ac:dyDescent="0.2">
      <c r="F1574" s="209"/>
      <c r="G1574" s="281"/>
    </row>
    <row r="1575" spans="6:7" x14ac:dyDescent="0.2">
      <c r="F1575" s="209"/>
      <c r="G1575" s="281"/>
    </row>
    <row r="1576" spans="6:7" x14ac:dyDescent="0.2">
      <c r="F1576" s="209"/>
      <c r="G1576" s="281"/>
    </row>
    <row r="1577" spans="6:7" x14ac:dyDescent="0.2">
      <c r="F1577" s="209"/>
      <c r="G1577" s="281"/>
    </row>
    <row r="1578" spans="6:7" x14ac:dyDescent="0.2">
      <c r="F1578" s="209"/>
      <c r="G1578" s="281"/>
    </row>
    <row r="1579" spans="6:7" x14ac:dyDescent="0.2">
      <c r="F1579" s="209"/>
      <c r="G1579" s="281"/>
    </row>
    <row r="1580" spans="6:7" x14ac:dyDescent="0.2">
      <c r="F1580" s="209"/>
      <c r="G1580" s="281"/>
    </row>
    <row r="1581" spans="6:7" x14ac:dyDescent="0.2">
      <c r="F1581" s="209"/>
      <c r="G1581" s="281"/>
    </row>
    <row r="1582" spans="6:7" x14ac:dyDescent="0.2">
      <c r="F1582" s="209"/>
      <c r="G1582" s="281"/>
    </row>
    <row r="1583" spans="6:7" x14ac:dyDescent="0.2">
      <c r="F1583" s="209"/>
      <c r="G1583" s="281"/>
    </row>
    <row r="1584" spans="6:7" x14ac:dyDescent="0.2">
      <c r="F1584" s="209"/>
      <c r="G1584" s="281"/>
    </row>
    <row r="1585" spans="6:7" x14ac:dyDescent="0.2">
      <c r="F1585" s="209"/>
      <c r="G1585" s="281"/>
    </row>
    <row r="1586" spans="6:7" x14ac:dyDescent="0.2">
      <c r="F1586" s="209"/>
      <c r="G1586" s="281"/>
    </row>
    <row r="1587" spans="6:7" x14ac:dyDescent="0.2">
      <c r="F1587" s="209"/>
      <c r="G1587" s="281"/>
    </row>
    <row r="1588" spans="6:7" x14ac:dyDescent="0.2">
      <c r="F1588" s="209"/>
      <c r="G1588" s="281"/>
    </row>
    <row r="1589" spans="6:7" x14ac:dyDescent="0.2">
      <c r="F1589" s="209"/>
      <c r="G1589" s="281"/>
    </row>
    <row r="1590" spans="6:7" x14ac:dyDescent="0.2">
      <c r="F1590" s="209"/>
      <c r="G1590" s="281"/>
    </row>
    <row r="1591" spans="6:7" x14ac:dyDescent="0.2">
      <c r="F1591" s="209"/>
      <c r="G1591" s="281"/>
    </row>
    <row r="1592" spans="6:7" x14ac:dyDescent="0.2">
      <c r="F1592" s="209"/>
      <c r="G1592" s="281"/>
    </row>
    <row r="1593" spans="6:7" x14ac:dyDescent="0.2">
      <c r="F1593" s="209"/>
      <c r="G1593" s="281"/>
    </row>
    <row r="1594" spans="6:7" x14ac:dyDescent="0.2">
      <c r="F1594" s="209"/>
      <c r="G1594" s="281"/>
    </row>
    <row r="1595" spans="6:7" x14ac:dyDescent="0.2">
      <c r="F1595" s="209"/>
      <c r="G1595" s="281"/>
    </row>
    <row r="1596" spans="6:7" x14ac:dyDescent="0.2">
      <c r="F1596" s="209"/>
      <c r="G1596" s="281"/>
    </row>
    <row r="1597" spans="6:7" x14ac:dyDescent="0.2">
      <c r="F1597" s="209"/>
      <c r="G1597" s="281"/>
    </row>
    <row r="1598" spans="6:7" x14ac:dyDescent="0.2">
      <c r="F1598" s="209"/>
      <c r="G1598" s="281"/>
    </row>
    <row r="1599" spans="6:7" x14ac:dyDescent="0.2">
      <c r="F1599" s="209"/>
      <c r="G1599" s="281"/>
    </row>
    <row r="1600" spans="6:7" x14ac:dyDescent="0.2">
      <c r="F1600" s="209"/>
      <c r="G1600" s="281"/>
    </row>
    <row r="1601" spans="6:7" x14ac:dyDescent="0.2">
      <c r="F1601" s="209"/>
      <c r="G1601" s="281"/>
    </row>
    <row r="1602" spans="6:7" x14ac:dyDescent="0.2">
      <c r="F1602" s="209"/>
      <c r="G1602" s="281"/>
    </row>
    <row r="1603" spans="6:7" x14ac:dyDescent="0.2">
      <c r="F1603" s="209"/>
      <c r="G1603" s="281"/>
    </row>
    <row r="1604" spans="6:7" x14ac:dyDescent="0.2">
      <c r="F1604" s="209"/>
      <c r="G1604" s="281"/>
    </row>
    <row r="1605" spans="6:7" x14ac:dyDescent="0.2">
      <c r="F1605" s="209"/>
      <c r="G1605" s="281"/>
    </row>
    <row r="1606" spans="6:7" x14ac:dyDescent="0.2">
      <c r="F1606" s="209"/>
      <c r="G1606" s="281"/>
    </row>
    <row r="1607" spans="6:7" x14ac:dyDescent="0.2">
      <c r="F1607" s="209"/>
      <c r="G1607" s="281"/>
    </row>
    <row r="1608" spans="6:7" x14ac:dyDescent="0.2">
      <c r="F1608" s="209"/>
      <c r="G1608" s="281"/>
    </row>
    <row r="1609" spans="6:7" x14ac:dyDescent="0.2">
      <c r="F1609" s="209"/>
      <c r="G1609" s="281"/>
    </row>
    <row r="1610" spans="6:7" x14ac:dyDescent="0.2">
      <c r="F1610" s="209"/>
      <c r="G1610" s="281"/>
    </row>
    <row r="1611" spans="6:7" x14ac:dyDescent="0.2">
      <c r="F1611" s="209"/>
      <c r="G1611" s="281"/>
    </row>
    <row r="1612" spans="6:7" x14ac:dyDescent="0.2">
      <c r="F1612" s="209"/>
      <c r="G1612" s="281"/>
    </row>
    <row r="1613" spans="6:7" x14ac:dyDescent="0.2">
      <c r="F1613" s="209"/>
      <c r="G1613" s="281"/>
    </row>
    <row r="1614" spans="6:7" x14ac:dyDescent="0.2">
      <c r="F1614" s="209"/>
      <c r="G1614" s="281"/>
    </row>
    <row r="1615" spans="6:7" x14ac:dyDescent="0.2">
      <c r="F1615" s="209"/>
      <c r="G1615" s="281"/>
    </row>
    <row r="1616" spans="6:7" x14ac:dyDescent="0.2">
      <c r="F1616" s="209"/>
      <c r="G1616" s="281"/>
    </row>
    <row r="1617" spans="6:7" x14ac:dyDescent="0.2">
      <c r="F1617" s="209"/>
      <c r="G1617" s="281"/>
    </row>
    <row r="1618" spans="6:7" x14ac:dyDescent="0.2">
      <c r="F1618" s="209"/>
      <c r="G1618" s="281"/>
    </row>
    <row r="1619" spans="6:7" x14ac:dyDescent="0.2">
      <c r="F1619" s="209"/>
      <c r="G1619" s="281"/>
    </row>
    <row r="1620" spans="6:7" x14ac:dyDescent="0.2">
      <c r="F1620" s="209"/>
      <c r="G1620" s="281"/>
    </row>
    <row r="1621" spans="6:7" x14ac:dyDescent="0.2">
      <c r="F1621" s="209"/>
      <c r="G1621" s="281"/>
    </row>
    <row r="1622" spans="6:7" x14ac:dyDescent="0.2">
      <c r="F1622" s="209"/>
      <c r="G1622" s="281"/>
    </row>
    <row r="1623" spans="6:7" x14ac:dyDescent="0.2">
      <c r="F1623" s="209"/>
      <c r="G1623" s="281"/>
    </row>
    <row r="1624" spans="6:7" x14ac:dyDescent="0.2">
      <c r="F1624" s="209"/>
      <c r="G1624" s="281"/>
    </row>
    <row r="1625" spans="6:7" x14ac:dyDescent="0.2">
      <c r="F1625" s="209"/>
      <c r="G1625" s="281"/>
    </row>
    <row r="1626" spans="6:7" x14ac:dyDescent="0.2">
      <c r="F1626" s="209"/>
      <c r="G1626" s="281"/>
    </row>
    <row r="1627" spans="6:7" x14ac:dyDescent="0.2">
      <c r="F1627" s="209"/>
      <c r="G1627" s="281"/>
    </row>
    <row r="1628" spans="6:7" x14ac:dyDescent="0.2">
      <c r="F1628" s="209"/>
      <c r="G1628" s="281"/>
    </row>
    <row r="1629" spans="6:7" x14ac:dyDescent="0.2">
      <c r="F1629" s="209"/>
      <c r="G1629" s="281"/>
    </row>
    <row r="1630" spans="6:7" x14ac:dyDescent="0.2">
      <c r="F1630" s="209"/>
      <c r="G1630" s="281"/>
    </row>
    <row r="1631" spans="6:7" x14ac:dyDescent="0.2">
      <c r="F1631" s="209"/>
      <c r="G1631" s="281"/>
    </row>
    <row r="1632" spans="6:7" x14ac:dyDescent="0.2">
      <c r="F1632" s="209"/>
      <c r="G1632" s="281"/>
    </row>
    <row r="1633" spans="6:7" x14ac:dyDescent="0.2">
      <c r="F1633" s="209"/>
      <c r="G1633" s="281"/>
    </row>
    <row r="1634" spans="6:7" x14ac:dyDescent="0.2">
      <c r="F1634" s="209"/>
      <c r="G1634" s="281"/>
    </row>
    <row r="1635" spans="6:7" x14ac:dyDescent="0.2">
      <c r="F1635" s="209"/>
      <c r="G1635" s="281"/>
    </row>
    <row r="1636" spans="6:7" x14ac:dyDescent="0.2">
      <c r="F1636" s="209"/>
      <c r="G1636" s="281"/>
    </row>
    <row r="1637" spans="6:7" x14ac:dyDescent="0.2">
      <c r="F1637" s="209"/>
      <c r="G1637" s="281"/>
    </row>
    <row r="1638" spans="6:7" x14ac:dyDescent="0.2">
      <c r="F1638" s="209"/>
      <c r="G1638" s="281"/>
    </row>
    <row r="1639" spans="6:7" x14ac:dyDescent="0.2">
      <c r="F1639" s="209"/>
      <c r="G1639" s="281"/>
    </row>
    <row r="1640" spans="6:7" x14ac:dyDescent="0.2">
      <c r="F1640" s="209"/>
      <c r="G1640" s="281"/>
    </row>
    <row r="1641" spans="6:7" x14ac:dyDescent="0.2">
      <c r="F1641" s="209"/>
      <c r="G1641" s="281"/>
    </row>
    <row r="1642" spans="6:7" x14ac:dyDescent="0.2">
      <c r="F1642" s="209"/>
      <c r="G1642" s="281"/>
    </row>
    <row r="1643" spans="6:7" x14ac:dyDescent="0.2">
      <c r="F1643" s="209"/>
      <c r="G1643" s="281"/>
    </row>
    <row r="1644" spans="6:7" x14ac:dyDescent="0.2">
      <c r="F1644" s="209"/>
      <c r="G1644" s="281"/>
    </row>
    <row r="1645" spans="6:7" x14ac:dyDescent="0.2">
      <c r="F1645" s="209"/>
      <c r="G1645" s="281"/>
    </row>
    <row r="1646" spans="6:7" x14ac:dyDescent="0.2">
      <c r="F1646" s="209"/>
      <c r="G1646" s="281"/>
    </row>
    <row r="1647" spans="6:7" x14ac:dyDescent="0.2">
      <c r="F1647" s="209"/>
      <c r="G1647" s="281"/>
    </row>
    <row r="1648" spans="6:7" x14ac:dyDescent="0.2">
      <c r="F1648" s="209"/>
      <c r="G1648" s="281"/>
    </row>
    <row r="1649" spans="6:7" x14ac:dyDescent="0.2">
      <c r="F1649" s="209"/>
      <c r="G1649" s="281"/>
    </row>
  </sheetData>
  <sheetProtection password="C4B9" sheet="1" objects="1" scenarios="1"/>
  <sortState ref="A172:BO190">
    <sortCondition ref="A190"/>
  </sortState>
  <customSheetViews>
    <customSheetView guid="{B8E02330-2419-4DE6-AD01-7ACC7A5D18DD}" scale="75" topLeftCell="A245">
      <selection activeCell="A2" sqref="A2:H260"/>
      <pageMargins left="0.75" right="0.75" top="1" bottom="1" header="0.5" footer="0.5"/>
      <pageSetup orientation="portrait" r:id="rId1"/>
      <headerFooter alignWithMargins="0"/>
    </customSheetView>
  </customSheetViews>
  <mergeCells count="82">
    <mergeCell ref="B115:B121"/>
    <mergeCell ref="A18:A24"/>
    <mergeCell ref="B60:B66"/>
    <mergeCell ref="H18:H24"/>
    <mergeCell ref="H115:H121"/>
    <mergeCell ref="A100:A103"/>
    <mergeCell ref="A104:A108"/>
    <mergeCell ref="A85:A88"/>
    <mergeCell ref="A48:A53"/>
    <mergeCell ref="A41:A43"/>
    <mergeCell ref="B96:B99"/>
    <mergeCell ref="A25:A33"/>
    <mergeCell ref="A96:A99"/>
    <mergeCell ref="A74:A80"/>
    <mergeCell ref="A34:A40"/>
    <mergeCell ref="A44:A47"/>
    <mergeCell ref="H128:H129"/>
    <mergeCell ref="I128:I129"/>
    <mergeCell ref="A128:A129"/>
    <mergeCell ref="B128:B129"/>
    <mergeCell ref="I81:I84"/>
    <mergeCell ref="A81:A84"/>
    <mergeCell ref="I100:I103"/>
    <mergeCell ref="I104:I108"/>
    <mergeCell ref="A90:A95"/>
    <mergeCell ref="B90:B95"/>
    <mergeCell ref="A122:A126"/>
    <mergeCell ref="I115:I121"/>
    <mergeCell ref="A109:A114"/>
    <mergeCell ref="B109:B114"/>
    <mergeCell ref="H109:H114"/>
    <mergeCell ref="A115:A121"/>
    <mergeCell ref="I122:I126"/>
    <mergeCell ref="B122:B126"/>
    <mergeCell ref="E1:I1"/>
    <mergeCell ref="A1:B1"/>
    <mergeCell ref="I74:I80"/>
    <mergeCell ref="I85:I88"/>
    <mergeCell ref="I54:I59"/>
    <mergeCell ref="H54:H59"/>
    <mergeCell ref="H48:H53"/>
    <mergeCell ref="A60:A66"/>
    <mergeCell ref="B48:B53"/>
    <mergeCell ref="A67:A73"/>
    <mergeCell ref="A54:A59"/>
    <mergeCell ref="B54:B59"/>
    <mergeCell ref="H122:H126"/>
    <mergeCell ref="I18:I24"/>
    <mergeCell ref="I96:I99"/>
    <mergeCell ref="I67:I73"/>
    <mergeCell ref="I34:I40"/>
    <mergeCell ref="I60:I66"/>
    <mergeCell ref="H74:H80"/>
    <mergeCell ref="H81:H84"/>
    <mergeCell ref="I90:I95"/>
    <mergeCell ref="H67:H73"/>
    <mergeCell ref="H104:H108"/>
    <mergeCell ref="H100:H103"/>
    <mergeCell ref="H96:H99"/>
    <mergeCell ref="H60:H66"/>
    <mergeCell ref="H85:H88"/>
    <mergeCell ref="I25:I33"/>
    <mergeCell ref="I41:I43"/>
    <mergeCell ref="H41:H43"/>
    <mergeCell ref="I44:I47"/>
    <mergeCell ref="H44:H47"/>
    <mergeCell ref="I109:I114"/>
    <mergeCell ref="B18:B24"/>
    <mergeCell ref="B100:B103"/>
    <mergeCell ref="B74:B80"/>
    <mergeCell ref="H34:H40"/>
    <mergeCell ref="H25:H33"/>
    <mergeCell ref="B67:B73"/>
    <mergeCell ref="B85:B88"/>
    <mergeCell ref="B34:B40"/>
    <mergeCell ref="B41:B43"/>
    <mergeCell ref="B44:B47"/>
    <mergeCell ref="H90:H95"/>
    <mergeCell ref="B104:B108"/>
    <mergeCell ref="I48:I53"/>
    <mergeCell ref="B25:B33"/>
    <mergeCell ref="B81:B84"/>
  </mergeCells>
  <phoneticPr fontId="12" type="noConversion"/>
  <conditionalFormatting sqref="D142:D143 D146:D148 D136:D140 D130:D131 D133:D134 D115:D120 D122 D102:D104 D69:D79 D98:D100 D81 D43:D46 D67 D49 D51:D54 D83:D87 D96 D25:D34 D89:D94 D39:D41 D56:D65 D106:D112 D124:D127">
    <cfRule type="cellIs" dxfId="4" priority="1" operator="greaterThan">
      <formula>0</formula>
    </cfRule>
  </conditionalFormatting>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FF00"/>
  </sheetPr>
  <dimension ref="A1:CP335"/>
  <sheetViews>
    <sheetView zoomScaleNormal="100" workbookViewId="0">
      <selection activeCell="G11" sqref="G11"/>
    </sheetView>
  </sheetViews>
  <sheetFormatPr defaultColWidth="9.33203125" defaultRowHeight="15" customHeight="1" x14ac:dyDescent="0.2"/>
  <cols>
    <col min="1" max="1" width="5.5" style="39" customWidth="1"/>
    <col min="2" max="2" width="18.83203125" style="39" customWidth="1"/>
    <col min="3" max="3" width="95.83203125" style="19" customWidth="1"/>
    <col min="4" max="4" width="8.6640625" style="58" customWidth="1"/>
    <col min="5" max="5" width="66" style="58" customWidth="1"/>
    <col min="6" max="6" width="10" style="58" customWidth="1"/>
    <col min="7" max="7" width="10.83203125" style="58" customWidth="1"/>
    <col min="8" max="8" width="9.1640625" style="58" customWidth="1"/>
    <col min="9" max="9" width="10" style="58" customWidth="1"/>
    <col min="10" max="10" width="9.83203125" style="58" customWidth="1"/>
    <col min="11" max="11" width="10.5" style="58" customWidth="1"/>
    <col min="12" max="12" width="10.6640625" style="58" customWidth="1"/>
    <col min="13" max="13" width="9.83203125" style="58" customWidth="1"/>
    <col min="14" max="17" width="9.6640625" style="58" customWidth="1"/>
    <col min="18" max="18" width="10.83203125" style="58" customWidth="1"/>
    <col min="19" max="19" width="9.1640625" style="58" customWidth="1"/>
    <col min="20" max="20" width="10" style="58" customWidth="1"/>
    <col min="21" max="21" width="9.83203125" style="58" customWidth="1"/>
    <col min="22" max="22" width="10.5" style="58" customWidth="1"/>
    <col min="23" max="23" width="10.6640625" style="58" customWidth="1"/>
    <col min="24" max="24" width="9.83203125" style="58" customWidth="1"/>
    <col min="25" max="28" width="9.6640625" style="58" customWidth="1"/>
    <col min="29" max="29" width="10.83203125" style="58" customWidth="1"/>
    <col min="30" max="30" width="9.1640625" style="58" customWidth="1"/>
    <col min="31" max="31" width="10" style="58" customWidth="1"/>
    <col min="32" max="32" width="9.83203125" style="58" customWidth="1"/>
    <col min="33" max="33" width="10.5" style="58" customWidth="1"/>
    <col min="34" max="34" width="10.6640625" style="58" customWidth="1"/>
    <col min="35" max="35" width="9.83203125" style="58" customWidth="1"/>
    <col min="36" max="39" width="9.6640625" style="58" customWidth="1"/>
    <col min="40" max="40" width="10.83203125" style="58" customWidth="1"/>
    <col min="41" max="41" width="9.1640625" style="58" customWidth="1"/>
    <col min="42" max="42" width="10" style="58" customWidth="1"/>
    <col min="43" max="43" width="9.83203125" style="58" customWidth="1"/>
    <col min="44" max="44" width="10.5" style="58" customWidth="1"/>
    <col min="45" max="45" width="10.6640625" style="58" customWidth="1"/>
    <col min="46" max="46" width="9.83203125" style="58" customWidth="1"/>
    <col min="47" max="50" width="9.6640625" style="58" customWidth="1"/>
    <col min="51" max="51" width="10.83203125" style="58" customWidth="1"/>
    <col min="52" max="52" width="9.1640625" style="58" customWidth="1"/>
    <col min="53" max="53" width="10" style="58" customWidth="1"/>
    <col min="54" max="54" width="9.83203125" style="58" customWidth="1"/>
    <col min="55" max="55" width="10.5" style="58" customWidth="1"/>
    <col min="56" max="56" width="10.6640625" style="58" customWidth="1"/>
    <col min="57" max="57" width="9.83203125" style="58" customWidth="1"/>
    <col min="58" max="61" width="9.6640625" style="58" customWidth="1"/>
    <col min="62" max="62" width="10.83203125" style="58" customWidth="1"/>
    <col min="63" max="63" width="9.1640625" style="58" customWidth="1"/>
    <col min="64" max="64" width="10" style="58" customWidth="1"/>
    <col min="65" max="65" width="9.83203125" style="58" customWidth="1"/>
    <col min="66" max="66" width="10.5" style="58" customWidth="1"/>
    <col min="67" max="67" width="10.6640625" style="58" customWidth="1"/>
    <col min="68" max="68" width="9.83203125" style="58" customWidth="1"/>
    <col min="69" max="72" width="9.6640625" style="58" customWidth="1"/>
    <col min="73" max="73" width="10.83203125" style="58" customWidth="1"/>
    <col min="74" max="74" width="9.1640625" style="58" customWidth="1"/>
    <col min="75" max="75" width="10" style="58" customWidth="1"/>
    <col min="76" max="76" width="9.83203125" style="58" customWidth="1"/>
    <col min="77" max="77" width="10.5" style="58" customWidth="1"/>
    <col min="78" max="78" width="10.6640625" style="58" customWidth="1"/>
    <col min="79" max="79" width="9.83203125" style="58" customWidth="1"/>
    <col min="80" max="83" width="9.6640625" style="58" customWidth="1"/>
    <col min="84" max="84" width="10.83203125" style="58" customWidth="1"/>
    <col min="85" max="85" width="9.1640625" style="58" customWidth="1"/>
    <col min="86" max="86" width="10" style="58" customWidth="1"/>
    <col min="87" max="87" width="9.83203125" style="58" customWidth="1"/>
    <col min="88" max="88" width="10.5" style="58" customWidth="1"/>
    <col min="89" max="89" width="10.6640625" style="58" customWidth="1"/>
    <col min="90" max="90" width="9.83203125" style="58" customWidth="1"/>
    <col min="91" max="94" width="9.6640625" style="58" customWidth="1"/>
    <col min="95" max="211" width="4.83203125" style="39" customWidth="1"/>
    <col min="212" max="16384" width="9.33203125" style="39"/>
  </cols>
  <sheetData>
    <row r="1" spans="1:94" s="24" customFormat="1" ht="27" customHeight="1" thickBot="1" x14ac:dyDescent="0.25">
      <c r="A1" s="1839" t="s">
        <v>2500</v>
      </c>
      <c r="B1" s="1840"/>
      <c r="C1" s="1840"/>
      <c r="D1" s="1725"/>
      <c r="E1" s="1802" t="s">
        <v>2544</v>
      </c>
      <c r="R1" s="1727"/>
      <c r="AC1" s="1727"/>
      <c r="AN1" s="1727"/>
      <c r="AY1" s="1727"/>
      <c r="BJ1" s="1727"/>
      <c r="BU1" s="1727"/>
      <c r="CF1" s="1727"/>
    </row>
    <row r="2" spans="1:94" s="103" customFormat="1" ht="36" customHeight="1" thickBot="1" x14ac:dyDescent="0.25">
      <c r="A2" s="1901" t="s">
        <v>2354</v>
      </c>
      <c r="B2" s="1902"/>
      <c r="C2" s="1903"/>
      <c r="D2" s="1724"/>
      <c r="E2" s="1841"/>
      <c r="F2" s="717"/>
      <c r="G2" s="717"/>
      <c r="H2" s="717"/>
      <c r="I2" s="717"/>
      <c r="J2" s="717"/>
      <c r="K2" s="717"/>
      <c r="L2" s="717"/>
      <c r="M2" s="717"/>
      <c r="N2" s="717"/>
      <c r="O2" s="600"/>
      <c r="P2" s="600"/>
      <c r="Q2" s="600"/>
      <c r="R2" s="717"/>
      <c r="S2" s="717"/>
      <c r="T2" s="717"/>
      <c r="U2" s="717"/>
      <c r="V2" s="717"/>
      <c r="W2" s="717"/>
      <c r="X2" s="717"/>
      <c r="Y2" s="717"/>
      <c r="Z2" s="600"/>
      <c r="AA2" s="600"/>
      <c r="AB2" s="600"/>
      <c r="AC2" s="717"/>
      <c r="AD2" s="717"/>
      <c r="AE2" s="717"/>
      <c r="AF2" s="717"/>
      <c r="AG2" s="717"/>
      <c r="AH2" s="717"/>
      <c r="AI2" s="717"/>
      <c r="AJ2" s="717"/>
      <c r="AK2" s="600"/>
      <c r="AL2" s="600"/>
      <c r="AM2" s="600"/>
      <c r="AN2" s="717"/>
      <c r="AO2" s="717"/>
      <c r="AP2" s="717"/>
      <c r="AQ2" s="717"/>
      <c r="AR2" s="717"/>
      <c r="AS2" s="717"/>
      <c r="AT2" s="717"/>
      <c r="AU2" s="717"/>
      <c r="AV2" s="600"/>
      <c r="AW2" s="600"/>
      <c r="AX2" s="600"/>
      <c r="AY2" s="717"/>
      <c r="AZ2" s="717"/>
      <c r="BA2" s="717"/>
      <c r="BB2" s="717"/>
      <c r="BC2" s="717"/>
      <c r="BD2" s="717"/>
      <c r="BE2" s="717"/>
      <c r="BF2" s="717"/>
      <c r="BG2" s="600"/>
      <c r="BH2" s="600"/>
      <c r="BI2" s="600"/>
      <c r="BJ2" s="717"/>
      <c r="BK2" s="717"/>
      <c r="BL2" s="717"/>
      <c r="BM2" s="717"/>
      <c r="BN2" s="717"/>
      <c r="BO2" s="717"/>
      <c r="BP2" s="717"/>
      <c r="BQ2" s="717"/>
      <c r="BR2" s="600"/>
      <c r="BS2" s="600"/>
      <c r="BT2" s="600"/>
      <c r="BU2" s="717"/>
      <c r="BV2" s="717"/>
      <c r="BW2" s="717"/>
      <c r="BX2" s="717"/>
      <c r="BY2" s="717"/>
      <c r="BZ2" s="717"/>
      <c r="CA2" s="717"/>
      <c r="CB2" s="717"/>
      <c r="CC2" s="600"/>
      <c r="CD2" s="600"/>
      <c r="CE2" s="600"/>
      <c r="CF2" s="717"/>
      <c r="CG2" s="717"/>
      <c r="CH2" s="717"/>
      <c r="CI2" s="717"/>
      <c r="CJ2" s="717"/>
      <c r="CK2" s="717"/>
      <c r="CL2" s="717"/>
      <c r="CM2" s="717"/>
      <c r="CN2" s="600"/>
      <c r="CO2" s="600"/>
      <c r="CP2" s="600"/>
    </row>
    <row r="3" spans="1:94" ht="132.75" customHeight="1" thickBot="1" x14ac:dyDescent="0.25">
      <c r="A3" s="1904" t="s">
        <v>2306</v>
      </c>
      <c r="B3" s="1905"/>
      <c r="C3" s="1906"/>
      <c r="D3" s="1557"/>
      <c r="E3" s="1842"/>
      <c r="F3" s="1739" t="s">
        <v>2239</v>
      </c>
      <c r="G3" s="1803" t="s">
        <v>2503</v>
      </c>
      <c r="H3" s="1803" t="s">
        <v>2503</v>
      </c>
      <c r="I3" s="1803" t="s">
        <v>2503</v>
      </c>
      <c r="J3" s="1803" t="s">
        <v>2503</v>
      </c>
      <c r="K3" s="1803" t="s">
        <v>2503</v>
      </c>
      <c r="L3" s="1803" t="s">
        <v>2503</v>
      </c>
      <c r="M3" s="1803" t="s">
        <v>2503</v>
      </c>
      <c r="N3" s="1803" t="s">
        <v>2503</v>
      </c>
      <c r="O3" s="1803" t="s">
        <v>2503</v>
      </c>
      <c r="P3" s="1803" t="s">
        <v>2503</v>
      </c>
      <c r="Q3" s="1803" t="s">
        <v>2503</v>
      </c>
      <c r="R3" s="1803" t="s">
        <v>2503</v>
      </c>
      <c r="S3" s="1803" t="s">
        <v>2503</v>
      </c>
      <c r="T3" s="1803" t="s">
        <v>2503</v>
      </c>
      <c r="U3" s="1803" t="s">
        <v>2503</v>
      </c>
      <c r="V3" s="1803" t="s">
        <v>2503</v>
      </c>
      <c r="W3" s="1803" t="s">
        <v>2503</v>
      </c>
      <c r="X3" s="1803" t="s">
        <v>2503</v>
      </c>
      <c r="Y3" s="1803" t="s">
        <v>2503</v>
      </c>
      <c r="Z3" s="1803" t="s">
        <v>2503</v>
      </c>
      <c r="AA3" s="1803" t="s">
        <v>2503</v>
      </c>
      <c r="AB3" s="1803" t="s">
        <v>2503</v>
      </c>
      <c r="AC3" s="1803" t="s">
        <v>2503</v>
      </c>
      <c r="AD3" s="1803" t="s">
        <v>2503</v>
      </c>
      <c r="AE3" s="1803" t="s">
        <v>2503</v>
      </c>
      <c r="AF3" s="1803" t="s">
        <v>2503</v>
      </c>
      <c r="AG3" s="1803" t="s">
        <v>2503</v>
      </c>
      <c r="AH3" s="1803" t="s">
        <v>2503</v>
      </c>
      <c r="AI3" s="1803" t="s">
        <v>2503</v>
      </c>
      <c r="AJ3" s="1803" t="s">
        <v>2503</v>
      </c>
      <c r="AK3" s="1803" t="s">
        <v>2503</v>
      </c>
      <c r="AL3" s="1803" t="s">
        <v>2503</v>
      </c>
      <c r="AM3" s="1803" t="s">
        <v>2503</v>
      </c>
      <c r="AN3" s="1803" t="s">
        <v>2503</v>
      </c>
      <c r="AO3" s="1803" t="s">
        <v>2503</v>
      </c>
      <c r="AP3" s="1803" t="s">
        <v>2503</v>
      </c>
      <c r="AQ3" s="1803" t="s">
        <v>2503</v>
      </c>
      <c r="AR3" s="1803" t="s">
        <v>2503</v>
      </c>
      <c r="AS3" s="1803" t="s">
        <v>2503</v>
      </c>
      <c r="AT3" s="1803" t="s">
        <v>2503</v>
      </c>
      <c r="AU3" s="1803" t="s">
        <v>2503</v>
      </c>
      <c r="AV3" s="1803" t="s">
        <v>2503</v>
      </c>
      <c r="AW3" s="1803" t="s">
        <v>2503</v>
      </c>
      <c r="AX3" s="1803" t="s">
        <v>2503</v>
      </c>
      <c r="AY3" s="1803" t="s">
        <v>2503</v>
      </c>
      <c r="AZ3" s="1803" t="s">
        <v>2503</v>
      </c>
      <c r="BA3" s="1803" t="s">
        <v>2503</v>
      </c>
      <c r="BB3" s="1803" t="s">
        <v>2503</v>
      </c>
      <c r="BC3" s="1803" t="s">
        <v>2503</v>
      </c>
      <c r="BD3" s="1803" t="s">
        <v>2503</v>
      </c>
      <c r="BE3" s="1803" t="s">
        <v>2503</v>
      </c>
      <c r="BF3" s="1803" t="s">
        <v>2503</v>
      </c>
      <c r="BG3" s="1803" t="s">
        <v>2503</v>
      </c>
      <c r="BH3" s="1803" t="s">
        <v>2503</v>
      </c>
      <c r="BI3" s="1803" t="s">
        <v>2503</v>
      </c>
      <c r="BJ3" s="1803" t="s">
        <v>2503</v>
      </c>
      <c r="BK3" s="1803" t="s">
        <v>2503</v>
      </c>
      <c r="BL3" s="1803" t="s">
        <v>2503</v>
      </c>
      <c r="BM3" s="1803" t="s">
        <v>2503</v>
      </c>
      <c r="BN3" s="1803" t="s">
        <v>2503</v>
      </c>
      <c r="BO3" s="1803" t="s">
        <v>2503</v>
      </c>
      <c r="BP3" s="1803" t="s">
        <v>2503</v>
      </c>
      <c r="BQ3" s="1803" t="s">
        <v>2503</v>
      </c>
      <c r="BR3" s="1803" t="s">
        <v>2503</v>
      </c>
      <c r="BS3" s="1803" t="s">
        <v>2503</v>
      </c>
      <c r="BT3" s="1803" t="s">
        <v>2503</v>
      </c>
      <c r="BU3" s="1803" t="s">
        <v>2503</v>
      </c>
      <c r="BV3" s="1803" t="s">
        <v>2503</v>
      </c>
      <c r="BW3" s="1803" t="s">
        <v>2503</v>
      </c>
      <c r="BX3" s="1803" t="s">
        <v>2503</v>
      </c>
      <c r="BY3" s="1803" t="s">
        <v>2503</v>
      </c>
      <c r="BZ3" s="1803" t="s">
        <v>2503</v>
      </c>
      <c r="CA3" s="1803" t="s">
        <v>2503</v>
      </c>
      <c r="CB3" s="1803" t="s">
        <v>2503</v>
      </c>
      <c r="CC3" s="1803" t="s">
        <v>2503</v>
      </c>
      <c r="CD3" s="1803" t="s">
        <v>2503</v>
      </c>
      <c r="CE3" s="1803" t="s">
        <v>2503</v>
      </c>
      <c r="CF3" s="1803" t="s">
        <v>2503</v>
      </c>
      <c r="CG3" s="1803" t="s">
        <v>2503</v>
      </c>
      <c r="CH3" s="1803" t="s">
        <v>2503</v>
      </c>
      <c r="CI3" s="1803" t="s">
        <v>2503</v>
      </c>
      <c r="CJ3" s="1803" t="s">
        <v>2503</v>
      </c>
      <c r="CK3" s="1803" t="s">
        <v>2503</v>
      </c>
      <c r="CL3" s="1803" t="s">
        <v>2503</v>
      </c>
      <c r="CM3" s="1803" t="s">
        <v>2503</v>
      </c>
      <c r="CN3" s="1803" t="s">
        <v>2503</v>
      </c>
      <c r="CO3" s="1803" t="s">
        <v>2503</v>
      </c>
      <c r="CP3" s="1803" t="s">
        <v>2503</v>
      </c>
    </row>
    <row r="4" spans="1:94" s="69" customFormat="1" ht="36" customHeight="1" thickBot="1" x14ac:dyDescent="0.25">
      <c r="A4" s="647" t="s">
        <v>1319</v>
      </c>
      <c r="B4" s="647" t="s">
        <v>77</v>
      </c>
      <c r="C4" s="648" t="s">
        <v>456</v>
      </c>
      <c r="D4" s="647"/>
      <c r="E4" s="647" t="s">
        <v>1811</v>
      </c>
      <c r="F4" s="1224"/>
      <c r="G4" s="1740"/>
      <c r="H4" s="1740"/>
      <c r="I4" s="1740"/>
      <c r="J4" s="1740"/>
      <c r="K4" s="1740"/>
      <c r="L4" s="1740"/>
      <c r="M4" s="1740"/>
      <c r="N4" s="1740"/>
      <c r="O4" s="1740"/>
      <c r="P4" s="1740"/>
      <c r="Q4" s="1740"/>
      <c r="R4" s="1740"/>
      <c r="S4" s="1740"/>
      <c r="T4" s="1740"/>
      <c r="U4" s="1740"/>
      <c r="V4" s="1740"/>
      <c r="W4" s="1740"/>
      <c r="X4" s="1740"/>
      <c r="Y4" s="1740"/>
      <c r="Z4" s="1740"/>
      <c r="AA4" s="1740"/>
      <c r="AB4" s="1740"/>
      <c r="AC4" s="1740"/>
      <c r="AD4" s="1740"/>
      <c r="AE4" s="1740"/>
      <c r="AF4" s="1740"/>
      <c r="AG4" s="1740"/>
      <c r="AH4" s="1740"/>
      <c r="AI4" s="1740"/>
      <c r="AJ4" s="1740"/>
      <c r="AK4" s="1740"/>
      <c r="AL4" s="1740"/>
      <c r="AM4" s="1740"/>
      <c r="AN4" s="1740"/>
      <c r="AO4" s="1740"/>
      <c r="AP4" s="1740"/>
      <c r="AQ4" s="1740"/>
      <c r="AR4" s="1740"/>
      <c r="AS4" s="1740"/>
      <c r="AT4" s="1740"/>
      <c r="AU4" s="1740"/>
      <c r="AV4" s="1740"/>
      <c r="AW4" s="1740"/>
      <c r="AX4" s="1740"/>
      <c r="AY4" s="1740"/>
      <c r="AZ4" s="1740"/>
      <c r="BA4" s="1740"/>
      <c r="BB4" s="1740"/>
      <c r="BC4" s="1740"/>
      <c r="BD4" s="1740"/>
      <c r="BE4" s="1740"/>
      <c r="BF4" s="1740"/>
      <c r="BG4" s="1740"/>
      <c r="BH4" s="1740"/>
      <c r="BI4" s="1740"/>
      <c r="BJ4" s="1740"/>
      <c r="BK4" s="1740"/>
      <c r="BL4" s="1740"/>
      <c r="BM4" s="1740"/>
      <c r="BN4" s="1740"/>
      <c r="BO4" s="1740"/>
      <c r="BP4" s="1740"/>
      <c r="BQ4" s="1740"/>
      <c r="BR4" s="1740"/>
      <c r="BS4" s="1740"/>
      <c r="BT4" s="1740"/>
      <c r="BU4" s="1740"/>
      <c r="BV4" s="1740"/>
      <c r="BW4" s="1740"/>
      <c r="BX4" s="1740"/>
      <c r="BY4" s="1740"/>
      <c r="BZ4" s="1740"/>
      <c r="CA4" s="1740"/>
      <c r="CB4" s="1740"/>
      <c r="CC4" s="1740"/>
      <c r="CD4" s="1740"/>
      <c r="CE4" s="1740"/>
      <c r="CF4" s="1740"/>
      <c r="CG4" s="1740"/>
      <c r="CH4" s="1740"/>
      <c r="CI4" s="1740"/>
      <c r="CJ4" s="1740"/>
      <c r="CK4" s="1740"/>
      <c r="CL4" s="1740"/>
      <c r="CM4" s="1740"/>
      <c r="CN4" s="1740"/>
      <c r="CO4" s="1740"/>
      <c r="CP4" s="1740"/>
    </row>
    <row r="5" spans="1:94" s="58" customFormat="1" ht="21" customHeight="1" thickBot="1" x14ac:dyDescent="0.25">
      <c r="A5" s="1846" t="s">
        <v>1276</v>
      </c>
      <c r="B5" s="1850" t="s">
        <v>552</v>
      </c>
      <c r="C5" s="1776" t="s">
        <v>2242</v>
      </c>
      <c r="D5" s="1230"/>
      <c r="E5" s="1853" t="s">
        <v>2372</v>
      </c>
      <c r="F5" s="1225"/>
      <c r="G5" s="1735"/>
      <c r="H5" s="1735"/>
      <c r="I5" s="1735"/>
      <c r="J5" s="1735"/>
      <c r="K5" s="1735"/>
      <c r="L5" s="1735"/>
      <c r="M5" s="1735"/>
      <c r="N5" s="1735"/>
      <c r="O5" s="1735"/>
      <c r="P5" s="1735"/>
      <c r="Q5" s="1735"/>
      <c r="R5" s="1735"/>
      <c r="S5" s="1735"/>
      <c r="T5" s="1735"/>
      <c r="U5" s="1735"/>
      <c r="V5" s="1735"/>
      <c r="W5" s="1735"/>
      <c r="X5" s="1735"/>
      <c r="Y5" s="1735"/>
      <c r="Z5" s="1735"/>
      <c r="AA5" s="1735"/>
      <c r="AB5" s="1735"/>
      <c r="AC5" s="1735"/>
      <c r="AD5" s="1735"/>
      <c r="AE5" s="1735"/>
      <c r="AF5" s="1735"/>
      <c r="AG5" s="1735"/>
      <c r="AH5" s="1735"/>
      <c r="AI5" s="1735"/>
      <c r="AJ5" s="1735"/>
      <c r="AK5" s="1735"/>
      <c r="AL5" s="1735"/>
      <c r="AM5" s="1735"/>
      <c r="AN5" s="1735"/>
      <c r="AO5" s="1735"/>
      <c r="AP5" s="1735"/>
      <c r="AQ5" s="1735"/>
      <c r="AR5" s="1735"/>
      <c r="AS5" s="1735"/>
      <c r="AT5" s="1735"/>
      <c r="AU5" s="1735"/>
      <c r="AV5" s="1735"/>
      <c r="AW5" s="1735"/>
      <c r="AX5" s="1735"/>
      <c r="AY5" s="1735"/>
      <c r="AZ5" s="1735"/>
      <c r="BA5" s="1735"/>
      <c r="BB5" s="1735"/>
      <c r="BC5" s="1735"/>
      <c r="BD5" s="1735"/>
      <c r="BE5" s="1735"/>
      <c r="BF5" s="1735"/>
      <c r="BG5" s="1735"/>
      <c r="BH5" s="1735"/>
      <c r="BI5" s="1735"/>
      <c r="BJ5" s="1735"/>
      <c r="BK5" s="1735"/>
      <c r="BL5" s="1735"/>
      <c r="BM5" s="1735"/>
      <c r="BN5" s="1735"/>
      <c r="BO5" s="1735"/>
      <c r="BP5" s="1735"/>
      <c r="BQ5" s="1735"/>
      <c r="BR5" s="1735"/>
      <c r="BS5" s="1735"/>
      <c r="BT5" s="1735"/>
      <c r="BU5" s="1735"/>
      <c r="BV5" s="1735"/>
      <c r="BW5" s="1735"/>
      <c r="BX5" s="1735"/>
      <c r="BY5" s="1735"/>
      <c r="BZ5" s="1735"/>
      <c r="CA5" s="1735"/>
      <c r="CB5" s="1735"/>
      <c r="CC5" s="1735"/>
      <c r="CD5" s="1735"/>
      <c r="CE5" s="1735"/>
      <c r="CF5" s="1735"/>
      <c r="CG5" s="1735"/>
      <c r="CH5" s="1735"/>
      <c r="CI5" s="1735"/>
      <c r="CJ5" s="1735"/>
      <c r="CK5" s="1735"/>
      <c r="CL5" s="1735"/>
      <c r="CM5" s="1735"/>
      <c r="CN5" s="1735"/>
      <c r="CO5" s="1735"/>
      <c r="CP5" s="1735"/>
    </row>
    <row r="6" spans="1:94" s="58" customFormat="1" ht="27" customHeight="1" x14ac:dyDescent="0.2">
      <c r="A6" s="1856"/>
      <c r="B6" s="1851"/>
      <c r="C6" s="1277" t="s">
        <v>2349</v>
      </c>
      <c r="D6" s="1230"/>
      <c r="E6" s="1854"/>
      <c r="F6" s="1225"/>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4"/>
      <c r="AF6" s="1764"/>
      <c r="AG6" s="1764"/>
      <c r="AH6" s="1764"/>
      <c r="AI6" s="1764"/>
      <c r="AJ6" s="1764"/>
      <c r="AK6" s="1764"/>
      <c r="AL6" s="1764"/>
      <c r="AM6" s="1764"/>
      <c r="AN6" s="1764"/>
      <c r="AO6" s="1764"/>
      <c r="AP6" s="1764"/>
      <c r="AQ6" s="1764"/>
      <c r="AR6" s="1764"/>
      <c r="AS6" s="1764"/>
      <c r="AT6" s="1764"/>
      <c r="AU6" s="1764"/>
      <c r="AV6" s="1764"/>
      <c r="AW6" s="1764"/>
      <c r="AX6" s="1764"/>
      <c r="AY6" s="1764"/>
      <c r="AZ6" s="1764"/>
      <c r="BA6" s="1764"/>
      <c r="BB6" s="1764"/>
      <c r="BC6" s="1764"/>
      <c r="BD6" s="1764"/>
      <c r="BE6" s="1764"/>
      <c r="BF6" s="1764"/>
      <c r="BG6" s="1764"/>
      <c r="BH6" s="1764"/>
      <c r="BI6" s="1764"/>
      <c r="BJ6" s="1764"/>
      <c r="BK6" s="1764"/>
      <c r="BL6" s="1764"/>
      <c r="BM6" s="1764"/>
      <c r="BN6" s="1764"/>
      <c r="BO6" s="1764"/>
      <c r="BP6" s="1764"/>
      <c r="BQ6" s="1764"/>
      <c r="BR6" s="1764"/>
      <c r="BS6" s="1764"/>
      <c r="BT6" s="1764"/>
      <c r="BU6" s="1764"/>
      <c r="BV6" s="1764"/>
      <c r="BW6" s="1764"/>
      <c r="BX6" s="1764"/>
      <c r="BY6" s="1764"/>
      <c r="BZ6" s="1764"/>
      <c r="CA6" s="1764"/>
      <c r="CB6" s="1764"/>
      <c r="CC6" s="1764"/>
      <c r="CD6" s="1764"/>
      <c r="CE6" s="1764"/>
      <c r="CF6" s="1764"/>
      <c r="CG6" s="1764"/>
      <c r="CH6" s="1764"/>
      <c r="CI6" s="1764"/>
      <c r="CJ6" s="1764"/>
      <c r="CK6" s="1764"/>
      <c r="CL6" s="1764"/>
      <c r="CM6" s="1764"/>
      <c r="CN6" s="1764"/>
      <c r="CO6" s="1764"/>
      <c r="CP6" s="1764"/>
    </row>
    <row r="7" spans="1:94" s="58" customFormat="1" ht="68.25" customHeight="1" x14ac:dyDescent="0.2">
      <c r="A7" s="1856"/>
      <c r="B7" s="1851"/>
      <c r="C7" s="1273" t="s">
        <v>2434</v>
      </c>
      <c r="D7" s="1228"/>
      <c r="E7" s="1854"/>
      <c r="F7" s="1225"/>
      <c r="G7" s="1765">
        <v>0</v>
      </c>
      <c r="H7" s="1765">
        <v>0</v>
      </c>
      <c r="I7" s="1765">
        <v>0</v>
      </c>
      <c r="J7" s="1765">
        <v>0</v>
      </c>
      <c r="K7" s="1765">
        <v>0</v>
      </c>
      <c r="L7" s="1765">
        <v>0</v>
      </c>
      <c r="M7" s="1765">
        <v>0</v>
      </c>
      <c r="N7" s="1765">
        <v>0</v>
      </c>
      <c r="O7" s="1765">
        <v>0</v>
      </c>
      <c r="P7" s="1765">
        <v>0</v>
      </c>
      <c r="Q7" s="1765">
        <v>0</v>
      </c>
      <c r="R7" s="1765">
        <v>0</v>
      </c>
      <c r="S7" s="1765">
        <v>0</v>
      </c>
      <c r="T7" s="1765">
        <v>0</v>
      </c>
      <c r="U7" s="1765">
        <v>0</v>
      </c>
      <c r="V7" s="1765">
        <v>0</v>
      </c>
      <c r="W7" s="1765">
        <v>0</v>
      </c>
      <c r="X7" s="1765">
        <v>0</v>
      </c>
      <c r="Y7" s="1765">
        <v>0</v>
      </c>
      <c r="Z7" s="1765">
        <v>0</v>
      </c>
      <c r="AA7" s="1765">
        <v>0</v>
      </c>
      <c r="AB7" s="1765">
        <v>0</v>
      </c>
      <c r="AC7" s="1765">
        <v>0</v>
      </c>
      <c r="AD7" s="1765">
        <v>0</v>
      </c>
      <c r="AE7" s="1765">
        <v>0</v>
      </c>
      <c r="AF7" s="1765">
        <v>0</v>
      </c>
      <c r="AG7" s="1765">
        <v>0</v>
      </c>
      <c r="AH7" s="1765">
        <v>0</v>
      </c>
      <c r="AI7" s="1765">
        <v>0</v>
      </c>
      <c r="AJ7" s="1765">
        <v>0</v>
      </c>
      <c r="AK7" s="1765">
        <v>0</v>
      </c>
      <c r="AL7" s="1765">
        <v>0</v>
      </c>
      <c r="AM7" s="1765">
        <v>0</v>
      </c>
      <c r="AN7" s="1765">
        <v>0</v>
      </c>
      <c r="AO7" s="1765">
        <v>0</v>
      </c>
      <c r="AP7" s="1765">
        <v>0</v>
      </c>
      <c r="AQ7" s="1765">
        <v>0</v>
      </c>
      <c r="AR7" s="1765">
        <v>0</v>
      </c>
      <c r="AS7" s="1765">
        <v>0</v>
      </c>
      <c r="AT7" s="1765">
        <v>0</v>
      </c>
      <c r="AU7" s="1765">
        <v>0</v>
      </c>
      <c r="AV7" s="1765">
        <v>0</v>
      </c>
      <c r="AW7" s="1765">
        <v>0</v>
      </c>
      <c r="AX7" s="1765">
        <v>0</v>
      </c>
      <c r="AY7" s="1765">
        <v>0</v>
      </c>
      <c r="AZ7" s="1765">
        <v>0</v>
      </c>
      <c r="BA7" s="1765">
        <v>0</v>
      </c>
      <c r="BB7" s="1765">
        <v>0</v>
      </c>
      <c r="BC7" s="1765">
        <v>0</v>
      </c>
      <c r="BD7" s="1765">
        <v>0</v>
      </c>
      <c r="BE7" s="1765">
        <v>0</v>
      </c>
      <c r="BF7" s="1765">
        <v>0</v>
      </c>
      <c r="BG7" s="1765">
        <v>0</v>
      </c>
      <c r="BH7" s="1765">
        <v>0</v>
      </c>
      <c r="BI7" s="1765">
        <v>0</v>
      </c>
      <c r="BJ7" s="1765">
        <v>0</v>
      </c>
      <c r="BK7" s="1765">
        <v>0</v>
      </c>
      <c r="BL7" s="1765">
        <v>0</v>
      </c>
      <c r="BM7" s="1765">
        <v>0</v>
      </c>
      <c r="BN7" s="1765">
        <v>0</v>
      </c>
      <c r="BO7" s="1765">
        <v>0</v>
      </c>
      <c r="BP7" s="1765">
        <v>0</v>
      </c>
      <c r="BQ7" s="1765">
        <v>0</v>
      </c>
      <c r="BR7" s="1765">
        <v>0</v>
      </c>
      <c r="BS7" s="1765">
        <v>0</v>
      </c>
      <c r="BT7" s="1765">
        <v>0</v>
      </c>
      <c r="BU7" s="1765">
        <v>0</v>
      </c>
      <c r="BV7" s="1765">
        <v>0</v>
      </c>
      <c r="BW7" s="1765">
        <v>0</v>
      </c>
      <c r="BX7" s="1765">
        <v>0</v>
      </c>
      <c r="BY7" s="1765">
        <v>0</v>
      </c>
      <c r="BZ7" s="1765">
        <v>0</v>
      </c>
      <c r="CA7" s="1765">
        <v>0</v>
      </c>
      <c r="CB7" s="1765">
        <v>0</v>
      </c>
      <c r="CC7" s="1765">
        <v>0</v>
      </c>
      <c r="CD7" s="1765">
        <v>0</v>
      </c>
      <c r="CE7" s="1765">
        <v>0</v>
      </c>
      <c r="CF7" s="1765">
        <v>0</v>
      </c>
      <c r="CG7" s="1765">
        <v>0</v>
      </c>
      <c r="CH7" s="1765">
        <v>0</v>
      </c>
      <c r="CI7" s="1765">
        <v>0</v>
      </c>
      <c r="CJ7" s="1765">
        <v>0</v>
      </c>
      <c r="CK7" s="1765">
        <v>0</v>
      </c>
      <c r="CL7" s="1765">
        <v>0</v>
      </c>
      <c r="CM7" s="1765">
        <v>0</v>
      </c>
      <c r="CN7" s="1765">
        <v>0</v>
      </c>
      <c r="CO7" s="1765">
        <v>0</v>
      </c>
      <c r="CP7" s="1765">
        <v>0</v>
      </c>
    </row>
    <row r="8" spans="1:94" s="58" customFormat="1" ht="49.9" customHeight="1" thickBot="1" x14ac:dyDescent="0.25">
      <c r="A8" s="1856"/>
      <c r="B8" s="1851"/>
      <c r="C8" s="1273" t="s">
        <v>2435</v>
      </c>
      <c r="D8" s="1228"/>
      <c r="E8" s="1854"/>
      <c r="F8" s="1225"/>
      <c r="G8" s="1765">
        <v>0</v>
      </c>
      <c r="H8" s="1765">
        <v>0</v>
      </c>
      <c r="I8" s="1765">
        <v>0</v>
      </c>
      <c r="J8" s="1765">
        <v>0</v>
      </c>
      <c r="K8" s="1765">
        <v>0</v>
      </c>
      <c r="L8" s="1765">
        <v>0</v>
      </c>
      <c r="M8" s="1765">
        <v>0</v>
      </c>
      <c r="N8" s="1765">
        <v>0</v>
      </c>
      <c r="O8" s="1765">
        <v>0</v>
      </c>
      <c r="P8" s="1765">
        <v>0</v>
      </c>
      <c r="Q8" s="1765">
        <v>0</v>
      </c>
      <c r="R8" s="1765">
        <v>0</v>
      </c>
      <c r="S8" s="1765">
        <v>0</v>
      </c>
      <c r="T8" s="1765">
        <v>0</v>
      </c>
      <c r="U8" s="1765">
        <v>0</v>
      </c>
      <c r="V8" s="1765">
        <v>0</v>
      </c>
      <c r="W8" s="1765">
        <v>0</v>
      </c>
      <c r="X8" s="1765">
        <v>0</v>
      </c>
      <c r="Y8" s="1765">
        <v>0</v>
      </c>
      <c r="Z8" s="1765">
        <v>0</v>
      </c>
      <c r="AA8" s="1765">
        <v>0</v>
      </c>
      <c r="AB8" s="1765">
        <v>0</v>
      </c>
      <c r="AC8" s="1765">
        <v>0</v>
      </c>
      <c r="AD8" s="1765">
        <v>0</v>
      </c>
      <c r="AE8" s="1765">
        <v>0</v>
      </c>
      <c r="AF8" s="1765">
        <v>0</v>
      </c>
      <c r="AG8" s="1765">
        <v>0</v>
      </c>
      <c r="AH8" s="1765">
        <v>0</v>
      </c>
      <c r="AI8" s="1765">
        <v>0</v>
      </c>
      <c r="AJ8" s="1765">
        <v>0</v>
      </c>
      <c r="AK8" s="1765">
        <v>0</v>
      </c>
      <c r="AL8" s="1765">
        <v>0</v>
      </c>
      <c r="AM8" s="1765">
        <v>0</v>
      </c>
      <c r="AN8" s="1765">
        <v>0</v>
      </c>
      <c r="AO8" s="1765">
        <v>0</v>
      </c>
      <c r="AP8" s="1765">
        <v>0</v>
      </c>
      <c r="AQ8" s="1765">
        <v>0</v>
      </c>
      <c r="AR8" s="1765">
        <v>0</v>
      </c>
      <c r="AS8" s="1765">
        <v>0</v>
      </c>
      <c r="AT8" s="1765">
        <v>0</v>
      </c>
      <c r="AU8" s="1765">
        <v>0</v>
      </c>
      <c r="AV8" s="1765">
        <v>0</v>
      </c>
      <c r="AW8" s="1765">
        <v>0</v>
      </c>
      <c r="AX8" s="1765">
        <v>0</v>
      </c>
      <c r="AY8" s="1765">
        <v>0</v>
      </c>
      <c r="AZ8" s="1765">
        <v>0</v>
      </c>
      <c r="BA8" s="1765">
        <v>0</v>
      </c>
      <c r="BB8" s="1765">
        <v>0</v>
      </c>
      <c r="BC8" s="1765">
        <v>0</v>
      </c>
      <c r="BD8" s="1765">
        <v>0</v>
      </c>
      <c r="BE8" s="1765">
        <v>0</v>
      </c>
      <c r="BF8" s="1765">
        <v>0</v>
      </c>
      <c r="BG8" s="1765">
        <v>0</v>
      </c>
      <c r="BH8" s="1765">
        <v>0</v>
      </c>
      <c r="BI8" s="1765">
        <v>0</v>
      </c>
      <c r="BJ8" s="1765">
        <v>0</v>
      </c>
      <c r="BK8" s="1765">
        <v>0</v>
      </c>
      <c r="BL8" s="1765">
        <v>0</v>
      </c>
      <c r="BM8" s="1765">
        <v>0</v>
      </c>
      <c r="BN8" s="1765">
        <v>0</v>
      </c>
      <c r="BO8" s="1765">
        <v>0</v>
      </c>
      <c r="BP8" s="1765">
        <v>0</v>
      </c>
      <c r="BQ8" s="1765">
        <v>0</v>
      </c>
      <c r="BR8" s="1765">
        <v>0</v>
      </c>
      <c r="BS8" s="1765">
        <v>0</v>
      </c>
      <c r="BT8" s="1765">
        <v>0</v>
      </c>
      <c r="BU8" s="1765">
        <v>0</v>
      </c>
      <c r="BV8" s="1765">
        <v>0</v>
      </c>
      <c r="BW8" s="1765">
        <v>0</v>
      </c>
      <c r="BX8" s="1765">
        <v>0</v>
      </c>
      <c r="BY8" s="1765">
        <v>0</v>
      </c>
      <c r="BZ8" s="1765">
        <v>0</v>
      </c>
      <c r="CA8" s="1765">
        <v>0</v>
      </c>
      <c r="CB8" s="1765">
        <v>0</v>
      </c>
      <c r="CC8" s="1765">
        <v>0</v>
      </c>
      <c r="CD8" s="1765">
        <v>0</v>
      </c>
      <c r="CE8" s="1765">
        <v>0</v>
      </c>
      <c r="CF8" s="1765">
        <v>0</v>
      </c>
      <c r="CG8" s="1765">
        <v>0</v>
      </c>
      <c r="CH8" s="1765">
        <v>0</v>
      </c>
      <c r="CI8" s="1765">
        <v>0</v>
      </c>
      <c r="CJ8" s="1765">
        <v>0</v>
      </c>
      <c r="CK8" s="1765">
        <v>0</v>
      </c>
      <c r="CL8" s="1765">
        <v>0</v>
      </c>
      <c r="CM8" s="1765">
        <v>0</v>
      </c>
      <c r="CN8" s="1765">
        <v>0</v>
      </c>
      <c r="CO8" s="1765">
        <v>0</v>
      </c>
      <c r="CP8" s="1765">
        <v>0</v>
      </c>
    </row>
    <row r="9" spans="1:94" s="58" customFormat="1" ht="30" customHeight="1" x14ac:dyDescent="0.2">
      <c r="A9" s="1856"/>
      <c r="B9" s="1851"/>
      <c r="C9" s="1278" t="s">
        <v>2307</v>
      </c>
      <c r="D9" s="1230"/>
      <c r="E9" s="1854"/>
      <c r="F9" s="1225"/>
      <c r="G9" s="1766"/>
      <c r="H9" s="1766"/>
      <c r="I9" s="1766"/>
      <c r="J9" s="1766"/>
      <c r="K9" s="1766"/>
      <c r="L9" s="1766"/>
      <c r="M9" s="1766"/>
      <c r="N9" s="1766"/>
      <c r="O9" s="1766"/>
      <c r="P9" s="1766"/>
      <c r="Q9" s="1766"/>
      <c r="R9" s="1766"/>
      <c r="S9" s="1766"/>
      <c r="T9" s="1766"/>
      <c r="U9" s="1766"/>
      <c r="V9" s="1766"/>
      <c r="W9" s="1766"/>
      <c r="X9" s="1766"/>
      <c r="Y9" s="1766"/>
      <c r="Z9" s="1766"/>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row>
    <row r="10" spans="1:94" s="58" customFormat="1" ht="38.25" x14ac:dyDescent="0.2">
      <c r="A10" s="1856"/>
      <c r="B10" s="1851"/>
      <c r="C10" s="1273" t="s">
        <v>2350</v>
      </c>
      <c r="D10" s="1228"/>
      <c r="E10" s="1854"/>
      <c r="F10" s="1225"/>
      <c r="G10" s="1765">
        <v>0</v>
      </c>
      <c r="H10" s="1765">
        <v>0</v>
      </c>
      <c r="I10" s="1765">
        <v>0</v>
      </c>
      <c r="J10" s="1765">
        <v>0</v>
      </c>
      <c r="K10" s="1765">
        <v>0</v>
      </c>
      <c r="L10" s="1765">
        <v>0</v>
      </c>
      <c r="M10" s="1765">
        <v>0</v>
      </c>
      <c r="N10" s="1765">
        <v>0</v>
      </c>
      <c r="O10" s="1765">
        <v>0</v>
      </c>
      <c r="P10" s="1765">
        <v>0</v>
      </c>
      <c r="Q10" s="1765">
        <v>0</v>
      </c>
      <c r="R10" s="1765">
        <v>0</v>
      </c>
      <c r="S10" s="1765">
        <v>0</v>
      </c>
      <c r="T10" s="1765">
        <v>0</v>
      </c>
      <c r="U10" s="1765">
        <v>0</v>
      </c>
      <c r="V10" s="1765">
        <v>0</v>
      </c>
      <c r="W10" s="1765">
        <v>0</v>
      </c>
      <c r="X10" s="1765">
        <v>0</v>
      </c>
      <c r="Y10" s="1765">
        <v>0</v>
      </c>
      <c r="Z10" s="1765">
        <v>0</v>
      </c>
      <c r="AA10" s="1765">
        <v>0</v>
      </c>
      <c r="AB10" s="1765">
        <v>0</v>
      </c>
      <c r="AC10" s="1765">
        <v>0</v>
      </c>
      <c r="AD10" s="1765">
        <v>0</v>
      </c>
      <c r="AE10" s="1765">
        <v>0</v>
      </c>
      <c r="AF10" s="1765">
        <v>0</v>
      </c>
      <c r="AG10" s="1765">
        <v>0</v>
      </c>
      <c r="AH10" s="1765">
        <v>0</v>
      </c>
      <c r="AI10" s="1765">
        <v>0</v>
      </c>
      <c r="AJ10" s="1765">
        <v>0</v>
      </c>
      <c r="AK10" s="1765">
        <v>0</v>
      </c>
      <c r="AL10" s="1765">
        <v>0</v>
      </c>
      <c r="AM10" s="1765">
        <v>0</v>
      </c>
      <c r="AN10" s="1765">
        <v>0</v>
      </c>
      <c r="AO10" s="1765">
        <v>0</v>
      </c>
      <c r="AP10" s="1765">
        <v>0</v>
      </c>
      <c r="AQ10" s="1765">
        <v>0</v>
      </c>
      <c r="AR10" s="1765">
        <v>0</v>
      </c>
      <c r="AS10" s="1765">
        <v>0</v>
      </c>
      <c r="AT10" s="1765">
        <v>0</v>
      </c>
      <c r="AU10" s="1765">
        <v>0</v>
      </c>
      <c r="AV10" s="1765">
        <v>0</v>
      </c>
      <c r="AW10" s="1765">
        <v>0</v>
      </c>
      <c r="AX10" s="1765">
        <v>0</v>
      </c>
      <c r="AY10" s="1765">
        <v>0</v>
      </c>
      <c r="AZ10" s="1765">
        <v>0</v>
      </c>
      <c r="BA10" s="1765">
        <v>0</v>
      </c>
      <c r="BB10" s="1765">
        <v>0</v>
      </c>
      <c r="BC10" s="1765">
        <v>0</v>
      </c>
      <c r="BD10" s="1765">
        <v>0</v>
      </c>
      <c r="BE10" s="1765">
        <v>0</v>
      </c>
      <c r="BF10" s="1765">
        <v>0</v>
      </c>
      <c r="BG10" s="1765">
        <v>0</v>
      </c>
      <c r="BH10" s="1765">
        <v>0</v>
      </c>
      <c r="BI10" s="1765">
        <v>0</v>
      </c>
      <c r="BJ10" s="1765">
        <v>0</v>
      </c>
      <c r="BK10" s="1765">
        <v>0</v>
      </c>
      <c r="BL10" s="1765">
        <v>0</v>
      </c>
      <c r="BM10" s="1765">
        <v>0</v>
      </c>
      <c r="BN10" s="1765">
        <v>0</v>
      </c>
      <c r="BO10" s="1765">
        <v>0</v>
      </c>
      <c r="BP10" s="1765">
        <v>0</v>
      </c>
      <c r="BQ10" s="1765">
        <v>0</v>
      </c>
      <c r="BR10" s="1765">
        <v>0</v>
      </c>
      <c r="BS10" s="1765">
        <v>0</v>
      </c>
      <c r="BT10" s="1765">
        <v>0</v>
      </c>
      <c r="BU10" s="1765">
        <v>0</v>
      </c>
      <c r="BV10" s="1765">
        <v>0</v>
      </c>
      <c r="BW10" s="1765">
        <v>0</v>
      </c>
      <c r="BX10" s="1765">
        <v>0</v>
      </c>
      <c r="BY10" s="1765">
        <v>0</v>
      </c>
      <c r="BZ10" s="1765">
        <v>0</v>
      </c>
      <c r="CA10" s="1765">
        <v>0</v>
      </c>
      <c r="CB10" s="1765">
        <v>0</v>
      </c>
      <c r="CC10" s="1765">
        <v>0</v>
      </c>
      <c r="CD10" s="1765">
        <v>0</v>
      </c>
      <c r="CE10" s="1765">
        <v>0</v>
      </c>
      <c r="CF10" s="1765">
        <v>0</v>
      </c>
      <c r="CG10" s="1765">
        <v>0</v>
      </c>
      <c r="CH10" s="1765">
        <v>0</v>
      </c>
      <c r="CI10" s="1765">
        <v>0</v>
      </c>
      <c r="CJ10" s="1765">
        <v>0</v>
      </c>
      <c r="CK10" s="1765">
        <v>0</v>
      </c>
      <c r="CL10" s="1765">
        <v>0</v>
      </c>
      <c r="CM10" s="1765">
        <v>0</v>
      </c>
      <c r="CN10" s="1765">
        <v>0</v>
      </c>
      <c r="CO10" s="1765">
        <v>0</v>
      </c>
      <c r="CP10" s="1765">
        <v>0</v>
      </c>
    </row>
    <row r="11" spans="1:94" s="58" customFormat="1" ht="54.75" customHeight="1" thickBot="1" x14ac:dyDescent="0.25">
      <c r="A11" s="1857"/>
      <c r="B11" s="1852"/>
      <c r="C11" s="1274" t="s">
        <v>2541</v>
      </c>
      <c r="D11" s="1229"/>
      <c r="E11" s="1855"/>
      <c r="F11" s="1225"/>
      <c r="G11" s="1765">
        <v>0</v>
      </c>
      <c r="H11" s="1765">
        <v>0</v>
      </c>
      <c r="I11" s="1765">
        <v>0</v>
      </c>
      <c r="J11" s="1765">
        <v>0</v>
      </c>
      <c r="K11" s="1765">
        <v>0</v>
      </c>
      <c r="L11" s="1765">
        <v>0</v>
      </c>
      <c r="M11" s="1765">
        <v>0</v>
      </c>
      <c r="N11" s="1765">
        <v>0</v>
      </c>
      <c r="O11" s="1765">
        <v>0</v>
      </c>
      <c r="P11" s="1765">
        <v>0</v>
      </c>
      <c r="Q11" s="1765">
        <v>0</v>
      </c>
      <c r="R11" s="1765">
        <v>0</v>
      </c>
      <c r="S11" s="1765">
        <v>0</v>
      </c>
      <c r="T11" s="1765">
        <v>0</v>
      </c>
      <c r="U11" s="1765">
        <v>0</v>
      </c>
      <c r="V11" s="1765">
        <v>0</v>
      </c>
      <c r="W11" s="1765">
        <v>0</v>
      </c>
      <c r="X11" s="1765">
        <v>0</v>
      </c>
      <c r="Y11" s="1765">
        <v>0</v>
      </c>
      <c r="Z11" s="1765">
        <v>0</v>
      </c>
      <c r="AA11" s="1765">
        <v>0</v>
      </c>
      <c r="AB11" s="1765">
        <v>0</v>
      </c>
      <c r="AC11" s="1765">
        <v>0</v>
      </c>
      <c r="AD11" s="1765">
        <v>0</v>
      </c>
      <c r="AE11" s="1765">
        <v>0</v>
      </c>
      <c r="AF11" s="1765">
        <v>0</v>
      </c>
      <c r="AG11" s="1765">
        <v>0</v>
      </c>
      <c r="AH11" s="1765">
        <v>0</v>
      </c>
      <c r="AI11" s="1765">
        <v>0</v>
      </c>
      <c r="AJ11" s="1765">
        <v>0</v>
      </c>
      <c r="AK11" s="1765">
        <v>0</v>
      </c>
      <c r="AL11" s="1765">
        <v>0</v>
      </c>
      <c r="AM11" s="1765">
        <v>0</v>
      </c>
      <c r="AN11" s="1765">
        <v>0</v>
      </c>
      <c r="AO11" s="1765">
        <v>0</v>
      </c>
      <c r="AP11" s="1765">
        <v>0</v>
      </c>
      <c r="AQ11" s="1765">
        <v>0</v>
      </c>
      <c r="AR11" s="1765">
        <v>0</v>
      </c>
      <c r="AS11" s="1765">
        <v>0</v>
      </c>
      <c r="AT11" s="1765">
        <v>0</v>
      </c>
      <c r="AU11" s="1765">
        <v>0</v>
      </c>
      <c r="AV11" s="1765">
        <v>0</v>
      </c>
      <c r="AW11" s="1765">
        <v>0</v>
      </c>
      <c r="AX11" s="1765">
        <v>0</v>
      </c>
      <c r="AY11" s="1765">
        <v>0</v>
      </c>
      <c r="AZ11" s="1765">
        <v>0</v>
      </c>
      <c r="BA11" s="1765">
        <v>0</v>
      </c>
      <c r="BB11" s="1765">
        <v>0</v>
      </c>
      <c r="BC11" s="1765">
        <v>0</v>
      </c>
      <c r="BD11" s="1765">
        <v>0</v>
      </c>
      <c r="BE11" s="1765">
        <v>0</v>
      </c>
      <c r="BF11" s="1765">
        <v>0</v>
      </c>
      <c r="BG11" s="1765">
        <v>0</v>
      </c>
      <c r="BH11" s="1765">
        <v>0</v>
      </c>
      <c r="BI11" s="1765">
        <v>0</v>
      </c>
      <c r="BJ11" s="1765">
        <v>0</v>
      </c>
      <c r="BK11" s="1765">
        <v>0</v>
      </c>
      <c r="BL11" s="1765">
        <v>0</v>
      </c>
      <c r="BM11" s="1765">
        <v>0</v>
      </c>
      <c r="BN11" s="1765">
        <v>0</v>
      </c>
      <c r="BO11" s="1765">
        <v>0</v>
      </c>
      <c r="BP11" s="1765">
        <v>0</v>
      </c>
      <c r="BQ11" s="1765">
        <v>0</v>
      </c>
      <c r="BR11" s="1765">
        <v>0</v>
      </c>
      <c r="BS11" s="1765">
        <v>0</v>
      </c>
      <c r="BT11" s="1765">
        <v>0</v>
      </c>
      <c r="BU11" s="1765">
        <v>0</v>
      </c>
      <c r="BV11" s="1765">
        <v>0</v>
      </c>
      <c r="BW11" s="1765">
        <v>0</v>
      </c>
      <c r="BX11" s="1765">
        <v>0</v>
      </c>
      <c r="BY11" s="1765">
        <v>0</v>
      </c>
      <c r="BZ11" s="1765">
        <v>0</v>
      </c>
      <c r="CA11" s="1765">
        <v>0</v>
      </c>
      <c r="CB11" s="1765">
        <v>0</v>
      </c>
      <c r="CC11" s="1765">
        <v>0</v>
      </c>
      <c r="CD11" s="1765">
        <v>0</v>
      </c>
      <c r="CE11" s="1765">
        <v>0</v>
      </c>
      <c r="CF11" s="1765">
        <v>0</v>
      </c>
      <c r="CG11" s="1765">
        <v>0</v>
      </c>
      <c r="CH11" s="1765">
        <v>0</v>
      </c>
      <c r="CI11" s="1765">
        <v>0</v>
      </c>
      <c r="CJ11" s="1765">
        <v>0</v>
      </c>
      <c r="CK11" s="1765">
        <v>0</v>
      </c>
      <c r="CL11" s="1765">
        <v>0</v>
      </c>
      <c r="CM11" s="1765">
        <v>0</v>
      </c>
      <c r="CN11" s="1765">
        <v>0</v>
      </c>
      <c r="CO11" s="1765">
        <v>0</v>
      </c>
      <c r="CP11" s="1765">
        <v>0</v>
      </c>
    </row>
    <row r="12" spans="1:94" s="58" customFormat="1" ht="45" customHeight="1" thickBot="1" x14ac:dyDescent="0.25">
      <c r="A12" s="1856" t="s">
        <v>1277</v>
      </c>
      <c r="B12" s="1851" t="s">
        <v>627</v>
      </c>
      <c r="C12" s="1773" t="s">
        <v>2504</v>
      </c>
      <c r="D12" s="1230"/>
      <c r="E12" s="1856" t="s">
        <v>2068</v>
      </c>
      <c r="F12" s="1225"/>
      <c r="G12" s="1742"/>
      <c r="H12" s="1742"/>
      <c r="I12" s="1742"/>
      <c r="J12" s="1742"/>
      <c r="K12" s="1742"/>
      <c r="L12" s="1742"/>
      <c r="M12" s="1742"/>
      <c r="N12" s="1742"/>
      <c r="O12" s="1742"/>
      <c r="P12" s="1742"/>
      <c r="Q12" s="1742"/>
      <c r="R12" s="1742"/>
      <c r="S12" s="1742"/>
      <c r="T12" s="1742"/>
      <c r="U12" s="1742"/>
      <c r="V12" s="1742"/>
      <c r="W12" s="1742"/>
      <c r="X12" s="1742"/>
      <c r="Y12" s="1742"/>
      <c r="Z12" s="1742"/>
      <c r="AA12" s="1742"/>
      <c r="AB12" s="1742"/>
      <c r="AC12" s="1742"/>
      <c r="AD12" s="1742"/>
      <c r="AE12" s="1742"/>
      <c r="AF12" s="1742"/>
      <c r="AG12" s="1742"/>
      <c r="AH12" s="1742"/>
      <c r="AI12" s="1742"/>
      <c r="AJ12" s="1742"/>
      <c r="AK12" s="1742"/>
      <c r="AL12" s="1742"/>
      <c r="AM12" s="1742"/>
      <c r="AN12" s="1742"/>
      <c r="AO12" s="1742"/>
      <c r="AP12" s="1742"/>
      <c r="AQ12" s="1742"/>
      <c r="AR12" s="1742"/>
      <c r="AS12" s="1742"/>
      <c r="AT12" s="1742"/>
      <c r="AU12" s="1742"/>
      <c r="AV12" s="1742"/>
      <c r="AW12" s="1742"/>
      <c r="AX12" s="1742"/>
      <c r="AY12" s="1742"/>
      <c r="AZ12" s="1742"/>
      <c r="BA12" s="1742"/>
      <c r="BB12" s="1742"/>
      <c r="BC12" s="1742"/>
      <c r="BD12" s="1742"/>
      <c r="BE12" s="1742"/>
      <c r="BF12" s="1742"/>
      <c r="BG12" s="1742"/>
      <c r="BH12" s="1742"/>
      <c r="BI12" s="1742"/>
      <c r="BJ12" s="1742"/>
      <c r="BK12" s="1742"/>
      <c r="BL12" s="1742"/>
      <c r="BM12" s="1742"/>
      <c r="BN12" s="1742"/>
      <c r="BO12" s="1742"/>
      <c r="BP12" s="1742"/>
      <c r="BQ12" s="1742"/>
      <c r="BR12" s="1742"/>
      <c r="BS12" s="1742"/>
      <c r="BT12" s="1742"/>
      <c r="BU12" s="1742"/>
      <c r="BV12" s="1742"/>
      <c r="BW12" s="1742"/>
      <c r="BX12" s="1742"/>
      <c r="BY12" s="1742"/>
      <c r="BZ12" s="1742"/>
      <c r="CA12" s="1742"/>
      <c r="CB12" s="1742"/>
      <c r="CC12" s="1742"/>
      <c r="CD12" s="1742"/>
      <c r="CE12" s="1742"/>
      <c r="CF12" s="1742"/>
      <c r="CG12" s="1742"/>
      <c r="CH12" s="1742"/>
      <c r="CI12" s="1742"/>
      <c r="CJ12" s="1742"/>
      <c r="CK12" s="1742"/>
      <c r="CL12" s="1742"/>
      <c r="CM12" s="1742"/>
      <c r="CN12" s="1742"/>
      <c r="CO12" s="1742"/>
      <c r="CP12" s="1742"/>
    </row>
    <row r="13" spans="1:94" s="58" customFormat="1" ht="15" customHeight="1" x14ac:dyDescent="0.2">
      <c r="A13" s="1847"/>
      <c r="B13" s="1851"/>
      <c r="C13" s="858" t="s">
        <v>2243</v>
      </c>
      <c r="D13" s="1231"/>
      <c r="E13" s="1856"/>
      <c r="F13" s="1225"/>
      <c r="G13" s="1765">
        <v>0</v>
      </c>
      <c r="H13" s="1765">
        <v>0</v>
      </c>
      <c r="I13" s="1765">
        <v>0</v>
      </c>
      <c r="J13" s="1765">
        <v>0</v>
      </c>
      <c r="K13" s="1765">
        <v>0</v>
      </c>
      <c r="L13" s="1765">
        <v>0</v>
      </c>
      <c r="M13" s="1765">
        <v>0</v>
      </c>
      <c r="N13" s="1765">
        <v>0</v>
      </c>
      <c r="O13" s="1765">
        <v>0</v>
      </c>
      <c r="P13" s="1765">
        <v>0</v>
      </c>
      <c r="Q13" s="1765">
        <v>0</v>
      </c>
      <c r="R13" s="1765">
        <v>0</v>
      </c>
      <c r="S13" s="1765">
        <v>0</v>
      </c>
      <c r="T13" s="1765">
        <v>0</v>
      </c>
      <c r="U13" s="1765">
        <v>0</v>
      </c>
      <c r="V13" s="1765">
        <v>0</v>
      </c>
      <c r="W13" s="1765">
        <v>0</v>
      </c>
      <c r="X13" s="1765">
        <v>0</v>
      </c>
      <c r="Y13" s="1765">
        <v>0</v>
      </c>
      <c r="Z13" s="1765">
        <v>0</v>
      </c>
      <c r="AA13" s="1765">
        <v>0</v>
      </c>
      <c r="AB13" s="1765">
        <v>0</v>
      </c>
      <c r="AC13" s="1765">
        <v>0</v>
      </c>
      <c r="AD13" s="1765">
        <v>0</v>
      </c>
      <c r="AE13" s="1765">
        <v>0</v>
      </c>
      <c r="AF13" s="1765">
        <v>0</v>
      </c>
      <c r="AG13" s="1765">
        <v>0</v>
      </c>
      <c r="AH13" s="1765">
        <v>0</v>
      </c>
      <c r="AI13" s="1765">
        <v>0</v>
      </c>
      <c r="AJ13" s="1765">
        <v>0</v>
      </c>
      <c r="AK13" s="1765">
        <v>0</v>
      </c>
      <c r="AL13" s="1765">
        <v>0</v>
      </c>
      <c r="AM13" s="1765">
        <v>0</v>
      </c>
      <c r="AN13" s="1765">
        <v>0</v>
      </c>
      <c r="AO13" s="1765">
        <v>0</v>
      </c>
      <c r="AP13" s="1765">
        <v>0</v>
      </c>
      <c r="AQ13" s="1765">
        <v>0</v>
      </c>
      <c r="AR13" s="1765">
        <v>0</v>
      </c>
      <c r="AS13" s="1765">
        <v>0</v>
      </c>
      <c r="AT13" s="1765">
        <v>0</v>
      </c>
      <c r="AU13" s="1765">
        <v>0</v>
      </c>
      <c r="AV13" s="1765">
        <v>0</v>
      </c>
      <c r="AW13" s="1765">
        <v>0</v>
      </c>
      <c r="AX13" s="1765">
        <v>0</v>
      </c>
      <c r="AY13" s="1765">
        <v>0</v>
      </c>
      <c r="AZ13" s="1765">
        <v>0</v>
      </c>
      <c r="BA13" s="1765">
        <v>0</v>
      </c>
      <c r="BB13" s="1765">
        <v>0</v>
      </c>
      <c r="BC13" s="1765">
        <v>0</v>
      </c>
      <c r="BD13" s="1765">
        <v>0</v>
      </c>
      <c r="BE13" s="1765">
        <v>0</v>
      </c>
      <c r="BF13" s="1765">
        <v>0</v>
      </c>
      <c r="BG13" s="1765">
        <v>0</v>
      </c>
      <c r="BH13" s="1765">
        <v>0</v>
      </c>
      <c r="BI13" s="1765">
        <v>0</v>
      </c>
      <c r="BJ13" s="1765">
        <v>0</v>
      </c>
      <c r="BK13" s="1765">
        <v>0</v>
      </c>
      <c r="BL13" s="1765">
        <v>0</v>
      </c>
      <c r="BM13" s="1765">
        <v>0</v>
      </c>
      <c r="BN13" s="1765">
        <v>0</v>
      </c>
      <c r="BO13" s="1765">
        <v>0</v>
      </c>
      <c r="BP13" s="1765">
        <v>0</v>
      </c>
      <c r="BQ13" s="1765">
        <v>0</v>
      </c>
      <c r="BR13" s="1765">
        <v>0</v>
      </c>
      <c r="BS13" s="1765">
        <v>0</v>
      </c>
      <c r="BT13" s="1765">
        <v>0</v>
      </c>
      <c r="BU13" s="1765">
        <v>0</v>
      </c>
      <c r="BV13" s="1765">
        <v>0</v>
      </c>
      <c r="BW13" s="1765">
        <v>0</v>
      </c>
      <c r="BX13" s="1765">
        <v>0</v>
      </c>
      <c r="BY13" s="1765">
        <v>0</v>
      </c>
      <c r="BZ13" s="1765">
        <v>0</v>
      </c>
      <c r="CA13" s="1765">
        <v>0</v>
      </c>
      <c r="CB13" s="1765">
        <v>0</v>
      </c>
      <c r="CC13" s="1765">
        <v>0</v>
      </c>
      <c r="CD13" s="1765">
        <v>0</v>
      </c>
      <c r="CE13" s="1765">
        <v>0</v>
      </c>
      <c r="CF13" s="1765">
        <v>0</v>
      </c>
      <c r="CG13" s="1765">
        <v>0</v>
      </c>
      <c r="CH13" s="1765">
        <v>0</v>
      </c>
      <c r="CI13" s="1765">
        <v>0</v>
      </c>
      <c r="CJ13" s="1765">
        <v>0</v>
      </c>
      <c r="CK13" s="1765">
        <v>0</v>
      </c>
      <c r="CL13" s="1765">
        <v>0</v>
      </c>
      <c r="CM13" s="1765">
        <v>0</v>
      </c>
      <c r="CN13" s="1765">
        <v>0</v>
      </c>
      <c r="CO13" s="1765">
        <v>0</v>
      </c>
      <c r="CP13" s="1765">
        <v>0</v>
      </c>
    </row>
    <row r="14" spans="1:94" s="58" customFormat="1" ht="18" customHeight="1" x14ac:dyDescent="0.2">
      <c r="A14" s="1847"/>
      <c r="B14" s="1851"/>
      <c r="C14" s="1232" t="s">
        <v>2244</v>
      </c>
      <c r="D14" s="1231"/>
      <c r="E14" s="1856"/>
      <c r="F14" s="1225"/>
      <c r="G14" s="1765">
        <v>0</v>
      </c>
      <c r="H14" s="1765">
        <v>0</v>
      </c>
      <c r="I14" s="1765">
        <v>0</v>
      </c>
      <c r="J14" s="1765">
        <v>0</v>
      </c>
      <c r="K14" s="1765">
        <v>0</v>
      </c>
      <c r="L14" s="1765">
        <v>0</v>
      </c>
      <c r="M14" s="1765">
        <v>0</v>
      </c>
      <c r="N14" s="1765">
        <v>0</v>
      </c>
      <c r="O14" s="1765">
        <v>0</v>
      </c>
      <c r="P14" s="1765">
        <v>0</v>
      </c>
      <c r="Q14" s="1765">
        <v>0</v>
      </c>
      <c r="R14" s="1765">
        <v>0</v>
      </c>
      <c r="S14" s="1765">
        <v>0</v>
      </c>
      <c r="T14" s="1765">
        <v>0</v>
      </c>
      <c r="U14" s="1765">
        <v>0</v>
      </c>
      <c r="V14" s="1765">
        <v>0</v>
      </c>
      <c r="W14" s="1765">
        <v>0</v>
      </c>
      <c r="X14" s="1765">
        <v>0</v>
      </c>
      <c r="Y14" s="1765">
        <v>0</v>
      </c>
      <c r="Z14" s="1765">
        <v>0</v>
      </c>
      <c r="AA14" s="1765">
        <v>0</v>
      </c>
      <c r="AB14" s="1765">
        <v>0</v>
      </c>
      <c r="AC14" s="1765">
        <v>0</v>
      </c>
      <c r="AD14" s="1765">
        <v>0</v>
      </c>
      <c r="AE14" s="1765">
        <v>0</v>
      </c>
      <c r="AF14" s="1765">
        <v>0</v>
      </c>
      <c r="AG14" s="1765">
        <v>0</v>
      </c>
      <c r="AH14" s="1765">
        <v>0</v>
      </c>
      <c r="AI14" s="1765">
        <v>0</v>
      </c>
      <c r="AJ14" s="1765">
        <v>0</v>
      </c>
      <c r="AK14" s="1765">
        <v>0</v>
      </c>
      <c r="AL14" s="1765">
        <v>0</v>
      </c>
      <c r="AM14" s="1765">
        <v>0</v>
      </c>
      <c r="AN14" s="1765">
        <v>0</v>
      </c>
      <c r="AO14" s="1765">
        <v>0</v>
      </c>
      <c r="AP14" s="1765">
        <v>0</v>
      </c>
      <c r="AQ14" s="1765">
        <v>0</v>
      </c>
      <c r="AR14" s="1765">
        <v>0</v>
      </c>
      <c r="AS14" s="1765">
        <v>0</v>
      </c>
      <c r="AT14" s="1765">
        <v>0</v>
      </c>
      <c r="AU14" s="1765">
        <v>0</v>
      </c>
      <c r="AV14" s="1765">
        <v>0</v>
      </c>
      <c r="AW14" s="1765">
        <v>0</v>
      </c>
      <c r="AX14" s="1765">
        <v>0</v>
      </c>
      <c r="AY14" s="1765">
        <v>0</v>
      </c>
      <c r="AZ14" s="1765">
        <v>0</v>
      </c>
      <c r="BA14" s="1765">
        <v>0</v>
      </c>
      <c r="BB14" s="1765">
        <v>0</v>
      </c>
      <c r="BC14" s="1765">
        <v>0</v>
      </c>
      <c r="BD14" s="1765">
        <v>0</v>
      </c>
      <c r="BE14" s="1765">
        <v>0</v>
      </c>
      <c r="BF14" s="1765">
        <v>0</v>
      </c>
      <c r="BG14" s="1765">
        <v>0</v>
      </c>
      <c r="BH14" s="1765">
        <v>0</v>
      </c>
      <c r="BI14" s="1765">
        <v>0</v>
      </c>
      <c r="BJ14" s="1765">
        <v>0</v>
      </c>
      <c r="BK14" s="1765">
        <v>0</v>
      </c>
      <c r="BL14" s="1765">
        <v>0</v>
      </c>
      <c r="BM14" s="1765">
        <v>0</v>
      </c>
      <c r="BN14" s="1765">
        <v>0</v>
      </c>
      <c r="BO14" s="1765">
        <v>0</v>
      </c>
      <c r="BP14" s="1765">
        <v>0</v>
      </c>
      <c r="BQ14" s="1765">
        <v>0</v>
      </c>
      <c r="BR14" s="1765">
        <v>0</v>
      </c>
      <c r="BS14" s="1765">
        <v>0</v>
      </c>
      <c r="BT14" s="1765">
        <v>0</v>
      </c>
      <c r="BU14" s="1765">
        <v>0</v>
      </c>
      <c r="BV14" s="1765">
        <v>0</v>
      </c>
      <c r="BW14" s="1765">
        <v>0</v>
      </c>
      <c r="BX14" s="1765">
        <v>0</v>
      </c>
      <c r="BY14" s="1765">
        <v>0</v>
      </c>
      <c r="BZ14" s="1765">
        <v>0</v>
      </c>
      <c r="CA14" s="1765">
        <v>0</v>
      </c>
      <c r="CB14" s="1765">
        <v>0</v>
      </c>
      <c r="CC14" s="1765">
        <v>0</v>
      </c>
      <c r="CD14" s="1765">
        <v>0</v>
      </c>
      <c r="CE14" s="1765">
        <v>0</v>
      </c>
      <c r="CF14" s="1765">
        <v>0</v>
      </c>
      <c r="CG14" s="1765">
        <v>0</v>
      </c>
      <c r="CH14" s="1765">
        <v>0</v>
      </c>
      <c r="CI14" s="1765">
        <v>0</v>
      </c>
      <c r="CJ14" s="1765">
        <v>0</v>
      </c>
      <c r="CK14" s="1765">
        <v>0</v>
      </c>
      <c r="CL14" s="1765">
        <v>0</v>
      </c>
      <c r="CM14" s="1765">
        <v>0</v>
      </c>
      <c r="CN14" s="1765">
        <v>0</v>
      </c>
      <c r="CO14" s="1765">
        <v>0</v>
      </c>
      <c r="CP14" s="1765">
        <v>0</v>
      </c>
    </row>
    <row r="15" spans="1:94" s="58" customFormat="1" ht="15" customHeight="1" x14ac:dyDescent="0.2">
      <c r="A15" s="1847"/>
      <c r="B15" s="1851"/>
      <c r="C15" s="1233" t="s">
        <v>2246</v>
      </c>
      <c r="D15" s="1231"/>
      <c r="E15" s="1856"/>
      <c r="F15" s="1225"/>
      <c r="G15" s="1765">
        <v>0</v>
      </c>
      <c r="H15" s="1765">
        <v>0</v>
      </c>
      <c r="I15" s="1765">
        <v>0</v>
      </c>
      <c r="J15" s="1765">
        <v>0</v>
      </c>
      <c r="K15" s="1765">
        <v>0</v>
      </c>
      <c r="L15" s="1765">
        <v>0</v>
      </c>
      <c r="M15" s="1765">
        <v>0</v>
      </c>
      <c r="N15" s="1765">
        <v>0</v>
      </c>
      <c r="O15" s="1765">
        <v>0</v>
      </c>
      <c r="P15" s="1765">
        <v>0</v>
      </c>
      <c r="Q15" s="1765">
        <v>0</v>
      </c>
      <c r="R15" s="1765">
        <v>0</v>
      </c>
      <c r="S15" s="1765">
        <v>0</v>
      </c>
      <c r="T15" s="1765">
        <v>0</v>
      </c>
      <c r="U15" s="1765">
        <v>0</v>
      </c>
      <c r="V15" s="1765">
        <v>0</v>
      </c>
      <c r="W15" s="1765">
        <v>0</v>
      </c>
      <c r="X15" s="1765">
        <v>0</v>
      </c>
      <c r="Y15" s="1765">
        <v>0</v>
      </c>
      <c r="Z15" s="1765">
        <v>0</v>
      </c>
      <c r="AA15" s="1765">
        <v>0</v>
      </c>
      <c r="AB15" s="1765">
        <v>0</v>
      </c>
      <c r="AC15" s="1765">
        <v>0</v>
      </c>
      <c r="AD15" s="1765">
        <v>0</v>
      </c>
      <c r="AE15" s="1765">
        <v>0</v>
      </c>
      <c r="AF15" s="1765">
        <v>0</v>
      </c>
      <c r="AG15" s="1765">
        <v>0</v>
      </c>
      <c r="AH15" s="1765">
        <v>0</v>
      </c>
      <c r="AI15" s="1765">
        <v>0</v>
      </c>
      <c r="AJ15" s="1765">
        <v>0</v>
      </c>
      <c r="AK15" s="1765">
        <v>0</v>
      </c>
      <c r="AL15" s="1765">
        <v>0</v>
      </c>
      <c r="AM15" s="1765">
        <v>0</v>
      </c>
      <c r="AN15" s="1765">
        <v>0</v>
      </c>
      <c r="AO15" s="1765">
        <v>0</v>
      </c>
      <c r="AP15" s="1765">
        <v>0</v>
      </c>
      <c r="AQ15" s="1765">
        <v>0</v>
      </c>
      <c r="AR15" s="1765">
        <v>0</v>
      </c>
      <c r="AS15" s="1765">
        <v>0</v>
      </c>
      <c r="AT15" s="1765">
        <v>0</v>
      </c>
      <c r="AU15" s="1765">
        <v>0</v>
      </c>
      <c r="AV15" s="1765">
        <v>0</v>
      </c>
      <c r="AW15" s="1765">
        <v>0</v>
      </c>
      <c r="AX15" s="1765">
        <v>0</v>
      </c>
      <c r="AY15" s="1765">
        <v>0</v>
      </c>
      <c r="AZ15" s="1765">
        <v>0</v>
      </c>
      <c r="BA15" s="1765">
        <v>0</v>
      </c>
      <c r="BB15" s="1765">
        <v>0</v>
      </c>
      <c r="BC15" s="1765">
        <v>0</v>
      </c>
      <c r="BD15" s="1765">
        <v>0</v>
      </c>
      <c r="BE15" s="1765">
        <v>0</v>
      </c>
      <c r="BF15" s="1765">
        <v>0</v>
      </c>
      <c r="BG15" s="1765">
        <v>0</v>
      </c>
      <c r="BH15" s="1765">
        <v>0</v>
      </c>
      <c r="BI15" s="1765">
        <v>0</v>
      </c>
      <c r="BJ15" s="1765">
        <v>0</v>
      </c>
      <c r="BK15" s="1765">
        <v>0</v>
      </c>
      <c r="BL15" s="1765">
        <v>0</v>
      </c>
      <c r="BM15" s="1765">
        <v>0</v>
      </c>
      <c r="BN15" s="1765">
        <v>0</v>
      </c>
      <c r="BO15" s="1765">
        <v>0</v>
      </c>
      <c r="BP15" s="1765">
        <v>0</v>
      </c>
      <c r="BQ15" s="1765">
        <v>0</v>
      </c>
      <c r="BR15" s="1765">
        <v>0</v>
      </c>
      <c r="BS15" s="1765">
        <v>0</v>
      </c>
      <c r="BT15" s="1765">
        <v>0</v>
      </c>
      <c r="BU15" s="1765">
        <v>0</v>
      </c>
      <c r="BV15" s="1765">
        <v>0</v>
      </c>
      <c r="BW15" s="1765">
        <v>0</v>
      </c>
      <c r="BX15" s="1765">
        <v>0</v>
      </c>
      <c r="BY15" s="1765">
        <v>0</v>
      </c>
      <c r="BZ15" s="1765">
        <v>0</v>
      </c>
      <c r="CA15" s="1765">
        <v>0</v>
      </c>
      <c r="CB15" s="1765">
        <v>0</v>
      </c>
      <c r="CC15" s="1765">
        <v>0</v>
      </c>
      <c r="CD15" s="1765">
        <v>0</v>
      </c>
      <c r="CE15" s="1765">
        <v>0</v>
      </c>
      <c r="CF15" s="1765">
        <v>0</v>
      </c>
      <c r="CG15" s="1765">
        <v>0</v>
      </c>
      <c r="CH15" s="1765">
        <v>0</v>
      </c>
      <c r="CI15" s="1765">
        <v>0</v>
      </c>
      <c r="CJ15" s="1765">
        <v>0</v>
      </c>
      <c r="CK15" s="1765">
        <v>0</v>
      </c>
      <c r="CL15" s="1765">
        <v>0</v>
      </c>
      <c r="CM15" s="1765">
        <v>0</v>
      </c>
      <c r="CN15" s="1765">
        <v>0</v>
      </c>
      <c r="CO15" s="1765">
        <v>0</v>
      </c>
      <c r="CP15" s="1765">
        <v>0</v>
      </c>
    </row>
    <row r="16" spans="1:94" s="58" customFormat="1" ht="15" customHeight="1" x14ac:dyDescent="0.2">
      <c r="A16" s="1847"/>
      <c r="B16" s="1851"/>
      <c r="C16" s="1233" t="s">
        <v>2247</v>
      </c>
      <c r="D16" s="1231"/>
      <c r="E16" s="1856"/>
      <c r="F16" s="1225"/>
      <c r="G16" s="1765">
        <v>0</v>
      </c>
      <c r="H16" s="1765">
        <v>0</v>
      </c>
      <c r="I16" s="1765">
        <v>0</v>
      </c>
      <c r="J16" s="1765">
        <v>0</v>
      </c>
      <c r="K16" s="1765">
        <v>0</v>
      </c>
      <c r="L16" s="1765">
        <v>0</v>
      </c>
      <c r="M16" s="1765">
        <v>0</v>
      </c>
      <c r="N16" s="1765">
        <v>0</v>
      </c>
      <c r="O16" s="1765">
        <v>0</v>
      </c>
      <c r="P16" s="1765">
        <v>0</v>
      </c>
      <c r="Q16" s="1765">
        <v>0</v>
      </c>
      <c r="R16" s="1765">
        <v>0</v>
      </c>
      <c r="S16" s="1765">
        <v>0</v>
      </c>
      <c r="T16" s="1765">
        <v>0</v>
      </c>
      <c r="U16" s="1765">
        <v>0</v>
      </c>
      <c r="V16" s="1765">
        <v>0</v>
      </c>
      <c r="W16" s="1765">
        <v>0</v>
      </c>
      <c r="X16" s="1765">
        <v>0</v>
      </c>
      <c r="Y16" s="1765">
        <v>0</v>
      </c>
      <c r="Z16" s="1765">
        <v>0</v>
      </c>
      <c r="AA16" s="1765">
        <v>0</v>
      </c>
      <c r="AB16" s="1765">
        <v>0</v>
      </c>
      <c r="AC16" s="1765">
        <v>0</v>
      </c>
      <c r="AD16" s="1765">
        <v>0</v>
      </c>
      <c r="AE16" s="1765">
        <v>0</v>
      </c>
      <c r="AF16" s="1765">
        <v>0</v>
      </c>
      <c r="AG16" s="1765">
        <v>0</v>
      </c>
      <c r="AH16" s="1765">
        <v>0</v>
      </c>
      <c r="AI16" s="1765">
        <v>0</v>
      </c>
      <c r="AJ16" s="1765">
        <v>0</v>
      </c>
      <c r="AK16" s="1765">
        <v>0</v>
      </c>
      <c r="AL16" s="1765">
        <v>0</v>
      </c>
      <c r="AM16" s="1765">
        <v>0</v>
      </c>
      <c r="AN16" s="1765">
        <v>0</v>
      </c>
      <c r="AO16" s="1765">
        <v>0</v>
      </c>
      <c r="AP16" s="1765">
        <v>0</v>
      </c>
      <c r="AQ16" s="1765">
        <v>0</v>
      </c>
      <c r="AR16" s="1765">
        <v>0</v>
      </c>
      <c r="AS16" s="1765">
        <v>0</v>
      </c>
      <c r="AT16" s="1765">
        <v>0</v>
      </c>
      <c r="AU16" s="1765">
        <v>0</v>
      </c>
      <c r="AV16" s="1765">
        <v>0</v>
      </c>
      <c r="AW16" s="1765">
        <v>0</v>
      </c>
      <c r="AX16" s="1765">
        <v>0</v>
      </c>
      <c r="AY16" s="1765">
        <v>0</v>
      </c>
      <c r="AZ16" s="1765">
        <v>0</v>
      </c>
      <c r="BA16" s="1765">
        <v>0</v>
      </c>
      <c r="BB16" s="1765">
        <v>0</v>
      </c>
      <c r="BC16" s="1765">
        <v>0</v>
      </c>
      <c r="BD16" s="1765">
        <v>0</v>
      </c>
      <c r="BE16" s="1765">
        <v>0</v>
      </c>
      <c r="BF16" s="1765">
        <v>0</v>
      </c>
      <c r="BG16" s="1765">
        <v>0</v>
      </c>
      <c r="BH16" s="1765">
        <v>0</v>
      </c>
      <c r="BI16" s="1765">
        <v>0</v>
      </c>
      <c r="BJ16" s="1765">
        <v>0</v>
      </c>
      <c r="BK16" s="1765">
        <v>0</v>
      </c>
      <c r="BL16" s="1765">
        <v>0</v>
      </c>
      <c r="BM16" s="1765">
        <v>0</v>
      </c>
      <c r="BN16" s="1765">
        <v>0</v>
      </c>
      <c r="BO16" s="1765">
        <v>0</v>
      </c>
      <c r="BP16" s="1765">
        <v>0</v>
      </c>
      <c r="BQ16" s="1765">
        <v>0</v>
      </c>
      <c r="BR16" s="1765">
        <v>0</v>
      </c>
      <c r="BS16" s="1765">
        <v>0</v>
      </c>
      <c r="BT16" s="1765">
        <v>0</v>
      </c>
      <c r="BU16" s="1765">
        <v>0</v>
      </c>
      <c r="BV16" s="1765">
        <v>0</v>
      </c>
      <c r="BW16" s="1765">
        <v>0</v>
      </c>
      <c r="BX16" s="1765">
        <v>0</v>
      </c>
      <c r="BY16" s="1765">
        <v>0</v>
      </c>
      <c r="BZ16" s="1765">
        <v>0</v>
      </c>
      <c r="CA16" s="1765">
        <v>0</v>
      </c>
      <c r="CB16" s="1765">
        <v>0</v>
      </c>
      <c r="CC16" s="1765">
        <v>0</v>
      </c>
      <c r="CD16" s="1765">
        <v>0</v>
      </c>
      <c r="CE16" s="1765">
        <v>0</v>
      </c>
      <c r="CF16" s="1765">
        <v>0</v>
      </c>
      <c r="CG16" s="1765">
        <v>0</v>
      </c>
      <c r="CH16" s="1765">
        <v>0</v>
      </c>
      <c r="CI16" s="1765">
        <v>0</v>
      </c>
      <c r="CJ16" s="1765">
        <v>0</v>
      </c>
      <c r="CK16" s="1765">
        <v>0</v>
      </c>
      <c r="CL16" s="1765">
        <v>0</v>
      </c>
      <c r="CM16" s="1765">
        <v>0</v>
      </c>
      <c r="CN16" s="1765">
        <v>0</v>
      </c>
      <c r="CO16" s="1765">
        <v>0</v>
      </c>
      <c r="CP16" s="1765">
        <v>0</v>
      </c>
    </row>
    <row r="17" spans="1:94" s="58" customFormat="1" ht="15" customHeight="1" thickBot="1" x14ac:dyDescent="0.25">
      <c r="A17" s="1848"/>
      <c r="B17" s="1852"/>
      <c r="C17" s="960" t="s">
        <v>2245</v>
      </c>
      <c r="D17" s="1234"/>
      <c r="E17" s="1857"/>
      <c r="F17" s="1225"/>
      <c r="G17" s="1765">
        <v>0</v>
      </c>
      <c r="H17" s="1765">
        <v>0</v>
      </c>
      <c r="I17" s="1765">
        <v>0</v>
      </c>
      <c r="J17" s="1765">
        <v>0</v>
      </c>
      <c r="K17" s="1765">
        <v>0</v>
      </c>
      <c r="L17" s="1765">
        <v>0</v>
      </c>
      <c r="M17" s="1765">
        <v>0</v>
      </c>
      <c r="N17" s="1765">
        <v>0</v>
      </c>
      <c r="O17" s="1765">
        <v>0</v>
      </c>
      <c r="P17" s="1765">
        <v>0</v>
      </c>
      <c r="Q17" s="1765">
        <v>0</v>
      </c>
      <c r="R17" s="1765">
        <v>0</v>
      </c>
      <c r="S17" s="1765">
        <v>0</v>
      </c>
      <c r="T17" s="1765">
        <v>0</v>
      </c>
      <c r="U17" s="1765">
        <v>0</v>
      </c>
      <c r="V17" s="1765">
        <v>0</v>
      </c>
      <c r="W17" s="1765">
        <v>0</v>
      </c>
      <c r="X17" s="1765">
        <v>0</v>
      </c>
      <c r="Y17" s="1765">
        <v>0</v>
      </c>
      <c r="Z17" s="1765">
        <v>0</v>
      </c>
      <c r="AA17" s="1765">
        <v>0</v>
      </c>
      <c r="AB17" s="1765">
        <v>0</v>
      </c>
      <c r="AC17" s="1765">
        <v>0</v>
      </c>
      <c r="AD17" s="1765">
        <v>0</v>
      </c>
      <c r="AE17" s="1765">
        <v>0</v>
      </c>
      <c r="AF17" s="1765">
        <v>0</v>
      </c>
      <c r="AG17" s="1765">
        <v>0</v>
      </c>
      <c r="AH17" s="1765">
        <v>0</v>
      </c>
      <c r="AI17" s="1765">
        <v>0</v>
      </c>
      <c r="AJ17" s="1765">
        <v>0</v>
      </c>
      <c r="AK17" s="1765">
        <v>0</v>
      </c>
      <c r="AL17" s="1765">
        <v>0</v>
      </c>
      <c r="AM17" s="1765">
        <v>0</v>
      </c>
      <c r="AN17" s="1765">
        <v>0</v>
      </c>
      <c r="AO17" s="1765">
        <v>0</v>
      </c>
      <c r="AP17" s="1765">
        <v>0</v>
      </c>
      <c r="AQ17" s="1765">
        <v>0</v>
      </c>
      <c r="AR17" s="1765">
        <v>0</v>
      </c>
      <c r="AS17" s="1765">
        <v>0</v>
      </c>
      <c r="AT17" s="1765">
        <v>0</v>
      </c>
      <c r="AU17" s="1765">
        <v>0</v>
      </c>
      <c r="AV17" s="1765">
        <v>0</v>
      </c>
      <c r="AW17" s="1765">
        <v>0</v>
      </c>
      <c r="AX17" s="1765">
        <v>0</v>
      </c>
      <c r="AY17" s="1765">
        <v>0</v>
      </c>
      <c r="AZ17" s="1765">
        <v>0</v>
      </c>
      <c r="BA17" s="1765">
        <v>0</v>
      </c>
      <c r="BB17" s="1765">
        <v>0</v>
      </c>
      <c r="BC17" s="1765">
        <v>0</v>
      </c>
      <c r="BD17" s="1765">
        <v>0</v>
      </c>
      <c r="BE17" s="1765">
        <v>0</v>
      </c>
      <c r="BF17" s="1765">
        <v>0</v>
      </c>
      <c r="BG17" s="1765">
        <v>0</v>
      </c>
      <c r="BH17" s="1765">
        <v>0</v>
      </c>
      <c r="BI17" s="1765">
        <v>0</v>
      </c>
      <c r="BJ17" s="1765">
        <v>0</v>
      </c>
      <c r="BK17" s="1765">
        <v>0</v>
      </c>
      <c r="BL17" s="1765">
        <v>0</v>
      </c>
      <c r="BM17" s="1765">
        <v>0</v>
      </c>
      <c r="BN17" s="1765">
        <v>0</v>
      </c>
      <c r="BO17" s="1765">
        <v>0</v>
      </c>
      <c r="BP17" s="1765">
        <v>0</v>
      </c>
      <c r="BQ17" s="1765">
        <v>0</v>
      </c>
      <c r="BR17" s="1765">
        <v>0</v>
      </c>
      <c r="BS17" s="1765">
        <v>0</v>
      </c>
      <c r="BT17" s="1765">
        <v>0</v>
      </c>
      <c r="BU17" s="1765">
        <v>0</v>
      </c>
      <c r="BV17" s="1765">
        <v>0</v>
      </c>
      <c r="BW17" s="1765">
        <v>0</v>
      </c>
      <c r="BX17" s="1765">
        <v>0</v>
      </c>
      <c r="BY17" s="1765">
        <v>0</v>
      </c>
      <c r="BZ17" s="1765">
        <v>0</v>
      </c>
      <c r="CA17" s="1765">
        <v>0</v>
      </c>
      <c r="CB17" s="1765">
        <v>0</v>
      </c>
      <c r="CC17" s="1765">
        <v>0</v>
      </c>
      <c r="CD17" s="1765">
        <v>0</v>
      </c>
      <c r="CE17" s="1765">
        <v>0</v>
      </c>
      <c r="CF17" s="1765">
        <v>0</v>
      </c>
      <c r="CG17" s="1765">
        <v>0</v>
      </c>
      <c r="CH17" s="1765">
        <v>0</v>
      </c>
      <c r="CI17" s="1765">
        <v>0</v>
      </c>
      <c r="CJ17" s="1765">
        <v>0</v>
      </c>
      <c r="CK17" s="1765">
        <v>0</v>
      </c>
      <c r="CL17" s="1765">
        <v>0</v>
      </c>
      <c r="CM17" s="1765">
        <v>0</v>
      </c>
      <c r="CN17" s="1765">
        <v>0</v>
      </c>
      <c r="CO17" s="1765">
        <v>0</v>
      </c>
      <c r="CP17" s="1765">
        <v>0</v>
      </c>
    </row>
    <row r="18" spans="1:94" ht="41.25" customHeight="1" thickBot="1" x14ac:dyDescent="0.25">
      <c r="A18" s="1846" t="s">
        <v>1278</v>
      </c>
      <c r="B18" s="1846" t="s">
        <v>1948</v>
      </c>
      <c r="C18" s="1774" t="s">
        <v>2505</v>
      </c>
      <c r="D18" s="947"/>
      <c r="E18" s="1830" t="s">
        <v>2308</v>
      </c>
      <c r="F18" s="1225"/>
      <c r="G18" s="1742"/>
      <c r="H18" s="1742"/>
      <c r="I18" s="1742"/>
      <c r="J18" s="1742"/>
      <c r="K18" s="1742"/>
      <c r="L18" s="1742"/>
      <c r="M18" s="1742"/>
      <c r="N18" s="1742"/>
      <c r="O18" s="1742"/>
      <c r="P18" s="1742"/>
      <c r="Q18" s="1742"/>
      <c r="R18" s="1742"/>
      <c r="S18" s="1742"/>
      <c r="T18" s="1742"/>
      <c r="U18" s="1742"/>
      <c r="V18" s="1742"/>
      <c r="W18" s="1742"/>
      <c r="X18" s="1742"/>
      <c r="Y18" s="1742"/>
      <c r="Z18" s="1742"/>
      <c r="AA18" s="1742"/>
      <c r="AB18" s="1742"/>
      <c r="AC18" s="1742"/>
      <c r="AD18" s="1742"/>
      <c r="AE18" s="1742"/>
      <c r="AF18" s="1742"/>
      <c r="AG18" s="1742"/>
      <c r="AH18" s="1742"/>
      <c r="AI18" s="1742"/>
      <c r="AJ18" s="1742"/>
      <c r="AK18" s="1742"/>
      <c r="AL18" s="1742"/>
      <c r="AM18" s="1742"/>
      <c r="AN18" s="1742"/>
      <c r="AO18" s="1742"/>
      <c r="AP18" s="1742"/>
      <c r="AQ18" s="1742"/>
      <c r="AR18" s="1742"/>
      <c r="AS18" s="1742"/>
      <c r="AT18" s="1742"/>
      <c r="AU18" s="1742"/>
      <c r="AV18" s="1742"/>
      <c r="AW18" s="1742"/>
      <c r="AX18" s="1742"/>
      <c r="AY18" s="1742"/>
      <c r="AZ18" s="1742"/>
      <c r="BA18" s="1742"/>
      <c r="BB18" s="1742"/>
      <c r="BC18" s="1742"/>
      <c r="BD18" s="1742"/>
      <c r="BE18" s="1742"/>
      <c r="BF18" s="1742"/>
      <c r="BG18" s="1742"/>
      <c r="BH18" s="1742"/>
      <c r="BI18" s="1742"/>
      <c r="BJ18" s="1742"/>
      <c r="BK18" s="1742"/>
      <c r="BL18" s="1742"/>
      <c r="BM18" s="1742"/>
      <c r="BN18" s="1742"/>
      <c r="BO18" s="1742"/>
      <c r="BP18" s="1742"/>
      <c r="BQ18" s="1742"/>
      <c r="BR18" s="1742"/>
      <c r="BS18" s="1742"/>
      <c r="BT18" s="1742"/>
      <c r="BU18" s="1742"/>
      <c r="BV18" s="1742"/>
      <c r="BW18" s="1742"/>
      <c r="BX18" s="1742"/>
      <c r="BY18" s="1742"/>
      <c r="BZ18" s="1742"/>
      <c r="CA18" s="1742"/>
      <c r="CB18" s="1742"/>
      <c r="CC18" s="1742"/>
      <c r="CD18" s="1742"/>
      <c r="CE18" s="1742"/>
      <c r="CF18" s="1742"/>
      <c r="CG18" s="1742"/>
      <c r="CH18" s="1742"/>
      <c r="CI18" s="1742"/>
      <c r="CJ18" s="1742"/>
      <c r="CK18" s="1742"/>
      <c r="CL18" s="1742"/>
      <c r="CM18" s="1742"/>
      <c r="CN18" s="1742"/>
      <c r="CO18" s="1742"/>
      <c r="CP18" s="1742"/>
    </row>
    <row r="19" spans="1:94" ht="15" customHeight="1" x14ac:dyDescent="0.2">
      <c r="A19" s="1856"/>
      <c r="B19" s="1856"/>
      <c r="C19" s="652" t="s">
        <v>2074</v>
      </c>
      <c r="D19" s="936"/>
      <c r="E19" s="1831"/>
      <c r="F19" s="1225"/>
      <c r="G19" s="1767">
        <v>0</v>
      </c>
      <c r="H19" s="1767">
        <v>0</v>
      </c>
      <c r="I19" s="1767">
        <v>0</v>
      </c>
      <c r="J19" s="1767">
        <v>0</v>
      </c>
      <c r="K19" s="1767">
        <v>0</v>
      </c>
      <c r="L19" s="1767">
        <v>0</v>
      </c>
      <c r="M19" s="1767">
        <v>0</v>
      </c>
      <c r="N19" s="1767">
        <v>0</v>
      </c>
      <c r="O19" s="1767">
        <v>0</v>
      </c>
      <c r="P19" s="1767">
        <v>0</v>
      </c>
      <c r="Q19" s="1767">
        <v>0</v>
      </c>
      <c r="R19" s="1767">
        <v>0</v>
      </c>
      <c r="S19" s="1767">
        <v>0</v>
      </c>
      <c r="T19" s="1767">
        <v>0</v>
      </c>
      <c r="U19" s="1767">
        <v>0</v>
      </c>
      <c r="V19" s="1767">
        <v>0</v>
      </c>
      <c r="W19" s="1767">
        <v>0</v>
      </c>
      <c r="X19" s="1767">
        <v>0</v>
      </c>
      <c r="Y19" s="1767">
        <v>0</v>
      </c>
      <c r="Z19" s="1767">
        <v>0</v>
      </c>
      <c r="AA19" s="1767">
        <v>0</v>
      </c>
      <c r="AB19" s="1767">
        <v>0</v>
      </c>
      <c r="AC19" s="1767">
        <v>0</v>
      </c>
      <c r="AD19" s="1767">
        <v>0</v>
      </c>
      <c r="AE19" s="1767">
        <v>0</v>
      </c>
      <c r="AF19" s="1767">
        <v>0</v>
      </c>
      <c r="AG19" s="1767">
        <v>0</v>
      </c>
      <c r="AH19" s="1767">
        <v>0</v>
      </c>
      <c r="AI19" s="1767">
        <v>0</v>
      </c>
      <c r="AJ19" s="1767">
        <v>0</v>
      </c>
      <c r="AK19" s="1767">
        <v>0</v>
      </c>
      <c r="AL19" s="1767">
        <v>0</v>
      </c>
      <c r="AM19" s="1767">
        <v>0</v>
      </c>
      <c r="AN19" s="1767">
        <v>0</v>
      </c>
      <c r="AO19" s="1767">
        <v>0</v>
      </c>
      <c r="AP19" s="1767">
        <v>0</v>
      </c>
      <c r="AQ19" s="1767">
        <v>0</v>
      </c>
      <c r="AR19" s="1767">
        <v>0</v>
      </c>
      <c r="AS19" s="1767">
        <v>0</v>
      </c>
      <c r="AT19" s="1767">
        <v>0</v>
      </c>
      <c r="AU19" s="1767">
        <v>0</v>
      </c>
      <c r="AV19" s="1767">
        <v>0</v>
      </c>
      <c r="AW19" s="1767">
        <v>0</v>
      </c>
      <c r="AX19" s="1767">
        <v>0</v>
      </c>
      <c r="AY19" s="1767">
        <v>0</v>
      </c>
      <c r="AZ19" s="1767">
        <v>0</v>
      </c>
      <c r="BA19" s="1767">
        <v>0</v>
      </c>
      <c r="BB19" s="1767">
        <v>0</v>
      </c>
      <c r="BC19" s="1767">
        <v>0</v>
      </c>
      <c r="BD19" s="1767">
        <v>0</v>
      </c>
      <c r="BE19" s="1767">
        <v>0</v>
      </c>
      <c r="BF19" s="1767">
        <v>0</v>
      </c>
      <c r="BG19" s="1767">
        <v>0</v>
      </c>
      <c r="BH19" s="1767">
        <v>0</v>
      </c>
      <c r="BI19" s="1767">
        <v>0</v>
      </c>
      <c r="BJ19" s="1767">
        <v>0</v>
      </c>
      <c r="BK19" s="1767">
        <v>0</v>
      </c>
      <c r="BL19" s="1767">
        <v>0</v>
      </c>
      <c r="BM19" s="1767">
        <v>0</v>
      </c>
      <c r="BN19" s="1767">
        <v>0</v>
      </c>
      <c r="BO19" s="1767">
        <v>0</v>
      </c>
      <c r="BP19" s="1767">
        <v>0</v>
      </c>
      <c r="BQ19" s="1767">
        <v>0</v>
      </c>
      <c r="BR19" s="1767">
        <v>0</v>
      </c>
      <c r="BS19" s="1767">
        <v>0</v>
      </c>
      <c r="BT19" s="1767">
        <v>0</v>
      </c>
      <c r="BU19" s="1767">
        <v>0</v>
      </c>
      <c r="BV19" s="1767">
        <v>0</v>
      </c>
      <c r="BW19" s="1767">
        <v>0</v>
      </c>
      <c r="BX19" s="1767">
        <v>0</v>
      </c>
      <c r="BY19" s="1767">
        <v>0</v>
      </c>
      <c r="BZ19" s="1767">
        <v>0</v>
      </c>
      <c r="CA19" s="1767">
        <v>0</v>
      </c>
      <c r="CB19" s="1767">
        <v>0</v>
      </c>
      <c r="CC19" s="1767">
        <v>0</v>
      </c>
      <c r="CD19" s="1767">
        <v>0</v>
      </c>
      <c r="CE19" s="1767">
        <v>0</v>
      </c>
      <c r="CF19" s="1767">
        <v>0</v>
      </c>
      <c r="CG19" s="1767">
        <v>0</v>
      </c>
      <c r="CH19" s="1767">
        <v>0</v>
      </c>
      <c r="CI19" s="1767">
        <v>0</v>
      </c>
      <c r="CJ19" s="1767">
        <v>0</v>
      </c>
      <c r="CK19" s="1767">
        <v>0</v>
      </c>
      <c r="CL19" s="1767">
        <v>0</v>
      </c>
      <c r="CM19" s="1767">
        <v>0</v>
      </c>
      <c r="CN19" s="1767">
        <v>0</v>
      </c>
      <c r="CO19" s="1767">
        <v>0</v>
      </c>
      <c r="CP19" s="1767">
        <v>0</v>
      </c>
    </row>
    <row r="20" spans="1:94" ht="15" customHeight="1" x14ac:dyDescent="0.2">
      <c r="A20" s="1856"/>
      <c r="B20" s="1856"/>
      <c r="C20" s="652" t="s">
        <v>2075</v>
      </c>
      <c r="D20" s="936"/>
      <c r="E20" s="1831"/>
      <c r="F20" s="1225"/>
      <c r="G20" s="1767">
        <v>0</v>
      </c>
      <c r="H20" s="1767">
        <v>0</v>
      </c>
      <c r="I20" s="1767">
        <v>0</v>
      </c>
      <c r="J20" s="1767">
        <v>0</v>
      </c>
      <c r="K20" s="1767">
        <v>0</v>
      </c>
      <c r="L20" s="1767">
        <v>0</v>
      </c>
      <c r="M20" s="1767">
        <v>0</v>
      </c>
      <c r="N20" s="1767">
        <v>0</v>
      </c>
      <c r="O20" s="1767">
        <v>0</v>
      </c>
      <c r="P20" s="1767">
        <v>0</v>
      </c>
      <c r="Q20" s="1767">
        <v>0</v>
      </c>
      <c r="R20" s="1767">
        <v>0</v>
      </c>
      <c r="S20" s="1767">
        <v>0</v>
      </c>
      <c r="T20" s="1767">
        <v>0</v>
      </c>
      <c r="U20" s="1767">
        <v>0</v>
      </c>
      <c r="V20" s="1767">
        <v>0</v>
      </c>
      <c r="W20" s="1767">
        <v>0</v>
      </c>
      <c r="X20" s="1767">
        <v>0</v>
      </c>
      <c r="Y20" s="1767">
        <v>0</v>
      </c>
      <c r="Z20" s="1767">
        <v>0</v>
      </c>
      <c r="AA20" s="1767">
        <v>0</v>
      </c>
      <c r="AB20" s="1767">
        <v>0</v>
      </c>
      <c r="AC20" s="1767">
        <v>0</v>
      </c>
      <c r="AD20" s="1767">
        <v>0</v>
      </c>
      <c r="AE20" s="1767">
        <v>0</v>
      </c>
      <c r="AF20" s="1767">
        <v>0</v>
      </c>
      <c r="AG20" s="1767">
        <v>0</v>
      </c>
      <c r="AH20" s="1767">
        <v>0</v>
      </c>
      <c r="AI20" s="1767">
        <v>0</v>
      </c>
      <c r="AJ20" s="1767">
        <v>0</v>
      </c>
      <c r="AK20" s="1767">
        <v>0</v>
      </c>
      <c r="AL20" s="1767">
        <v>0</v>
      </c>
      <c r="AM20" s="1767">
        <v>0</v>
      </c>
      <c r="AN20" s="1767">
        <v>0</v>
      </c>
      <c r="AO20" s="1767">
        <v>0</v>
      </c>
      <c r="AP20" s="1767">
        <v>0</v>
      </c>
      <c r="AQ20" s="1767">
        <v>0</v>
      </c>
      <c r="AR20" s="1767">
        <v>0</v>
      </c>
      <c r="AS20" s="1767">
        <v>0</v>
      </c>
      <c r="AT20" s="1767">
        <v>0</v>
      </c>
      <c r="AU20" s="1767">
        <v>0</v>
      </c>
      <c r="AV20" s="1767">
        <v>0</v>
      </c>
      <c r="AW20" s="1767">
        <v>0</v>
      </c>
      <c r="AX20" s="1767">
        <v>0</v>
      </c>
      <c r="AY20" s="1767">
        <v>0</v>
      </c>
      <c r="AZ20" s="1767">
        <v>0</v>
      </c>
      <c r="BA20" s="1767">
        <v>0</v>
      </c>
      <c r="BB20" s="1767">
        <v>0</v>
      </c>
      <c r="BC20" s="1767">
        <v>0</v>
      </c>
      <c r="BD20" s="1767">
        <v>0</v>
      </c>
      <c r="BE20" s="1767">
        <v>0</v>
      </c>
      <c r="BF20" s="1767">
        <v>0</v>
      </c>
      <c r="BG20" s="1767">
        <v>0</v>
      </c>
      <c r="BH20" s="1767">
        <v>0</v>
      </c>
      <c r="BI20" s="1767">
        <v>0</v>
      </c>
      <c r="BJ20" s="1767">
        <v>0</v>
      </c>
      <c r="BK20" s="1767">
        <v>0</v>
      </c>
      <c r="BL20" s="1767">
        <v>0</v>
      </c>
      <c r="BM20" s="1767">
        <v>0</v>
      </c>
      <c r="BN20" s="1767">
        <v>0</v>
      </c>
      <c r="BO20" s="1767">
        <v>0</v>
      </c>
      <c r="BP20" s="1767">
        <v>0</v>
      </c>
      <c r="BQ20" s="1767">
        <v>0</v>
      </c>
      <c r="BR20" s="1767">
        <v>0</v>
      </c>
      <c r="BS20" s="1767">
        <v>0</v>
      </c>
      <c r="BT20" s="1767">
        <v>0</v>
      </c>
      <c r="BU20" s="1767">
        <v>0</v>
      </c>
      <c r="BV20" s="1767">
        <v>0</v>
      </c>
      <c r="BW20" s="1767">
        <v>0</v>
      </c>
      <c r="BX20" s="1767">
        <v>0</v>
      </c>
      <c r="BY20" s="1767">
        <v>0</v>
      </c>
      <c r="BZ20" s="1767">
        <v>0</v>
      </c>
      <c r="CA20" s="1767">
        <v>0</v>
      </c>
      <c r="CB20" s="1767">
        <v>0</v>
      </c>
      <c r="CC20" s="1767">
        <v>0</v>
      </c>
      <c r="CD20" s="1767">
        <v>0</v>
      </c>
      <c r="CE20" s="1767">
        <v>0</v>
      </c>
      <c r="CF20" s="1767">
        <v>0</v>
      </c>
      <c r="CG20" s="1767">
        <v>0</v>
      </c>
      <c r="CH20" s="1767">
        <v>0</v>
      </c>
      <c r="CI20" s="1767">
        <v>0</v>
      </c>
      <c r="CJ20" s="1767">
        <v>0</v>
      </c>
      <c r="CK20" s="1767">
        <v>0</v>
      </c>
      <c r="CL20" s="1767">
        <v>0</v>
      </c>
      <c r="CM20" s="1767">
        <v>0</v>
      </c>
      <c r="CN20" s="1767">
        <v>0</v>
      </c>
      <c r="CO20" s="1767">
        <v>0</v>
      </c>
      <c r="CP20" s="1767">
        <v>0</v>
      </c>
    </row>
    <row r="21" spans="1:94" ht="15" customHeight="1" x14ac:dyDescent="0.2">
      <c r="A21" s="1856"/>
      <c r="B21" s="1856"/>
      <c r="C21" s="653" t="s">
        <v>2309</v>
      </c>
      <c r="D21" s="936"/>
      <c r="E21" s="1831"/>
      <c r="F21" s="1225"/>
      <c r="G21" s="1767">
        <v>0</v>
      </c>
      <c r="H21" s="1767">
        <v>0</v>
      </c>
      <c r="I21" s="1767">
        <v>0</v>
      </c>
      <c r="J21" s="1767">
        <v>0</v>
      </c>
      <c r="K21" s="1767">
        <v>0</v>
      </c>
      <c r="L21" s="1767">
        <v>0</v>
      </c>
      <c r="M21" s="1767">
        <v>0</v>
      </c>
      <c r="N21" s="1767">
        <v>0</v>
      </c>
      <c r="O21" s="1767">
        <v>0</v>
      </c>
      <c r="P21" s="1767">
        <v>0</v>
      </c>
      <c r="Q21" s="1767">
        <v>0</v>
      </c>
      <c r="R21" s="1767">
        <v>0</v>
      </c>
      <c r="S21" s="1767">
        <v>0</v>
      </c>
      <c r="T21" s="1767">
        <v>0</v>
      </c>
      <c r="U21" s="1767">
        <v>0</v>
      </c>
      <c r="V21" s="1767">
        <v>0</v>
      </c>
      <c r="W21" s="1767">
        <v>0</v>
      </c>
      <c r="X21" s="1767">
        <v>0</v>
      </c>
      <c r="Y21" s="1767">
        <v>0</v>
      </c>
      <c r="Z21" s="1767">
        <v>0</v>
      </c>
      <c r="AA21" s="1767">
        <v>0</v>
      </c>
      <c r="AB21" s="1767">
        <v>0</v>
      </c>
      <c r="AC21" s="1767">
        <v>0</v>
      </c>
      <c r="AD21" s="1767">
        <v>0</v>
      </c>
      <c r="AE21" s="1767">
        <v>0</v>
      </c>
      <c r="AF21" s="1767">
        <v>0</v>
      </c>
      <c r="AG21" s="1767">
        <v>0</v>
      </c>
      <c r="AH21" s="1767">
        <v>0</v>
      </c>
      <c r="AI21" s="1767">
        <v>0</v>
      </c>
      <c r="AJ21" s="1767">
        <v>0</v>
      </c>
      <c r="AK21" s="1767">
        <v>0</v>
      </c>
      <c r="AL21" s="1767">
        <v>0</v>
      </c>
      <c r="AM21" s="1767">
        <v>0</v>
      </c>
      <c r="AN21" s="1767">
        <v>0</v>
      </c>
      <c r="AO21" s="1767">
        <v>0</v>
      </c>
      <c r="AP21" s="1767">
        <v>0</v>
      </c>
      <c r="AQ21" s="1767">
        <v>0</v>
      </c>
      <c r="AR21" s="1767">
        <v>0</v>
      </c>
      <c r="AS21" s="1767">
        <v>0</v>
      </c>
      <c r="AT21" s="1767">
        <v>0</v>
      </c>
      <c r="AU21" s="1767">
        <v>0</v>
      </c>
      <c r="AV21" s="1767">
        <v>0</v>
      </c>
      <c r="AW21" s="1767">
        <v>0</v>
      </c>
      <c r="AX21" s="1767">
        <v>0</v>
      </c>
      <c r="AY21" s="1767">
        <v>0</v>
      </c>
      <c r="AZ21" s="1767">
        <v>0</v>
      </c>
      <c r="BA21" s="1767">
        <v>0</v>
      </c>
      <c r="BB21" s="1767">
        <v>0</v>
      </c>
      <c r="BC21" s="1767">
        <v>0</v>
      </c>
      <c r="BD21" s="1767">
        <v>0</v>
      </c>
      <c r="BE21" s="1767">
        <v>0</v>
      </c>
      <c r="BF21" s="1767">
        <v>0</v>
      </c>
      <c r="BG21" s="1767">
        <v>0</v>
      </c>
      <c r="BH21" s="1767">
        <v>0</v>
      </c>
      <c r="BI21" s="1767">
        <v>0</v>
      </c>
      <c r="BJ21" s="1767">
        <v>0</v>
      </c>
      <c r="BK21" s="1767">
        <v>0</v>
      </c>
      <c r="BL21" s="1767">
        <v>0</v>
      </c>
      <c r="BM21" s="1767">
        <v>0</v>
      </c>
      <c r="BN21" s="1767">
        <v>0</v>
      </c>
      <c r="BO21" s="1767">
        <v>0</v>
      </c>
      <c r="BP21" s="1767">
        <v>0</v>
      </c>
      <c r="BQ21" s="1767">
        <v>0</v>
      </c>
      <c r="BR21" s="1767">
        <v>0</v>
      </c>
      <c r="BS21" s="1767">
        <v>0</v>
      </c>
      <c r="BT21" s="1767">
        <v>0</v>
      </c>
      <c r="BU21" s="1767">
        <v>0</v>
      </c>
      <c r="BV21" s="1767">
        <v>0</v>
      </c>
      <c r="BW21" s="1767">
        <v>0</v>
      </c>
      <c r="BX21" s="1767">
        <v>0</v>
      </c>
      <c r="BY21" s="1767">
        <v>0</v>
      </c>
      <c r="BZ21" s="1767">
        <v>0</v>
      </c>
      <c r="CA21" s="1767">
        <v>0</v>
      </c>
      <c r="CB21" s="1767">
        <v>0</v>
      </c>
      <c r="CC21" s="1767">
        <v>0</v>
      </c>
      <c r="CD21" s="1767">
        <v>0</v>
      </c>
      <c r="CE21" s="1767">
        <v>0</v>
      </c>
      <c r="CF21" s="1767">
        <v>0</v>
      </c>
      <c r="CG21" s="1767">
        <v>0</v>
      </c>
      <c r="CH21" s="1767">
        <v>0</v>
      </c>
      <c r="CI21" s="1767">
        <v>0</v>
      </c>
      <c r="CJ21" s="1767">
        <v>0</v>
      </c>
      <c r="CK21" s="1767">
        <v>0</v>
      </c>
      <c r="CL21" s="1767">
        <v>0</v>
      </c>
      <c r="CM21" s="1767">
        <v>0</v>
      </c>
      <c r="CN21" s="1767">
        <v>0</v>
      </c>
      <c r="CO21" s="1767">
        <v>0</v>
      </c>
      <c r="CP21" s="1767">
        <v>0</v>
      </c>
    </row>
    <row r="22" spans="1:94" ht="15" customHeight="1" x14ac:dyDescent="0.2">
      <c r="A22" s="1856"/>
      <c r="B22" s="1856"/>
      <c r="C22" s="652" t="s">
        <v>2076</v>
      </c>
      <c r="D22" s="936"/>
      <c r="E22" s="1831"/>
      <c r="F22" s="1225"/>
      <c r="G22" s="1767">
        <v>0</v>
      </c>
      <c r="H22" s="1767">
        <v>0</v>
      </c>
      <c r="I22" s="1767">
        <v>0</v>
      </c>
      <c r="J22" s="1767">
        <v>0</v>
      </c>
      <c r="K22" s="1767">
        <v>0</v>
      </c>
      <c r="L22" s="1767">
        <v>0</v>
      </c>
      <c r="M22" s="1767">
        <v>0</v>
      </c>
      <c r="N22" s="1767">
        <v>0</v>
      </c>
      <c r="O22" s="1767">
        <v>0</v>
      </c>
      <c r="P22" s="1767">
        <v>0</v>
      </c>
      <c r="Q22" s="1767">
        <v>0</v>
      </c>
      <c r="R22" s="1767">
        <v>0</v>
      </c>
      <c r="S22" s="1767">
        <v>0</v>
      </c>
      <c r="T22" s="1767">
        <v>0</v>
      </c>
      <c r="U22" s="1767">
        <v>0</v>
      </c>
      <c r="V22" s="1767">
        <v>0</v>
      </c>
      <c r="W22" s="1767">
        <v>0</v>
      </c>
      <c r="X22" s="1767">
        <v>0</v>
      </c>
      <c r="Y22" s="1767">
        <v>0</v>
      </c>
      <c r="Z22" s="1767">
        <v>0</v>
      </c>
      <c r="AA22" s="1767">
        <v>0</v>
      </c>
      <c r="AB22" s="1767">
        <v>0</v>
      </c>
      <c r="AC22" s="1767">
        <v>0</v>
      </c>
      <c r="AD22" s="1767">
        <v>0</v>
      </c>
      <c r="AE22" s="1767">
        <v>0</v>
      </c>
      <c r="AF22" s="1767">
        <v>0</v>
      </c>
      <c r="AG22" s="1767">
        <v>0</v>
      </c>
      <c r="AH22" s="1767">
        <v>0</v>
      </c>
      <c r="AI22" s="1767">
        <v>0</v>
      </c>
      <c r="AJ22" s="1767">
        <v>0</v>
      </c>
      <c r="AK22" s="1767">
        <v>0</v>
      </c>
      <c r="AL22" s="1767">
        <v>0</v>
      </c>
      <c r="AM22" s="1767">
        <v>0</v>
      </c>
      <c r="AN22" s="1767">
        <v>0</v>
      </c>
      <c r="AO22" s="1767">
        <v>0</v>
      </c>
      <c r="AP22" s="1767">
        <v>0</v>
      </c>
      <c r="AQ22" s="1767">
        <v>0</v>
      </c>
      <c r="AR22" s="1767">
        <v>0</v>
      </c>
      <c r="AS22" s="1767">
        <v>0</v>
      </c>
      <c r="AT22" s="1767">
        <v>0</v>
      </c>
      <c r="AU22" s="1767">
        <v>0</v>
      </c>
      <c r="AV22" s="1767">
        <v>0</v>
      </c>
      <c r="AW22" s="1767">
        <v>0</v>
      </c>
      <c r="AX22" s="1767">
        <v>0</v>
      </c>
      <c r="AY22" s="1767">
        <v>0</v>
      </c>
      <c r="AZ22" s="1767">
        <v>0</v>
      </c>
      <c r="BA22" s="1767">
        <v>0</v>
      </c>
      <c r="BB22" s="1767">
        <v>0</v>
      </c>
      <c r="BC22" s="1767">
        <v>0</v>
      </c>
      <c r="BD22" s="1767">
        <v>0</v>
      </c>
      <c r="BE22" s="1767">
        <v>0</v>
      </c>
      <c r="BF22" s="1767">
        <v>0</v>
      </c>
      <c r="BG22" s="1767">
        <v>0</v>
      </c>
      <c r="BH22" s="1767">
        <v>0</v>
      </c>
      <c r="BI22" s="1767">
        <v>0</v>
      </c>
      <c r="BJ22" s="1767">
        <v>0</v>
      </c>
      <c r="BK22" s="1767">
        <v>0</v>
      </c>
      <c r="BL22" s="1767">
        <v>0</v>
      </c>
      <c r="BM22" s="1767">
        <v>0</v>
      </c>
      <c r="BN22" s="1767">
        <v>0</v>
      </c>
      <c r="BO22" s="1767">
        <v>0</v>
      </c>
      <c r="BP22" s="1767">
        <v>0</v>
      </c>
      <c r="BQ22" s="1767">
        <v>0</v>
      </c>
      <c r="BR22" s="1767">
        <v>0</v>
      </c>
      <c r="BS22" s="1767">
        <v>0</v>
      </c>
      <c r="BT22" s="1767">
        <v>0</v>
      </c>
      <c r="BU22" s="1767">
        <v>0</v>
      </c>
      <c r="BV22" s="1767">
        <v>0</v>
      </c>
      <c r="BW22" s="1767">
        <v>0</v>
      </c>
      <c r="BX22" s="1767">
        <v>0</v>
      </c>
      <c r="BY22" s="1767">
        <v>0</v>
      </c>
      <c r="BZ22" s="1767">
        <v>0</v>
      </c>
      <c r="CA22" s="1767">
        <v>0</v>
      </c>
      <c r="CB22" s="1767">
        <v>0</v>
      </c>
      <c r="CC22" s="1767">
        <v>0</v>
      </c>
      <c r="CD22" s="1767">
        <v>0</v>
      </c>
      <c r="CE22" s="1767">
        <v>0</v>
      </c>
      <c r="CF22" s="1767">
        <v>0</v>
      </c>
      <c r="CG22" s="1767">
        <v>0</v>
      </c>
      <c r="CH22" s="1767">
        <v>0</v>
      </c>
      <c r="CI22" s="1767">
        <v>0</v>
      </c>
      <c r="CJ22" s="1767">
        <v>0</v>
      </c>
      <c r="CK22" s="1767">
        <v>0</v>
      </c>
      <c r="CL22" s="1767">
        <v>0</v>
      </c>
      <c r="CM22" s="1767">
        <v>0</v>
      </c>
      <c r="CN22" s="1767">
        <v>0</v>
      </c>
      <c r="CO22" s="1767">
        <v>0</v>
      </c>
      <c r="CP22" s="1767">
        <v>0</v>
      </c>
    </row>
    <row r="23" spans="1:94" ht="17.25" customHeight="1" x14ac:dyDescent="0.2">
      <c r="A23" s="1856"/>
      <c r="B23" s="1856"/>
      <c r="C23" s="653" t="s">
        <v>2310</v>
      </c>
      <c r="D23" s="936"/>
      <c r="E23" s="1831"/>
      <c r="F23" s="1225"/>
      <c r="G23" s="1767">
        <v>0</v>
      </c>
      <c r="H23" s="1767">
        <v>0</v>
      </c>
      <c r="I23" s="1767">
        <v>0</v>
      </c>
      <c r="J23" s="1767">
        <v>0</v>
      </c>
      <c r="K23" s="1767">
        <v>0</v>
      </c>
      <c r="L23" s="1767">
        <v>0</v>
      </c>
      <c r="M23" s="1767">
        <v>0</v>
      </c>
      <c r="N23" s="1767">
        <v>0</v>
      </c>
      <c r="O23" s="1767">
        <v>0</v>
      </c>
      <c r="P23" s="1767">
        <v>0</v>
      </c>
      <c r="Q23" s="1767">
        <v>0</v>
      </c>
      <c r="R23" s="1767">
        <v>0</v>
      </c>
      <c r="S23" s="1767">
        <v>0</v>
      </c>
      <c r="T23" s="1767">
        <v>0</v>
      </c>
      <c r="U23" s="1767">
        <v>0</v>
      </c>
      <c r="V23" s="1767">
        <v>0</v>
      </c>
      <c r="W23" s="1767">
        <v>0</v>
      </c>
      <c r="X23" s="1767">
        <v>0</v>
      </c>
      <c r="Y23" s="1767">
        <v>0</v>
      </c>
      <c r="Z23" s="1767">
        <v>0</v>
      </c>
      <c r="AA23" s="1767">
        <v>0</v>
      </c>
      <c r="AB23" s="1767">
        <v>0</v>
      </c>
      <c r="AC23" s="1767">
        <v>0</v>
      </c>
      <c r="AD23" s="1767">
        <v>0</v>
      </c>
      <c r="AE23" s="1767">
        <v>0</v>
      </c>
      <c r="AF23" s="1767">
        <v>0</v>
      </c>
      <c r="AG23" s="1767">
        <v>0</v>
      </c>
      <c r="AH23" s="1767">
        <v>0</v>
      </c>
      <c r="AI23" s="1767">
        <v>0</v>
      </c>
      <c r="AJ23" s="1767">
        <v>0</v>
      </c>
      <c r="AK23" s="1767">
        <v>0</v>
      </c>
      <c r="AL23" s="1767">
        <v>0</v>
      </c>
      <c r="AM23" s="1767">
        <v>0</v>
      </c>
      <c r="AN23" s="1767">
        <v>0</v>
      </c>
      <c r="AO23" s="1767">
        <v>0</v>
      </c>
      <c r="AP23" s="1767">
        <v>0</v>
      </c>
      <c r="AQ23" s="1767">
        <v>0</v>
      </c>
      <c r="AR23" s="1767">
        <v>0</v>
      </c>
      <c r="AS23" s="1767">
        <v>0</v>
      </c>
      <c r="AT23" s="1767">
        <v>0</v>
      </c>
      <c r="AU23" s="1767">
        <v>0</v>
      </c>
      <c r="AV23" s="1767">
        <v>0</v>
      </c>
      <c r="AW23" s="1767">
        <v>0</v>
      </c>
      <c r="AX23" s="1767">
        <v>0</v>
      </c>
      <c r="AY23" s="1767">
        <v>0</v>
      </c>
      <c r="AZ23" s="1767">
        <v>0</v>
      </c>
      <c r="BA23" s="1767">
        <v>0</v>
      </c>
      <c r="BB23" s="1767">
        <v>0</v>
      </c>
      <c r="BC23" s="1767">
        <v>0</v>
      </c>
      <c r="BD23" s="1767">
        <v>0</v>
      </c>
      <c r="BE23" s="1767">
        <v>0</v>
      </c>
      <c r="BF23" s="1767">
        <v>0</v>
      </c>
      <c r="BG23" s="1767">
        <v>0</v>
      </c>
      <c r="BH23" s="1767">
        <v>0</v>
      </c>
      <c r="BI23" s="1767">
        <v>0</v>
      </c>
      <c r="BJ23" s="1767">
        <v>0</v>
      </c>
      <c r="BK23" s="1767">
        <v>0</v>
      </c>
      <c r="BL23" s="1767">
        <v>0</v>
      </c>
      <c r="BM23" s="1767">
        <v>0</v>
      </c>
      <c r="BN23" s="1767">
        <v>0</v>
      </c>
      <c r="BO23" s="1767">
        <v>0</v>
      </c>
      <c r="BP23" s="1767">
        <v>0</v>
      </c>
      <c r="BQ23" s="1767">
        <v>0</v>
      </c>
      <c r="BR23" s="1767">
        <v>0</v>
      </c>
      <c r="BS23" s="1767">
        <v>0</v>
      </c>
      <c r="BT23" s="1767">
        <v>0</v>
      </c>
      <c r="BU23" s="1767">
        <v>0</v>
      </c>
      <c r="BV23" s="1767">
        <v>0</v>
      </c>
      <c r="BW23" s="1767">
        <v>0</v>
      </c>
      <c r="BX23" s="1767">
        <v>0</v>
      </c>
      <c r="BY23" s="1767">
        <v>0</v>
      </c>
      <c r="BZ23" s="1767">
        <v>0</v>
      </c>
      <c r="CA23" s="1767">
        <v>0</v>
      </c>
      <c r="CB23" s="1767">
        <v>0</v>
      </c>
      <c r="CC23" s="1767">
        <v>0</v>
      </c>
      <c r="CD23" s="1767">
        <v>0</v>
      </c>
      <c r="CE23" s="1767">
        <v>0</v>
      </c>
      <c r="CF23" s="1767">
        <v>0</v>
      </c>
      <c r="CG23" s="1767">
        <v>0</v>
      </c>
      <c r="CH23" s="1767">
        <v>0</v>
      </c>
      <c r="CI23" s="1767">
        <v>0</v>
      </c>
      <c r="CJ23" s="1767">
        <v>0</v>
      </c>
      <c r="CK23" s="1767">
        <v>0</v>
      </c>
      <c r="CL23" s="1767">
        <v>0</v>
      </c>
      <c r="CM23" s="1767">
        <v>0</v>
      </c>
      <c r="CN23" s="1767">
        <v>0</v>
      </c>
      <c r="CO23" s="1767">
        <v>0</v>
      </c>
      <c r="CP23" s="1767">
        <v>0</v>
      </c>
    </row>
    <row r="24" spans="1:94" ht="15" customHeight="1" thickBot="1" x14ac:dyDescent="0.25">
      <c r="A24" s="1857"/>
      <c r="B24" s="1857"/>
      <c r="C24" s="659" t="s">
        <v>2077</v>
      </c>
      <c r="D24" s="950"/>
      <c r="E24" s="1832"/>
      <c r="F24" s="1225"/>
      <c r="G24" s="1767">
        <v>0</v>
      </c>
      <c r="H24" s="1767">
        <v>0</v>
      </c>
      <c r="I24" s="1767">
        <v>0</v>
      </c>
      <c r="J24" s="1767">
        <v>0</v>
      </c>
      <c r="K24" s="1767">
        <v>0</v>
      </c>
      <c r="L24" s="1767">
        <v>0</v>
      </c>
      <c r="M24" s="1767">
        <v>0</v>
      </c>
      <c r="N24" s="1767">
        <v>0</v>
      </c>
      <c r="O24" s="1767">
        <v>0</v>
      </c>
      <c r="P24" s="1767">
        <v>0</v>
      </c>
      <c r="Q24" s="1767">
        <v>0</v>
      </c>
      <c r="R24" s="1767">
        <v>0</v>
      </c>
      <c r="S24" s="1767">
        <v>0</v>
      </c>
      <c r="T24" s="1767">
        <v>0</v>
      </c>
      <c r="U24" s="1767">
        <v>0</v>
      </c>
      <c r="V24" s="1767">
        <v>0</v>
      </c>
      <c r="W24" s="1767">
        <v>0</v>
      </c>
      <c r="X24" s="1767">
        <v>0</v>
      </c>
      <c r="Y24" s="1767">
        <v>0</v>
      </c>
      <c r="Z24" s="1767">
        <v>0</v>
      </c>
      <c r="AA24" s="1767">
        <v>0</v>
      </c>
      <c r="AB24" s="1767">
        <v>0</v>
      </c>
      <c r="AC24" s="1767">
        <v>0</v>
      </c>
      <c r="AD24" s="1767">
        <v>0</v>
      </c>
      <c r="AE24" s="1767">
        <v>0</v>
      </c>
      <c r="AF24" s="1767">
        <v>0</v>
      </c>
      <c r="AG24" s="1767">
        <v>0</v>
      </c>
      <c r="AH24" s="1767">
        <v>0</v>
      </c>
      <c r="AI24" s="1767">
        <v>0</v>
      </c>
      <c r="AJ24" s="1767">
        <v>0</v>
      </c>
      <c r="AK24" s="1767">
        <v>0</v>
      </c>
      <c r="AL24" s="1767">
        <v>0</v>
      </c>
      <c r="AM24" s="1767">
        <v>0</v>
      </c>
      <c r="AN24" s="1767">
        <v>0</v>
      </c>
      <c r="AO24" s="1767">
        <v>0</v>
      </c>
      <c r="AP24" s="1767">
        <v>0</v>
      </c>
      <c r="AQ24" s="1767">
        <v>0</v>
      </c>
      <c r="AR24" s="1767">
        <v>0</v>
      </c>
      <c r="AS24" s="1767">
        <v>0</v>
      </c>
      <c r="AT24" s="1767">
        <v>0</v>
      </c>
      <c r="AU24" s="1767">
        <v>0</v>
      </c>
      <c r="AV24" s="1767">
        <v>0</v>
      </c>
      <c r="AW24" s="1767">
        <v>0</v>
      </c>
      <c r="AX24" s="1767">
        <v>0</v>
      </c>
      <c r="AY24" s="1767">
        <v>0</v>
      </c>
      <c r="AZ24" s="1767">
        <v>0</v>
      </c>
      <c r="BA24" s="1767">
        <v>0</v>
      </c>
      <c r="BB24" s="1767">
        <v>0</v>
      </c>
      <c r="BC24" s="1767">
        <v>0</v>
      </c>
      <c r="BD24" s="1767">
        <v>0</v>
      </c>
      <c r="BE24" s="1767">
        <v>0</v>
      </c>
      <c r="BF24" s="1767">
        <v>0</v>
      </c>
      <c r="BG24" s="1767">
        <v>0</v>
      </c>
      <c r="BH24" s="1767">
        <v>0</v>
      </c>
      <c r="BI24" s="1767">
        <v>0</v>
      </c>
      <c r="BJ24" s="1767">
        <v>0</v>
      </c>
      <c r="BK24" s="1767">
        <v>0</v>
      </c>
      <c r="BL24" s="1767">
        <v>0</v>
      </c>
      <c r="BM24" s="1767">
        <v>0</v>
      </c>
      <c r="BN24" s="1767">
        <v>0</v>
      </c>
      <c r="BO24" s="1767">
        <v>0</v>
      </c>
      <c r="BP24" s="1767">
        <v>0</v>
      </c>
      <c r="BQ24" s="1767">
        <v>0</v>
      </c>
      <c r="BR24" s="1767">
        <v>0</v>
      </c>
      <c r="BS24" s="1767">
        <v>0</v>
      </c>
      <c r="BT24" s="1767">
        <v>0</v>
      </c>
      <c r="BU24" s="1767">
        <v>0</v>
      </c>
      <c r="BV24" s="1767">
        <v>0</v>
      </c>
      <c r="BW24" s="1767">
        <v>0</v>
      </c>
      <c r="BX24" s="1767">
        <v>0</v>
      </c>
      <c r="BY24" s="1767">
        <v>0</v>
      </c>
      <c r="BZ24" s="1767">
        <v>0</v>
      </c>
      <c r="CA24" s="1767">
        <v>0</v>
      </c>
      <c r="CB24" s="1767">
        <v>0</v>
      </c>
      <c r="CC24" s="1767">
        <v>0</v>
      </c>
      <c r="CD24" s="1767">
        <v>0</v>
      </c>
      <c r="CE24" s="1767">
        <v>0</v>
      </c>
      <c r="CF24" s="1767">
        <v>0</v>
      </c>
      <c r="CG24" s="1767">
        <v>0</v>
      </c>
      <c r="CH24" s="1767">
        <v>0</v>
      </c>
      <c r="CI24" s="1767">
        <v>0</v>
      </c>
      <c r="CJ24" s="1767">
        <v>0</v>
      </c>
      <c r="CK24" s="1767">
        <v>0</v>
      </c>
      <c r="CL24" s="1767">
        <v>0</v>
      </c>
      <c r="CM24" s="1767">
        <v>0</v>
      </c>
      <c r="CN24" s="1767">
        <v>0</v>
      </c>
      <c r="CO24" s="1767">
        <v>0</v>
      </c>
      <c r="CP24" s="1767">
        <v>0</v>
      </c>
    </row>
    <row r="25" spans="1:94" ht="30" customHeight="1" thickBot="1" x14ac:dyDescent="0.25">
      <c r="A25" s="1846" t="s">
        <v>1279</v>
      </c>
      <c r="B25" s="1856" t="s">
        <v>249</v>
      </c>
      <c r="C25" s="1775" t="s">
        <v>2506</v>
      </c>
      <c r="D25" s="946"/>
      <c r="E25" s="1894" t="s">
        <v>2311</v>
      </c>
      <c r="F25" s="1225"/>
      <c r="G25" s="1742"/>
      <c r="H25" s="1742"/>
      <c r="I25" s="1742"/>
      <c r="J25" s="1742"/>
      <c r="K25" s="1742"/>
      <c r="L25" s="1742"/>
      <c r="M25" s="1742"/>
      <c r="N25" s="1742"/>
      <c r="O25" s="1742"/>
      <c r="P25" s="1742"/>
      <c r="Q25" s="1742"/>
      <c r="R25" s="1742"/>
      <c r="S25" s="1742"/>
      <c r="T25" s="1742"/>
      <c r="U25" s="1742"/>
      <c r="V25" s="1742"/>
      <c r="W25" s="1742"/>
      <c r="X25" s="1742"/>
      <c r="Y25" s="1742"/>
      <c r="Z25" s="1742"/>
      <c r="AA25" s="1742"/>
      <c r="AB25" s="1742"/>
      <c r="AC25" s="1742"/>
      <c r="AD25" s="1742"/>
      <c r="AE25" s="1742"/>
      <c r="AF25" s="1742"/>
      <c r="AG25" s="1742"/>
      <c r="AH25" s="1742"/>
      <c r="AI25" s="1742"/>
      <c r="AJ25" s="1742"/>
      <c r="AK25" s="1742"/>
      <c r="AL25" s="1742"/>
      <c r="AM25" s="1742"/>
      <c r="AN25" s="1742"/>
      <c r="AO25" s="1742"/>
      <c r="AP25" s="1742"/>
      <c r="AQ25" s="1742"/>
      <c r="AR25" s="1742"/>
      <c r="AS25" s="1742"/>
      <c r="AT25" s="1742"/>
      <c r="AU25" s="1742"/>
      <c r="AV25" s="1742"/>
      <c r="AW25" s="1742"/>
      <c r="AX25" s="1742"/>
      <c r="AY25" s="1742"/>
      <c r="AZ25" s="1742"/>
      <c r="BA25" s="1742"/>
      <c r="BB25" s="1742"/>
      <c r="BC25" s="1742"/>
      <c r="BD25" s="1742"/>
      <c r="BE25" s="1742"/>
      <c r="BF25" s="1742"/>
      <c r="BG25" s="1742"/>
      <c r="BH25" s="1742"/>
      <c r="BI25" s="1742"/>
      <c r="BJ25" s="1742"/>
      <c r="BK25" s="1742"/>
      <c r="BL25" s="1742"/>
      <c r="BM25" s="1742"/>
      <c r="BN25" s="1742"/>
      <c r="BO25" s="1742"/>
      <c r="BP25" s="1742"/>
      <c r="BQ25" s="1742"/>
      <c r="BR25" s="1742"/>
      <c r="BS25" s="1742"/>
      <c r="BT25" s="1742"/>
      <c r="BU25" s="1742"/>
      <c r="BV25" s="1742"/>
      <c r="BW25" s="1742"/>
      <c r="BX25" s="1742"/>
      <c r="BY25" s="1742"/>
      <c r="BZ25" s="1742"/>
      <c r="CA25" s="1742"/>
      <c r="CB25" s="1742"/>
      <c r="CC25" s="1742"/>
      <c r="CD25" s="1742"/>
      <c r="CE25" s="1742"/>
      <c r="CF25" s="1742"/>
      <c r="CG25" s="1742"/>
      <c r="CH25" s="1742"/>
      <c r="CI25" s="1742"/>
      <c r="CJ25" s="1742"/>
      <c r="CK25" s="1742"/>
      <c r="CL25" s="1742"/>
      <c r="CM25" s="1742"/>
      <c r="CN25" s="1742"/>
      <c r="CO25" s="1742"/>
      <c r="CP25" s="1742"/>
    </row>
    <row r="26" spans="1:94" ht="15" customHeight="1" x14ac:dyDescent="0.2">
      <c r="A26" s="1847"/>
      <c r="B26" s="1856"/>
      <c r="C26" s="653" t="s">
        <v>2079</v>
      </c>
      <c r="D26" s="936"/>
      <c r="E26" s="1895"/>
      <c r="F26" s="1225"/>
      <c r="G26" s="1765">
        <v>0</v>
      </c>
      <c r="H26" s="1765">
        <v>0</v>
      </c>
      <c r="I26" s="1765">
        <v>0</v>
      </c>
      <c r="J26" s="1765">
        <v>0</v>
      </c>
      <c r="K26" s="1765">
        <v>0</v>
      </c>
      <c r="L26" s="1765">
        <v>0</v>
      </c>
      <c r="M26" s="1765">
        <v>0</v>
      </c>
      <c r="N26" s="1765">
        <v>0</v>
      </c>
      <c r="O26" s="1765">
        <v>0</v>
      </c>
      <c r="P26" s="1765">
        <v>0</v>
      </c>
      <c r="Q26" s="1765">
        <v>0</v>
      </c>
      <c r="R26" s="1765">
        <v>0</v>
      </c>
      <c r="S26" s="1765">
        <v>0</v>
      </c>
      <c r="T26" s="1765">
        <v>0</v>
      </c>
      <c r="U26" s="1765">
        <v>0</v>
      </c>
      <c r="V26" s="1765">
        <v>0</v>
      </c>
      <c r="W26" s="1765">
        <v>0</v>
      </c>
      <c r="X26" s="1765">
        <v>0</v>
      </c>
      <c r="Y26" s="1765">
        <v>0</v>
      </c>
      <c r="Z26" s="1765">
        <v>0</v>
      </c>
      <c r="AA26" s="1765">
        <v>0</v>
      </c>
      <c r="AB26" s="1765">
        <v>0</v>
      </c>
      <c r="AC26" s="1765">
        <v>0</v>
      </c>
      <c r="AD26" s="1765">
        <v>0</v>
      </c>
      <c r="AE26" s="1765">
        <v>0</v>
      </c>
      <c r="AF26" s="1765">
        <v>0</v>
      </c>
      <c r="AG26" s="1765">
        <v>0</v>
      </c>
      <c r="AH26" s="1765">
        <v>0</v>
      </c>
      <c r="AI26" s="1765">
        <v>0</v>
      </c>
      <c r="AJ26" s="1765">
        <v>0</v>
      </c>
      <c r="AK26" s="1765">
        <v>0</v>
      </c>
      <c r="AL26" s="1765">
        <v>0</v>
      </c>
      <c r="AM26" s="1765">
        <v>0</v>
      </c>
      <c r="AN26" s="1765">
        <v>0</v>
      </c>
      <c r="AO26" s="1765">
        <v>0</v>
      </c>
      <c r="AP26" s="1765">
        <v>0</v>
      </c>
      <c r="AQ26" s="1765">
        <v>0</v>
      </c>
      <c r="AR26" s="1765">
        <v>0</v>
      </c>
      <c r="AS26" s="1765">
        <v>0</v>
      </c>
      <c r="AT26" s="1765">
        <v>0</v>
      </c>
      <c r="AU26" s="1765">
        <v>0</v>
      </c>
      <c r="AV26" s="1765">
        <v>0</v>
      </c>
      <c r="AW26" s="1765">
        <v>0</v>
      </c>
      <c r="AX26" s="1765">
        <v>0</v>
      </c>
      <c r="AY26" s="1765">
        <v>0</v>
      </c>
      <c r="AZ26" s="1765">
        <v>0</v>
      </c>
      <c r="BA26" s="1765">
        <v>0</v>
      </c>
      <c r="BB26" s="1765">
        <v>0</v>
      </c>
      <c r="BC26" s="1765">
        <v>0</v>
      </c>
      <c r="BD26" s="1765">
        <v>0</v>
      </c>
      <c r="BE26" s="1765">
        <v>0</v>
      </c>
      <c r="BF26" s="1765">
        <v>0</v>
      </c>
      <c r="BG26" s="1765">
        <v>0</v>
      </c>
      <c r="BH26" s="1765">
        <v>0</v>
      </c>
      <c r="BI26" s="1765">
        <v>0</v>
      </c>
      <c r="BJ26" s="1765">
        <v>0</v>
      </c>
      <c r="BK26" s="1765">
        <v>0</v>
      </c>
      <c r="BL26" s="1765">
        <v>0</v>
      </c>
      <c r="BM26" s="1765">
        <v>0</v>
      </c>
      <c r="BN26" s="1765">
        <v>0</v>
      </c>
      <c r="BO26" s="1765">
        <v>0</v>
      </c>
      <c r="BP26" s="1765">
        <v>0</v>
      </c>
      <c r="BQ26" s="1765">
        <v>0</v>
      </c>
      <c r="BR26" s="1765">
        <v>0</v>
      </c>
      <c r="BS26" s="1765">
        <v>0</v>
      </c>
      <c r="BT26" s="1765">
        <v>0</v>
      </c>
      <c r="BU26" s="1765">
        <v>0</v>
      </c>
      <c r="BV26" s="1765">
        <v>0</v>
      </c>
      <c r="BW26" s="1765">
        <v>0</v>
      </c>
      <c r="BX26" s="1765">
        <v>0</v>
      </c>
      <c r="BY26" s="1765">
        <v>0</v>
      </c>
      <c r="BZ26" s="1765">
        <v>0</v>
      </c>
      <c r="CA26" s="1765">
        <v>0</v>
      </c>
      <c r="CB26" s="1765">
        <v>0</v>
      </c>
      <c r="CC26" s="1765">
        <v>0</v>
      </c>
      <c r="CD26" s="1765">
        <v>0</v>
      </c>
      <c r="CE26" s="1765">
        <v>0</v>
      </c>
      <c r="CF26" s="1765">
        <v>0</v>
      </c>
      <c r="CG26" s="1765">
        <v>0</v>
      </c>
      <c r="CH26" s="1765">
        <v>0</v>
      </c>
      <c r="CI26" s="1765">
        <v>0</v>
      </c>
      <c r="CJ26" s="1765">
        <v>0</v>
      </c>
      <c r="CK26" s="1765">
        <v>0</v>
      </c>
      <c r="CL26" s="1765">
        <v>0</v>
      </c>
      <c r="CM26" s="1765">
        <v>0</v>
      </c>
      <c r="CN26" s="1765">
        <v>0</v>
      </c>
      <c r="CO26" s="1765">
        <v>0</v>
      </c>
      <c r="CP26" s="1765">
        <v>0</v>
      </c>
    </row>
    <row r="27" spans="1:94" ht="15" customHeight="1" x14ac:dyDescent="0.2">
      <c r="A27" s="1847"/>
      <c r="B27" s="1856"/>
      <c r="C27" s="652" t="s">
        <v>2080</v>
      </c>
      <c r="D27" s="936"/>
      <c r="E27" s="1895"/>
      <c r="F27" s="1225"/>
      <c r="G27" s="1765">
        <v>0</v>
      </c>
      <c r="H27" s="1765">
        <v>0</v>
      </c>
      <c r="I27" s="1765">
        <v>0</v>
      </c>
      <c r="J27" s="1765">
        <v>0</v>
      </c>
      <c r="K27" s="1765">
        <v>0</v>
      </c>
      <c r="L27" s="1765">
        <v>0</v>
      </c>
      <c r="M27" s="1765">
        <v>0</v>
      </c>
      <c r="N27" s="1765">
        <v>0</v>
      </c>
      <c r="O27" s="1765">
        <v>0</v>
      </c>
      <c r="P27" s="1765">
        <v>0</v>
      </c>
      <c r="Q27" s="1765">
        <v>0</v>
      </c>
      <c r="R27" s="1765">
        <v>0</v>
      </c>
      <c r="S27" s="1765">
        <v>0</v>
      </c>
      <c r="T27" s="1765">
        <v>0</v>
      </c>
      <c r="U27" s="1765">
        <v>0</v>
      </c>
      <c r="V27" s="1765">
        <v>0</v>
      </c>
      <c r="W27" s="1765">
        <v>0</v>
      </c>
      <c r="X27" s="1765">
        <v>0</v>
      </c>
      <c r="Y27" s="1765">
        <v>0</v>
      </c>
      <c r="Z27" s="1765">
        <v>0</v>
      </c>
      <c r="AA27" s="1765">
        <v>0</v>
      </c>
      <c r="AB27" s="1765">
        <v>0</v>
      </c>
      <c r="AC27" s="1765">
        <v>0</v>
      </c>
      <c r="AD27" s="1765">
        <v>0</v>
      </c>
      <c r="AE27" s="1765">
        <v>0</v>
      </c>
      <c r="AF27" s="1765">
        <v>0</v>
      </c>
      <c r="AG27" s="1765">
        <v>0</v>
      </c>
      <c r="AH27" s="1765">
        <v>0</v>
      </c>
      <c r="AI27" s="1765">
        <v>0</v>
      </c>
      <c r="AJ27" s="1765">
        <v>0</v>
      </c>
      <c r="AK27" s="1765">
        <v>0</v>
      </c>
      <c r="AL27" s="1765">
        <v>0</v>
      </c>
      <c r="AM27" s="1765">
        <v>0</v>
      </c>
      <c r="AN27" s="1765">
        <v>0</v>
      </c>
      <c r="AO27" s="1765">
        <v>0</v>
      </c>
      <c r="AP27" s="1765">
        <v>0</v>
      </c>
      <c r="AQ27" s="1765">
        <v>0</v>
      </c>
      <c r="AR27" s="1765">
        <v>0</v>
      </c>
      <c r="AS27" s="1765">
        <v>0</v>
      </c>
      <c r="AT27" s="1765">
        <v>0</v>
      </c>
      <c r="AU27" s="1765">
        <v>0</v>
      </c>
      <c r="AV27" s="1765">
        <v>0</v>
      </c>
      <c r="AW27" s="1765">
        <v>0</v>
      </c>
      <c r="AX27" s="1765">
        <v>0</v>
      </c>
      <c r="AY27" s="1765">
        <v>0</v>
      </c>
      <c r="AZ27" s="1765">
        <v>0</v>
      </c>
      <c r="BA27" s="1765">
        <v>0</v>
      </c>
      <c r="BB27" s="1765">
        <v>0</v>
      </c>
      <c r="BC27" s="1765">
        <v>0</v>
      </c>
      <c r="BD27" s="1765">
        <v>0</v>
      </c>
      <c r="BE27" s="1765">
        <v>0</v>
      </c>
      <c r="BF27" s="1765">
        <v>0</v>
      </c>
      <c r="BG27" s="1765">
        <v>0</v>
      </c>
      <c r="BH27" s="1765">
        <v>0</v>
      </c>
      <c r="BI27" s="1765">
        <v>0</v>
      </c>
      <c r="BJ27" s="1765">
        <v>0</v>
      </c>
      <c r="BK27" s="1765">
        <v>0</v>
      </c>
      <c r="BL27" s="1765">
        <v>0</v>
      </c>
      <c r="BM27" s="1765">
        <v>0</v>
      </c>
      <c r="BN27" s="1765">
        <v>0</v>
      </c>
      <c r="BO27" s="1765">
        <v>0</v>
      </c>
      <c r="BP27" s="1765">
        <v>0</v>
      </c>
      <c r="BQ27" s="1765">
        <v>0</v>
      </c>
      <c r="BR27" s="1765">
        <v>0</v>
      </c>
      <c r="BS27" s="1765">
        <v>0</v>
      </c>
      <c r="BT27" s="1765">
        <v>0</v>
      </c>
      <c r="BU27" s="1765">
        <v>0</v>
      </c>
      <c r="BV27" s="1765">
        <v>0</v>
      </c>
      <c r="BW27" s="1765">
        <v>0</v>
      </c>
      <c r="BX27" s="1765">
        <v>0</v>
      </c>
      <c r="BY27" s="1765">
        <v>0</v>
      </c>
      <c r="BZ27" s="1765">
        <v>0</v>
      </c>
      <c r="CA27" s="1765">
        <v>0</v>
      </c>
      <c r="CB27" s="1765">
        <v>0</v>
      </c>
      <c r="CC27" s="1765">
        <v>0</v>
      </c>
      <c r="CD27" s="1765">
        <v>0</v>
      </c>
      <c r="CE27" s="1765">
        <v>0</v>
      </c>
      <c r="CF27" s="1765">
        <v>0</v>
      </c>
      <c r="CG27" s="1765">
        <v>0</v>
      </c>
      <c r="CH27" s="1765">
        <v>0</v>
      </c>
      <c r="CI27" s="1765">
        <v>0</v>
      </c>
      <c r="CJ27" s="1765">
        <v>0</v>
      </c>
      <c r="CK27" s="1765">
        <v>0</v>
      </c>
      <c r="CL27" s="1765">
        <v>0</v>
      </c>
      <c r="CM27" s="1765">
        <v>0</v>
      </c>
      <c r="CN27" s="1765">
        <v>0</v>
      </c>
      <c r="CO27" s="1765">
        <v>0</v>
      </c>
      <c r="CP27" s="1765">
        <v>0</v>
      </c>
    </row>
    <row r="28" spans="1:94" ht="15" customHeight="1" x14ac:dyDescent="0.2">
      <c r="A28" s="1847"/>
      <c r="B28" s="1856"/>
      <c r="C28" s="653" t="s">
        <v>2081</v>
      </c>
      <c r="D28" s="936"/>
      <c r="E28" s="1895"/>
      <c r="F28" s="1225"/>
      <c r="G28" s="1765">
        <v>0</v>
      </c>
      <c r="H28" s="1765">
        <v>0</v>
      </c>
      <c r="I28" s="1765">
        <v>0</v>
      </c>
      <c r="J28" s="1765">
        <v>0</v>
      </c>
      <c r="K28" s="1765">
        <v>0</v>
      </c>
      <c r="L28" s="1765">
        <v>0</v>
      </c>
      <c r="M28" s="1765">
        <v>0</v>
      </c>
      <c r="N28" s="1765">
        <v>0</v>
      </c>
      <c r="O28" s="1765">
        <v>0</v>
      </c>
      <c r="P28" s="1765">
        <v>0</v>
      </c>
      <c r="Q28" s="1765">
        <v>0</v>
      </c>
      <c r="R28" s="1765">
        <v>0</v>
      </c>
      <c r="S28" s="1765">
        <v>0</v>
      </c>
      <c r="T28" s="1765">
        <v>0</v>
      </c>
      <c r="U28" s="1765">
        <v>0</v>
      </c>
      <c r="V28" s="1765">
        <v>0</v>
      </c>
      <c r="W28" s="1765">
        <v>0</v>
      </c>
      <c r="X28" s="1765">
        <v>0</v>
      </c>
      <c r="Y28" s="1765">
        <v>0</v>
      </c>
      <c r="Z28" s="1765">
        <v>0</v>
      </c>
      <c r="AA28" s="1765">
        <v>0</v>
      </c>
      <c r="AB28" s="1765">
        <v>0</v>
      </c>
      <c r="AC28" s="1765">
        <v>0</v>
      </c>
      <c r="AD28" s="1765">
        <v>0</v>
      </c>
      <c r="AE28" s="1765">
        <v>0</v>
      </c>
      <c r="AF28" s="1765">
        <v>0</v>
      </c>
      <c r="AG28" s="1765">
        <v>0</v>
      </c>
      <c r="AH28" s="1765">
        <v>0</v>
      </c>
      <c r="AI28" s="1765">
        <v>0</v>
      </c>
      <c r="AJ28" s="1765">
        <v>0</v>
      </c>
      <c r="AK28" s="1765">
        <v>0</v>
      </c>
      <c r="AL28" s="1765">
        <v>0</v>
      </c>
      <c r="AM28" s="1765">
        <v>0</v>
      </c>
      <c r="AN28" s="1765">
        <v>0</v>
      </c>
      <c r="AO28" s="1765">
        <v>0</v>
      </c>
      <c r="AP28" s="1765">
        <v>0</v>
      </c>
      <c r="AQ28" s="1765">
        <v>0</v>
      </c>
      <c r="AR28" s="1765">
        <v>0</v>
      </c>
      <c r="AS28" s="1765">
        <v>0</v>
      </c>
      <c r="AT28" s="1765">
        <v>0</v>
      </c>
      <c r="AU28" s="1765">
        <v>0</v>
      </c>
      <c r="AV28" s="1765">
        <v>0</v>
      </c>
      <c r="AW28" s="1765">
        <v>0</v>
      </c>
      <c r="AX28" s="1765">
        <v>0</v>
      </c>
      <c r="AY28" s="1765">
        <v>0</v>
      </c>
      <c r="AZ28" s="1765">
        <v>0</v>
      </c>
      <c r="BA28" s="1765">
        <v>0</v>
      </c>
      <c r="BB28" s="1765">
        <v>0</v>
      </c>
      <c r="BC28" s="1765">
        <v>0</v>
      </c>
      <c r="BD28" s="1765">
        <v>0</v>
      </c>
      <c r="BE28" s="1765">
        <v>0</v>
      </c>
      <c r="BF28" s="1765">
        <v>0</v>
      </c>
      <c r="BG28" s="1765">
        <v>0</v>
      </c>
      <c r="BH28" s="1765">
        <v>0</v>
      </c>
      <c r="BI28" s="1765">
        <v>0</v>
      </c>
      <c r="BJ28" s="1765">
        <v>0</v>
      </c>
      <c r="BK28" s="1765">
        <v>0</v>
      </c>
      <c r="BL28" s="1765">
        <v>0</v>
      </c>
      <c r="BM28" s="1765">
        <v>0</v>
      </c>
      <c r="BN28" s="1765">
        <v>0</v>
      </c>
      <c r="BO28" s="1765">
        <v>0</v>
      </c>
      <c r="BP28" s="1765">
        <v>0</v>
      </c>
      <c r="BQ28" s="1765">
        <v>0</v>
      </c>
      <c r="BR28" s="1765">
        <v>0</v>
      </c>
      <c r="BS28" s="1765">
        <v>0</v>
      </c>
      <c r="BT28" s="1765">
        <v>0</v>
      </c>
      <c r="BU28" s="1765">
        <v>0</v>
      </c>
      <c r="BV28" s="1765">
        <v>0</v>
      </c>
      <c r="BW28" s="1765">
        <v>0</v>
      </c>
      <c r="BX28" s="1765">
        <v>0</v>
      </c>
      <c r="BY28" s="1765">
        <v>0</v>
      </c>
      <c r="BZ28" s="1765">
        <v>0</v>
      </c>
      <c r="CA28" s="1765">
        <v>0</v>
      </c>
      <c r="CB28" s="1765">
        <v>0</v>
      </c>
      <c r="CC28" s="1765">
        <v>0</v>
      </c>
      <c r="CD28" s="1765">
        <v>0</v>
      </c>
      <c r="CE28" s="1765">
        <v>0</v>
      </c>
      <c r="CF28" s="1765">
        <v>0</v>
      </c>
      <c r="CG28" s="1765">
        <v>0</v>
      </c>
      <c r="CH28" s="1765">
        <v>0</v>
      </c>
      <c r="CI28" s="1765">
        <v>0</v>
      </c>
      <c r="CJ28" s="1765">
        <v>0</v>
      </c>
      <c r="CK28" s="1765">
        <v>0</v>
      </c>
      <c r="CL28" s="1765">
        <v>0</v>
      </c>
      <c r="CM28" s="1765">
        <v>0</v>
      </c>
      <c r="CN28" s="1765">
        <v>0</v>
      </c>
      <c r="CO28" s="1765">
        <v>0</v>
      </c>
      <c r="CP28" s="1765">
        <v>0</v>
      </c>
    </row>
    <row r="29" spans="1:94" ht="15" customHeight="1" x14ac:dyDescent="0.2">
      <c r="A29" s="1847"/>
      <c r="B29" s="1856"/>
      <c r="C29" s="653" t="s">
        <v>2082</v>
      </c>
      <c r="D29" s="936"/>
      <c r="E29" s="1895"/>
      <c r="F29" s="1225"/>
      <c r="G29" s="1765">
        <v>0</v>
      </c>
      <c r="H29" s="1765">
        <v>0</v>
      </c>
      <c r="I29" s="1765">
        <v>0</v>
      </c>
      <c r="J29" s="1765">
        <v>0</v>
      </c>
      <c r="K29" s="1765">
        <v>0</v>
      </c>
      <c r="L29" s="1765">
        <v>0</v>
      </c>
      <c r="M29" s="1765">
        <v>0</v>
      </c>
      <c r="N29" s="1765">
        <v>0</v>
      </c>
      <c r="O29" s="1765">
        <v>0</v>
      </c>
      <c r="P29" s="1765">
        <v>0</v>
      </c>
      <c r="Q29" s="1765">
        <v>0</v>
      </c>
      <c r="R29" s="1765">
        <v>0</v>
      </c>
      <c r="S29" s="1765">
        <v>0</v>
      </c>
      <c r="T29" s="1765">
        <v>0</v>
      </c>
      <c r="U29" s="1765">
        <v>0</v>
      </c>
      <c r="V29" s="1765">
        <v>0</v>
      </c>
      <c r="W29" s="1765">
        <v>0</v>
      </c>
      <c r="X29" s="1765">
        <v>0</v>
      </c>
      <c r="Y29" s="1765">
        <v>0</v>
      </c>
      <c r="Z29" s="1765">
        <v>0</v>
      </c>
      <c r="AA29" s="1765">
        <v>0</v>
      </c>
      <c r="AB29" s="1765">
        <v>0</v>
      </c>
      <c r="AC29" s="1765">
        <v>0</v>
      </c>
      <c r="AD29" s="1765">
        <v>0</v>
      </c>
      <c r="AE29" s="1765">
        <v>0</v>
      </c>
      <c r="AF29" s="1765">
        <v>0</v>
      </c>
      <c r="AG29" s="1765">
        <v>0</v>
      </c>
      <c r="AH29" s="1765">
        <v>0</v>
      </c>
      <c r="AI29" s="1765">
        <v>0</v>
      </c>
      <c r="AJ29" s="1765">
        <v>0</v>
      </c>
      <c r="AK29" s="1765">
        <v>0</v>
      </c>
      <c r="AL29" s="1765">
        <v>0</v>
      </c>
      <c r="AM29" s="1765">
        <v>0</v>
      </c>
      <c r="AN29" s="1765">
        <v>0</v>
      </c>
      <c r="AO29" s="1765">
        <v>0</v>
      </c>
      <c r="AP29" s="1765">
        <v>0</v>
      </c>
      <c r="AQ29" s="1765">
        <v>0</v>
      </c>
      <c r="AR29" s="1765">
        <v>0</v>
      </c>
      <c r="AS29" s="1765">
        <v>0</v>
      </c>
      <c r="AT29" s="1765">
        <v>0</v>
      </c>
      <c r="AU29" s="1765">
        <v>0</v>
      </c>
      <c r="AV29" s="1765">
        <v>0</v>
      </c>
      <c r="AW29" s="1765">
        <v>0</v>
      </c>
      <c r="AX29" s="1765">
        <v>0</v>
      </c>
      <c r="AY29" s="1765">
        <v>0</v>
      </c>
      <c r="AZ29" s="1765">
        <v>0</v>
      </c>
      <c r="BA29" s="1765">
        <v>0</v>
      </c>
      <c r="BB29" s="1765">
        <v>0</v>
      </c>
      <c r="BC29" s="1765">
        <v>0</v>
      </c>
      <c r="BD29" s="1765">
        <v>0</v>
      </c>
      <c r="BE29" s="1765">
        <v>0</v>
      </c>
      <c r="BF29" s="1765">
        <v>0</v>
      </c>
      <c r="BG29" s="1765">
        <v>0</v>
      </c>
      <c r="BH29" s="1765">
        <v>0</v>
      </c>
      <c r="BI29" s="1765">
        <v>0</v>
      </c>
      <c r="BJ29" s="1765">
        <v>0</v>
      </c>
      <c r="BK29" s="1765">
        <v>0</v>
      </c>
      <c r="BL29" s="1765">
        <v>0</v>
      </c>
      <c r="BM29" s="1765">
        <v>0</v>
      </c>
      <c r="BN29" s="1765">
        <v>0</v>
      </c>
      <c r="BO29" s="1765">
        <v>0</v>
      </c>
      <c r="BP29" s="1765">
        <v>0</v>
      </c>
      <c r="BQ29" s="1765">
        <v>0</v>
      </c>
      <c r="BR29" s="1765">
        <v>0</v>
      </c>
      <c r="BS29" s="1765">
        <v>0</v>
      </c>
      <c r="BT29" s="1765">
        <v>0</v>
      </c>
      <c r="BU29" s="1765">
        <v>0</v>
      </c>
      <c r="BV29" s="1765">
        <v>0</v>
      </c>
      <c r="BW29" s="1765">
        <v>0</v>
      </c>
      <c r="BX29" s="1765">
        <v>0</v>
      </c>
      <c r="BY29" s="1765">
        <v>0</v>
      </c>
      <c r="BZ29" s="1765">
        <v>0</v>
      </c>
      <c r="CA29" s="1765">
        <v>0</v>
      </c>
      <c r="CB29" s="1765">
        <v>0</v>
      </c>
      <c r="CC29" s="1765">
        <v>0</v>
      </c>
      <c r="CD29" s="1765">
        <v>0</v>
      </c>
      <c r="CE29" s="1765">
        <v>0</v>
      </c>
      <c r="CF29" s="1765">
        <v>0</v>
      </c>
      <c r="CG29" s="1765">
        <v>0</v>
      </c>
      <c r="CH29" s="1765">
        <v>0</v>
      </c>
      <c r="CI29" s="1765">
        <v>0</v>
      </c>
      <c r="CJ29" s="1765">
        <v>0</v>
      </c>
      <c r="CK29" s="1765">
        <v>0</v>
      </c>
      <c r="CL29" s="1765">
        <v>0</v>
      </c>
      <c r="CM29" s="1765">
        <v>0</v>
      </c>
      <c r="CN29" s="1765">
        <v>0</v>
      </c>
      <c r="CO29" s="1765">
        <v>0</v>
      </c>
      <c r="CP29" s="1765">
        <v>0</v>
      </c>
    </row>
    <row r="30" spans="1:94" ht="15" customHeight="1" x14ac:dyDescent="0.2">
      <c r="A30" s="1847"/>
      <c r="B30" s="1856"/>
      <c r="C30" s="653" t="s">
        <v>2083</v>
      </c>
      <c r="D30" s="936"/>
      <c r="E30" s="1895"/>
      <c r="F30" s="1225"/>
      <c r="G30" s="1765">
        <v>0</v>
      </c>
      <c r="H30" s="1765">
        <v>0</v>
      </c>
      <c r="I30" s="1765">
        <v>0</v>
      </c>
      <c r="J30" s="1765">
        <v>0</v>
      </c>
      <c r="K30" s="1765">
        <v>0</v>
      </c>
      <c r="L30" s="1765">
        <v>0</v>
      </c>
      <c r="M30" s="1765">
        <v>0</v>
      </c>
      <c r="N30" s="1765">
        <v>0</v>
      </c>
      <c r="O30" s="1765">
        <v>0</v>
      </c>
      <c r="P30" s="1765">
        <v>0</v>
      </c>
      <c r="Q30" s="1765">
        <v>0</v>
      </c>
      <c r="R30" s="1765">
        <v>0</v>
      </c>
      <c r="S30" s="1765">
        <v>0</v>
      </c>
      <c r="T30" s="1765">
        <v>0</v>
      </c>
      <c r="U30" s="1765">
        <v>0</v>
      </c>
      <c r="V30" s="1765">
        <v>0</v>
      </c>
      <c r="W30" s="1765">
        <v>0</v>
      </c>
      <c r="X30" s="1765">
        <v>0</v>
      </c>
      <c r="Y30" s="1765">
        <v>0</v>
      </c>
      <c r="Z30" s="1765">
        <v>0</v>
      </c>
      <c r="AA30" s="1765">
        <v>0</v>
      </c>
      <c r="AB30" s="1765">
        <v>0</v>
      </c>
      <c r="AC30" s="1765">
        <v>0</v>
      </c>
      <c r="AD30" s="1765">
        <v>0</v>
      </c>
      <c r="AE30" s="1765">
        <v>0</v>
      </c>
      <c r="AF30" s="1765">
        <v>0</v>
      </c>
      <c r="AG30" s="1765">
        <v>0</v>
      </c>
      <c r="AH30" s="1765">
        <v>0</v>
      </c>
      <c r="AI30" s="1765">
        <v>0</v>
      </c>
      <c r="AJ30" s="1765">
        <v>0</v>
      </c>
      <c r="AK30" s="1765">
        <v>0</v>
      </c>
      <c r="AL30" s="1765">
        <v>0</v>
      </c>
      <c r="AM30" s="1765">
        <v>0</v>
      </c>
      <c r="AN30" s="1765">
        <v>0</v>
      </c>
      <c r="AO30" s="1765">
        <v>0</v>
      </c>
      <c r="AP30" s="1765">
        <v>0</v>
      </c>
      <c r="AQ30" s="1765">
        <v>0</v>
      </c>
      <c r="AR30" s="1765">
        <v>0</v>
      </c>
      <c r="AS30" s="1765">
        <v>0</v>
      </c>
      <c r="AT30" s="1765">
        <v>0</v>
      </c>
      <c r="AU30" s="1765">
        <v>0</v>
      </c>
      <c r="AV30" s="1765">
        <v>0</v>
      </c>
      <c r="AW30" s="1765">
        <v>0</v>
      </c>
      <c r="AX30" s="1765">
        <v>0</v>
      </c>
      <c r="AY30" s="1765">
        <v>0</v>
      </c>
      <c r="AZ30" s="1765">
        <v>0</v>
      </c>
      <c r="BA30" s="1765">
        <v>0</v>
      </c>
      <c r="BB30" s="1765">
        <v>0</v>
      </c>
      <c r="BC30" s="1765">
        <v>0</v>
      </c>
      <c r="BD30" s="1765">
        <v>0</v>
      </c>
      <c r="BE30" s="1765">
        <v>0</v>
      </c>
      <c r="BF30" s="1765">
        <v>0</v>
      </c>
      <c r="BG30" s="1765">
        <v>0</v>
      </c>
      <c r="BH30" s="1765">
        <v>0</v>
      </c>
      <c r="BI30" s="1765">
        <v>0</v>
      </c>
      <c r="BJ30" s="1765">
        <v>0</v>
      </c>
      <c r="BK30" s="1765">
        <v>0</v>
      </c>
      <c r="BL30" s="1765">
        <v>0</v>
      </c>
      <c r="BM30" s="1765">
        <v>0</v>
      </c>
      <c r="BN30" s="1765">
        <v>0</v>
      </c>
      <c r="BO30" s="1765">
        <v>0</v>
      </c>
      <c r="BP30" s="1765">
        <v>0</v>
      </c>
      <c r="BQ30" s="1765">
        <v>0</v>
      </c>
      <c r="BR30" s="1765">
        <v>0</v>
      </c>
      <c r="BS30" s="1765">
        <v>0</v>
      </c>
      <c r="BT30" s="1765">
        <v>0</v>
      </c>
      <c r="BU30" s="1765">
        <v>0</v>
      </c>
      <c r="BV30" s="1765">
        <v>0</v>
      </c>
      <c r="BW30" s="1765">
        <v>0</v>
      </c>
      <c r="BX30" s="1765">
        <v>0</v>
      </c>
      <c r="BY30" s="1765">
        <v>0</v>
      </c>
      <c r="BZ30" s="1765">
        <v>0</v>
      </c>
      <c r="CA30" s="1765">
        <v>0</v>
      </c>
      <c r="CB30" s="1765">
        <v>0</v>
      </c>
      <c r="CC30" s="1765">
        <v>0</v>
      </c>
      <c r="CD30" s="1765">
        <v>0</v>
      </c>
      <c r="CE30" s="1765">
        <v>0</v>
      </c>
      <c r="CF30" s="1765">
        <v>0</v>
      </c>
      <c r="CG30" s="1765">
        <v>0</v>
      </c>
      <c r="CH30" s="1765">
        <v>0</v>
      </c>
      <c r="CI30" s="1765">
        <v>0</v>
      </c>
      <c r="CJ30" s="1765">
        <v>0</v>
      </c>
      <c r="CK30" s="1765">
        <v>0</v>
      </c>
      <c r="CL30" s="1765">
        <v>0</v>
      </c>
      <c r="CM30" s="1765">
        <v>0</v>
      </c>
      <c r="CN30" s="1765">
        <v>0</v>
      </c>
      <c r="CO30" s="1765">
        <v>0</v>
      </c>
      <c r="CP30" s="1765">
        <v>0</v>
      </c>
    </row>
    <row r="31" spans="1:94" ht="15" customHeight="1" x14ac:dyDescent="0.2">
      <c r="A31" s="1847"/>
      <c r="B31" s="1856"/>
      <c r="C31" s="653" t="s">
        <v>2084</v>
      </c>
      <c r="D31" s="936"/>
      <c r="E31" s="1895"/>
      <c r="F31" s="1225"/>
      <c r="G31" s="1765">
        <v>0</v>
      </c>
      <c r="H31" s="1765">
        <v>0</v>
      </c>
      <c r="I31" s="1765">
        <v>0</v>
      </c>
      <c r="J31" s="1765">
        <v>0</v>
      </c>
      <c r="K31" s="1765">
        <v>0</v>
      </c>
      <c r="L31" s="1765">
        <v>0</v>
      </c>
      <c r="M31" s="1765">
        <v>0</v>
      </c>
      <c r="N31" s="1765">
        <v>0</v>
      </c>
      <c r="O31" s="1765">
        <v>0</v>
      </c>
      <c r="P31" s="1765">
        <v>0</v>
      </c>
      <c r="Q31" s="1765">
        <v>0</v>
      </c>
      <c r="R31" s="1765">
        <v>0</v>
      </c>
      <c r="S31" s="1765">
        <v>0</v>
      </c>
      <c r="T31" s="1765">
        <v>0</v>
      </c>
      <c r="U31" s="1765">
        <v>0</v>
      </c>
      <c r="V31" s="1765">
        <v>0</v>
      </c>
      <c r="W31" s="1765">
        <v>0</v>
      </c>
      <c r="X31" s="1765">
        <v>0</v>
      </c>
      <c r="Y31" s="1765">
        <v>0</v>
      </c>
      <c r="Z31" s="1765">
        <v>0</v>
      </c>
      <c r="AA31" s="1765">
        <v>0</v>
      </c>
      <c r="AB31" s="1765">
        <v>0</v>
      </c>
      <c r="AC31" s="1765">
        <v>0</v>
      </c>
      <c r="AD31" s="1765">
        <v>0</v>
      </c>
      <c r="AE31" s="1765">
        <v>0</v>
      </c>
      <c r="AF31" s="1765">
        <v>0</v>
      </c>
      <c r="AG31" s="1765">
        <v>0</v>
      </c>
      <c r="AH31" s="1765">
        <v>0</v>
      </c>
      <c r="AI31" s="1765">
        <v>0</v>
      </c>
      <c r="AJ31" s="1765">
        <v>0</v>
      </c>
      <c r="AK31" s="1765">
        <v>0</v>
      </c>
      <c r="AL31" s="1765">
        <v>0</v>
      </c>
      <c r="AM31" s="1765">
        <v>0</v>
      </c>
      <c r="AN31" s="1765">
        <v>0</v>
      </c>
      <c r="AO31" s="1765">
        <v>0</v>
      </c>
      <c r="AP31" s="1765">
        <v>0</v>
      </c>
      <c r="AQ31" s="1765">
        <v>0</v>
      </c>
      <c r="AR31" s="1765">
        <v>0</v>
      </c>
      <c r="AS31" s="1765">
        <v>0</v>
      </c>
      <c r="AT31" s="1765">
        <v>0</v>
      </c>
      <c r="AU31" s="1765">
        <v>0</v>
      </c>
      <c r="AV31" s="1765">
        <v>0</v>
      </c>
      <c r="AW31" s="1765">
        <v>0</v>
      </c>
      <c r="AX31" s="1765">
        <v>0</v>
      </c>
      <c r="AY31" s="1765">
        <v>0</v>
      </c>
      <c r="AZ31" s="1765">
        <v>0</v>
      </c>
      <c r="BA31" s="1765">
        <v>0</v>
      </c>
      <c r="BB31" s="1765">
        <v>0</v>
      </c>
      <c r="BC31" s="1765">
        <v>0</v>
      </c>
      <c r="BD31" s="1765">
        <v>0</v>
      </c>
      <c r="BE31" s="1765">
        <v>0</v>
      </c>
      <c r="BF31" s="1765">
        <v>0</v>
      </c>
      <c r="BG31" s="1765">
        <v>0</v>
      </c>
      <c r="BH31" s="1765">
        <v>0</v>
      </c>
      <c r="BI31" s="1765">
        <v>0</v>
      </c>
      <c r="BJ31" s="1765">
        <v>0</v>
      </c>
      <c r="BK31" s="1765">
        <v>0</v>
      </c>
      <c r="BL31" s="1765">
        <v>0</v>
      </c>
      <c r="BM31" s="1765">
        <v>0</v>
      </c>
      <c r="BN31" s="1765">
        <v>0</v>
      </c>
      <c r="BO31" s="1765">
        <v>0</v>
      </c>
      <c r="BP31" s="1765">
        <v>0</v>
      </c>
      <c r="BQ31" s="1765">
        <v>0</v>
      </c>
      <c r="BR31" s="1765">
        <v>0</v>
      </c>
      <c r="BS31" s="1765">
        <v>0</v>
      </c>
      <c r="BT31" s="1765">
        <v>0</v>
      </c>
      <c r="BU31" s="1765">
        <v>0</v>
      </c>
      <c r="BV31" s="1765">
        <v>0</v>
      </c>
      <c r="BW31" s="1765">
        <v>0</v>
      </c>
      <c r="BX31" s="1765">
        <v>0</v>
      </c>
      <c r="BY31" s="1765">
        <v>0</v>
      </c>
      <c r="BZ31" s="1765">
        <v>0</v>
      </c>
      <c r="CA31" s="1765">
        <v>0</v>
      </c>
      <c r="CB31" s="1765">
        <v>0</v>
      </c>
      <c r="CC31" s="1765">
        <v>0</v>
      </c>
      <c r="CD31" s="1765">
        <v>0</v>
      </c>
      <c r="CE31" s="1765">
        <v>0</v>
      </c>
      <c r="CF31" s="1765">
        <v>0</v>
      </c>
      <c r="CG31" s="1765">
        <v>0</v>
      </c>
      <c r="CH31" s="1765">
        <v>0</v>
      </c>
      <c r="CI31" s="1765">
        <v>0</v>
      </c>
      <c r="CJ31" s="1765">
        <v>0</v>
      </c>
      <c r="CK31" s="1765">
        <v>0</v>
      </c>
      <c r="CL31" s="1765">
        <v>0</v>
      </c>
      <c r="CM31" s="1765">
        <v>0</v>
      </c>
      <c r="CN31" s="1765">
        <v>0</v>
      </c>
      <c r="CO31" s="1765">
        <v>0</v>
      </c>
      <c r="CP31" s="1765">
        <v>0</v>
      </c>
    </row>
    <row r="32" spans="1:94" ht="15" customHeight="1" x14ac:dyDescent="0.2">
      <c r="A32" s="1847"/>
      <c r="B32" s="1856"/>
      <c r="C32" s="653" t="s">
        <v>2085</v>
      </c>
      <c r="D32" s="936"/>
      <c r="E32" s="1895"/>
      <c r="F32" s="1225"/>
      <c r="G32" s="1765">
        <v>0</v>
      </c>
      <c r="H32" s="1765">
        <v>0</v>
      </c>
      <c r="I32" s="1765">
        <v>0</v>
      </c>
      <c r="J32" s="1765">
        <v>0</v>
      </c>
      <c r="K32" s="1765">
        <v>0</v>
      </c>
      <c r="L32" s="1765">
        <v>0</v>
      </c>
      <c r="M32" s="1765">
        <v>0</v>
      </c>
      <c r="N32" s="1765">
        <v>0</v>
      </c>
      <c r="O32" s="1765">
        <v>0</v>
      </c>
      <c r="P32" s="1765">
        <v>0</v>
      </c>
      <c r="Q32" s="1765">
        <v>0</v>
      </c>
      <c r="R32" s="1765">
        <v>0</v>
      </c>
      <c r="S32" s="1765">
        <v>0</v>
      </c>
      <c r="T32" s="1765">
        <v>0</v>
      </c>
      <c r="U32" s="1765">
        <v>0</v>
      </c>
      <c r="V32" s="1765">
        <v>0</v>
      </c>
      <c r="W32" s="1765">
        <v>0</v>
      </c>
      <c r="X32" s="1765">
        <v>0</v>
      </c>
      <c r="Y32" s="1765">
        <v>0</v>
      </c>
      <c r="Z32" s="1765">
        <v>0</v>
      </c>
      <c r="AA32" s="1765">
        <v>0</v>
      </c>
      <c r="AB32" s="1765">
        <v>0</v>
      </c>
      <c r="AC32" s="1765">
        <v>0</v>
      </c>
      <c r="AD32" s="1765">
        <v>0</v>
      </c>
      <c r="AE32" s="1765">
        <v>0</v>
      </c>
      <c r="AF32" s="1765">
        <v>0</v>
      </c>
      <c r="AG32" s="1765">
        <v>0</v>
      </c>
      <c r="AH32" s="1765">
        <v>0</v>
      </c>
      <c r="AI32" s="1765">
        <v>0</v>
      </c>
      <c r="AJ32" s="1765">
        <v>0</v>
      </c>
      <c r="AK32" s="1765">
        <v>0</v>
      </c>
      <c r="AL32" s="1765">
        <v>0</v>
      </c>
      <c r="AM32" s="1765">
        <v>0</v>
      </c>
      <c r="AN32" s="1765">
        <v>0</v>
      </c>
      <c r="AO32" s="1765">
        <v>0</v>
      </c>
      <c r="AP32" s="1765">
        <v>0</v>
      </c>
      <c r="AQ32" s="1765">
        <v>0</v>
      </c>
      <c r="AR32" s="1765">
        <v>0</v>
      </c>
      <c r="AS32" s="1765">
        <v>0</v>
      </c>
      <c r="AT32" s="1765">
        <v>0</v>
      </c>
      <c r="AU32" s="1765">
        <v>0</v>
      </c>
      <c r="AV32" s="1765">
        <v>0</v>
      </c>
      <c r="AW32" s="1765">
        <v>0</v>
      </c>
      <c r="AX32" s="1765">
        <v>0</v>
      </c>
      <c r="AY32" s="1765">
        <v>0</v>
      </c>
      <c r="AZ32" s="1765">
        <v>0</v>
      </c>
      <c r="BA32" s="1765">
        <v>0</v>
      </c>
      <c r="BB32" s="1765">
        <v>0</v>
      </c>
      <c r="BC32" s="1765">
        <v>0</v>
      </c>
      <c r="BD32" s="1765">
        <v>0</v>
      </c>
      <c r="BE32" s="1765">
        <v>0</v>
      </c>
      <c r="BF32" s="1765">
        <v>0</v>
      </c>
      <c r="BG32" s="1765">
        <v>0</v>
      </c>
      <c r="BH32" s="1765">
        <v>0</v>
      </c>
      <c r="BI32" s="1765">
        <v>0</v>
      </c>
      <c r="BJ32" s="1765">
        <v>0</v>
      </c>
      <c r="BK32" s="1765">
        <v>0</v>
      </c>
      <c r="BL32" s="1765">
        <v>0</v>
      </c>
      <c r="BM32" s="1765">
        <v>0</v>
      </c>
      <c r="BN32" s="1765">
        <v>0</v>
      </c>
      <c r="BO32" s="1765">
        <v>0</v>
      </c>
      <c r="BP32" s="1765">
        <v>0</v>
      </c>
      <c r="BQ32" s="1765">
        <v>0</v>
      </c>
      <c r="BR32" s="1765">
        <v>0</v>
      </c>
      <c r="BS32" s="1765">
        <v>0</v>
      </c>
      <c r="BT32" s="1765">
        <v>0</v>
      </c>
      <c r="BU32" s="1765">
        <v>0</v>
      </c>
      <c r="BV32" s="1765">
        <v>0</v>
      </c>
      <c r="BW32" s="1765">
        <v>0</v>
      </c>
      <c r="BX32" s="1765">
        <v>0</v>
      </c>
      <c r="BY32" s="1765">
        <v>0</v>
      </c>
      <c r="BZ32" s="1765">
        <v>0</v>
      </c>
      <c r="CA32" s="1765">
        <v>0</v>
      </c>
      <c r="CB32" s="1765">
        <v>0</v>
      </c>
      <c r="CC32" s="1765">
        <v>0</v>
      </c>
      <c r="CD32" s="1765">
        <v>0</v>
      </c>
      <c r="CE32" s="1765">
        <v>0</v>
      </c>
      <c r="CF32" s="1765">
        <v>0</v>
      </c>
      <c r="CG32" s="1765">
        <v>0</v>
      </c>
      <c r="CH32" s="1765">
        <v>0</v>
      </c>
      <c r="CI32" s="1765">
        <v>0</v>
      </c>
      <c r="CJ32" s="1765">
        <v>0</v>
      </c>
      <c r="CK32" s="1765">
        <v>0</v>
      </c>
      <c r="CL32" s="1765">
        <v>0</v>
      </c>
      <c r="CM32" s="1765">
        <v>0</v>
      </c>
      <c r="CN32" s="1765">
        <v>0</v>
      </c>
      <c r="CO32" s="1765">
        <v>0</v>
      </c>
      <c r="CP32" s="1765">
        <v>0</v>
      </c>
    </row>
    <row r="33" spans="1:94" ht="15" customHeight="1" thickBot="1" x14ac:dyDescent="0.25">
      <c r="A33" s="1848"/>
      <c r="B33" s="1857"/>
      <c r="C33" s="800" t="s">
        <v>2086</v>
      </c>
      <c r="D33" s="936"/>
      <c r="E33" s="1896"/>
      <c r="F33" s="1225"/>
      <c r="G33" s="1765">
        <v>0</v>
      </c>
      <c r="H33" s="1765">
        <v>0</v>
      </c>
      <c r="I33" s="1765">
        <v>0</v>
      </c>
      <c r="J33" s="1765">
        <v>0</v>
      </c>
      <c r="K33" s="1765">
        <v>0</v>
      </c>
      <c r="L33" s="1765">
        <v>0</v>
      </c>
      <c r="M33" s="1765">
        <v>0</v>
      </c>
      <c r="N33" s="1765">
        <v>0</v>
      </c>
      <c r="O33" s="1765">
        <v>0</v>
      </c>
      <c r="P33" s="1765">
        <v>0</v>
      </c>
      <c r="Q33" s="1765">
        <v>0</v>
      </c>
      <c r="R33" s="1765">
        <v>0</v>
      </c>
      <c r="S33" s="1765">
        <v>0</v>
      </c>
      <c r="T33" s="1765">
        <v>0</v>
      </c>
      <c r="U33" s="1765">
        <v>0</v>
      </c>
      <c r="V33" s="1765">
        <v>0</v>
      </c>
      <c r="W33" s="1765">
        <v>0</v>
      </c>
      <c r="X33" s="1765">
        <v>0</v>
      </c>
      <c r="Y33" s="1765">
        <v>0</v>
      </c>
      <c r="Z33" s="1765">
        <v>0</v>
      </c>
      <c r="AA33" s="1765">
        <v>0</v>
      </c>
      <c r="AB33" s="1765">
        <v>0</v>
      </c>
      <c r="AC33" s="1765">
        <v>0</v>
      </c>
      <c r="AD33" s="1765">
        <v>0</v>
      </c>
      <c r="AE33" s="1765">
        <v>0</v>
      </c>
      <c r="AF33" s="1765">
        <v>0</v>
      </c>
      <c r="AG33" s="1765">
        <v>0</v>
      </c>
      <c r="AH33" s="1765">
        <v>0</v>
      </c>
      <c r="AI33" s="1765">
        <v>0</v>
      </c>
      <c r="AJ33" s="1765">
        <v>0</v>
      </c>
      <c r="AK33" s="1765">
        <v>0</v>
      </c>
      <c r="AL33" s="1765">
        <v>0</v>
      </c>
      <c r="AM33" s="1765">
        <v>0</v>
      </c>
      <c r="AN33" s="1765">
        <v>0</v>
      </c>
      <c r="AO33" s="1765">
        <v>0</v>
      </c>
      <c r="AP33" s="1765">
        <v>0</v>
      </c>
      <c r="AQ33" s="1765">
        <v>0</v>
      </c>
      <c r="AR33" s="1765">
        <v>0</v>
      </c>
      <c r="AS33" s="1765">
        <v>0</v>
      </c>
      <c r="AT33" s="1765">
        <v>0</v>
      </c>
      <c r="AU33" s="1765">
        <v>0</v>
      </c>
      <c r="AV33" s="1765">
        <v>0</v>
      </c>
      <c r="AW33" s="1765">
        <v>0</v>
      </c>
      <c r="AX33" s="1765">
        <v>0</v>
      </c>
      <c r="AY33" s="1765">
        <v>0</v>
      </c>
      <c r="AZ33" s="1765">
        <v>0</v>
      </c>
      <c r="BA33" s="1765">
        <v>0</v>
      </c>
      <c r="BB33" s="1765">
        <v>0</v>
      </c>
      <c r="BC33" s="1765">
        <v>0</v>
      </c>
      <c r="BD33" s="1765">
        <v>0</v>
      </c>
      <c r="BE33" s="1765">
        <v>0</v>
      </c>
      <c r="BF33" s="1765">
        <v>0</v>
      </c>
      <c r="BG33" s="1765">
        <v>0</v>
      </c>
      <c r="BH33" s="1765">
        <v>0</v>
      </c>
      <c r="BI33" s="1765">
        <v>0</v>
      </c>
      <c r="BJ33" s="1765">
        <v>0</v>
      </c>
      <c r="BK33" s="1765">
        <v>0</v>
      </c>
      <c r="BL33" s="1765">
        <v>0</v>
      </c>
      <c r="BM33" s="1765">
        <v>0</v>
      </c>
      <c r="BN33" s="1765">
        <v>0</v>
      </c>
      <c r="BO33" s="1765">
        <v>0</v>
      </c>
      <c r="BP33" s="1765">
        <v>0</v>
      </c>
      <c r="BQ33" s="1765">
        <v>0</v>
      </c>
      <c r="BR33" s="1765">
        <v>0</v>
      </c>
      <c r="BS33" s="1765">
        <v>0</v>
      </c>
      <c r="BT33" s="1765">
        <v>0</v>
      </c>
      <c r="BU33" s="1765">
        <v>0</v>
      </c>
      <c r="BV33" s="1765">
        <v>0</v>
      </c>
      <c r="BW33" s="1765">
        <v>0</v>
      </c>
      <c r="BX33" s="1765">
        <v>0</v>
      </c>
      <c r="BY33" s="1765">
        <v>0</v>
      </c>
      <c r="BZ33" s="1765">
        <v>0</v>
      </c>
      <c r="CA33" s="1765">
        <v>0</v>
      </c>
      <c r="CB33" s="1765">
        <v>0</v>
      </c>
      <c r="CC33" s="1765">
        <v>0</v>
      </c>
      <c r="CD33" s="1765">
        <v>0</v>
      </c>
      <c r="CE33" s="1765">
        <v>0</v>
      </c>
      <c r="CF33" s="1765">
        <v>0</v>
      </c>
      <c r="CG33" s="1765">
        <v>0</v>
      </c>
      <c r="CH33" s="1765">
        <v>0</v>
      </c>
      <c r="CI33" s="1765">
        <v>0</v>
      </c>
      <c r="CJ33" s="1765">
        <v>0</v>
      </c>
      <c r="CK33" s="1765">
        <v>0</v>
      </c>
      <c r="CL33" s="1765">
        <v>0</v>
      </c>
      <c r="CM33" s="1765">
        <v>0</v>
      </c>
      <c r="CN33" s="1765">
        <v>0</v>
      </c>
      <c r="CO33" s="1765">
        <v>0</v>
      </c>
      <c r="CP33" s="1765">
        <v>0</v>
      </c>
    </row>
    <row r="34" spans="1:94" ht="23.25" customHeight="1" thickBot="1" x14ac:dyDescent="0.25">
      <c r="A34" s="1849" t="s">
        <v>1280</v>
      </c>
      <c r="B34" s="1846" t="s">
        <v>2248</v>
      </c>
      <c r="C34" s="1776" t="s">
        <v>2242</v>
      </c>
      <c r="D34" s="947"/>
      <c r="E34" s="1830" t="s">
        <v>1833</v>
      </c>
      <c r="F34" s="1225"/>
      <c r="G34" s="1742"/>
      <c r="H34" s="1742"/>
      <c r="I34" s="1742"/>
      <c r="J34" s="1742"/>
      <c r="K34" s="1742"/>
      <c r="L34" s="1742"/>
      <c r="M34" s="1742"/>
      <c r="N34" s="1742"/>
      <c r="O34" s="1742"/>
      <c r="P34" s="1742"/>
      <c r="Q34" s="1742"/>
      <c r="R34" s="1742"/>
      <c r="S34" s="1742"/>
      <c r="T34" s="1742"/>
      <c r="U34" s="1742"/>
      <c r="V34" s="1742"/>
      <c r="W34" s="1742"/>
      <c r="X34" s="1742"/>
      <c r="Y34" s="1742"/>
      <c r="Z34" s="1742"/>
      <c r="AA34" s="1742"/>
      <c r="AB34" s="1742"/>
      <c r="AC34" s="1742"/>
      <c r="AD34" s="1742"/>
      <c r="AE34" s="1742"/>
      <c r="AF34" s="1742"/>
      <c r="AG34" s="1742"/>
      <c r="AH34" s="1742"/>
      <c r="AI34" s="1742"/>
      <c r="AJ34" s="1742"/>
      <c r="AK34" s="1742"/>
      <c r="AL34" s="1742"/>
      <c r="AM34" s="1742"/>
      <c r="AN34" s="1742"/>
      <c r="AO34" s="1742"/>
      <c r="AP34" s="1742"/>
      <c r="AQ34" s="1742"/>
      <c r="AR34" s="1742"/>
      <c r="AS34" s="1742"/>
      <c r="AT34" s="1742"/>
      <c r="AU34" s="1742"/>
      <c r="AV34" s="1742"/>
      <c r="AW34" s="1742"/>
      <c r="AX34" s="1742"/>
      <c r="AY34" s="1742"/>
      <c r="AZ34" s="1742"/>
      <c r="BA34" s="1742"/>
      <c r="BB34" s="1742"/>
      <c r="BC34" s="1742"/>
      <c r="BD34" s="1742"/>
      <c r="BE34" s="1742"/>
      <c r="BF34" s="1742"/>
      <c r="BG34" s="1742"/>
      <c r="BH34" s="1742"/>
      <c r="BI34" s="1742"/>
      <c r="BJ34" s="1742"/>
      <c r="BK34" s="1742"/>
      <c r="BL34" s="1742"/>
      <c r="BM34" s="1742"/>
      <c r="BN34" s="1742"/>
      <c r="BO34" s="1742"/>
      <c r="BP34" s="1742"/>
      <c r="BQ34" s="1742"/>
      <c r="BR34" s="1742"/>
      <c r="BS34" s="1742"/>
      <c r="BT34" s="1742"/>
      <c r="BU34" s="1742"/>
      <c r="BV34" s="1742"/>
      <c r="BW34" s="1742"/>
      <c r="BX34" s="1742"/>
      <c r="BY34" s="1742"/>
      <c r="BZ34" s="1742"/>
      <c r="CA34" s="1742"/>
      <c r="CB34" s="1742"/>
      <c r="CC34" s="1742"/>
      <c r="CD34" s="1742"/>
      <c r="CE34" s="1742"/>
      <c r="CF34" s="1742"/>
      <c r="CG34" s="1742"/>
      <c r="CH34" s="1742"/>
      <c r="CI34" s="1742"/>
      <c r="CJ34" s="1742"/>
      <c r="CK34" s="1742"/>
      <c r="CL34" s="1742"/>
      <c r="CM34" s="1742"/>
      <c r="CN34" s="1742"/>
      <c r="CO34" s="1742"/>
      <c r="CP34" s="1742"/>
    </row>
    <row r="35" spans="1:94" ht="42" customHeight="1" x14ac:dyDescent="0.2">
      <c r="A35" s="1847"/>
      <c r="B35" s="1856"/>
      <c r="C35" s="1279" t="s">
        <v>2348</v>
      </c>
      <c r="D35" s="947"/>
      <c r="E35" s="1831"/>
      <c r="F35" s="1225"/>
      <c r="G35" s="1742"/>
      <c r="H35" s="1742"/>
      <c r="I35" s="1742"/>
      <c r="J35" s="1742"/>
      <c r="K35" s="1742"/>
      <c r="L35" s="1742"/>
      <c r="M35" s="1742"/>
      <c r="N35" s="1742"/>
      <c r="O35" s="1742"/>
      <c r="P35" s="1742"/>
      <c r="Q35" s="1742"/>
      <c r="R35" s="1742"/>
      <c r="S35" s="1742"/>
      <c r="T35" s="1742"/>
      <c r="U35" s="1742"/>
      <c r="V35" s="1742"/>
      <c r="W35" s="1742"/>
      <c r="X35" s="1742"/>
      <c r="Y35" s="1742"/>
      <c r="Z35" s="1742"/>
      <c r="AA35" s="1742"/>
      <c r="AB35" s="1742"/>
      <c r="AC35" s="1742"/>
      <c r="AD35" s="1742"/>
      <c r="AE35" s="1742"/>
      <c r="AF35" s="1742"/>
      <c r="AG35" s="1742"/>
      <c r="AH35" s="1742"/>
      <c r="AI35" s="1742"/>
      <c r="AJ35" s="1742"/>
      <c r="AK35" s="1742"/>
      <c r="AL35" s="1742"/>
      <c r="AM35" s="1742"/>
      <c r="AN35" s="1742"/>
      <c r="AO35" s="1742"/>
      <c r="AP35" s="1742"/>
      <c r="AQ35" s="1742"/>
      <c r="AR35" s="1742"/>
      <c r="AS35" s="1742"/>
      <c r="AT35" s="1742"/>
      <c r="AU35" s="1742"/>
      <c r="AV35" s="1742"/>
      <c r="AW35" s="1742"/>
      <c r="AX35" s="1742"/>
      <c r="AY35" s="1742"/>
      <c r="AZ35" s="1742"/>
      <c r="BA35" s="1742"/>
      <c r="BB35" s="1742"/>
      <c r="BC35" s="1742"/>
      <c r="BD35" s="1742"/>
      <c r="BE35" s="1742"/>
      <c r="BF35" s="1742"/>
      <c r="BG35" s="1742"/>
      <c r="BH35" s="1742"/>
      <c r="BI35" s="1742"/>
      <c r="BJ35" s="1742"/>
      <c r="BK35" s="1742"/>
      <c r="BL35" s="1742"/>
      <c r="BM35" s="1742"/>
      <c r="BN35" s="1742"/>
      <c r="BO35" s="1742"/>
      <c r="BP35" s="1742"/>
      <c r="BQ35" s="1742"/>
      <c r="BR35" s="1742"/>
      <c r="BS35" s="1742"/>
      <c r="BT35" s="1742"/>
      <c r="BU35" s="1742"/>
      <c r="BV35" s="1742"/>
      <c r="BW35" s="1742"/>
      <c r="BX35" s="1742"/>
      <c r="BY35" s="1742"/>
      <c r="BZ35" s="1742"/>
      <c r="CA35" s="1742"/>
      <c r="CB35" s="1742"/>
      <c r="CC35" s="1742"/>
      <c r="CD35" s="1742"/>
      <c r="CE35" s="1742"/>
      <c r="CF35" s="1742"/>
      <c r="CG35" s="1742"/>
      <c r="CH35" s="1742"/>
      <c r="CI35" s="1742"/>
      <c r="CJ35" s="1742"/>
      <c r="CK35" s="1742"/>
      <c r="CL35" s="1742"/>
      <c r="CM35" s="1742"/>
      <c r="CN35" s="1742"/>
      <c r="CO35" s="1742"/>
      <c r="CP35" s="1742"/>
    </row>
    <row r="36" spans="1:94" ht="19.5" customHeight="1" x14ac:dyDescent="0.2">
      <c r="A36" s="1847"/>
      <c r="B36" s="1856"/>
      <c r="C36" s="1275" t="s">
        <v>2345</v>
      </c>
      <c r="D36" s="936"/>
      <c r="E36" s="1831"/>
      <c r="F36" s="1225"/>
      <c r="G36" s="1765">
        <v>0</v>
      </c>
      <c r="H36" s="1765">
        <v>0</v>
      </c>
      <c r="I36" s="1765">
        <v>0</v>
      </c>
      <c r="J36" s="1765">
        <v>0</v>
      </c>
      <c r="K36" s="1765">
        <v>0</v>
      </c>
      <c r="L36" s="1765">
        <v>0</v>
      </c>
      <c r="M36" s="1765">
        <v>0</v>
      </c>
      <c r="N36" s="1765">
        <v>0</v>
      </c>
      <c r="O36" s="1765">
        <v>0</v>
      </c>
      <c r="P36" s="1765">
        <v>0</v>
      </c>
      <c r="Q36" s="1765">
        <v>0</v>
      </c>
      <c r="R36" s="1765">
        <v>0</v>
      </c>
      <c r="S36" s="1765">
        <v>0</v>
      </c>
      <c r="T36" s="1765">
        <v>0</v>
      </c>
      <c r="U36" s="1765">
        <v>0</v>
      </c>
      <c r="V36" s="1765">
        <v>0</v>
      </c>
      <c r="W36" s="1765">
        <v>0</v>
      </c>
      <c r="X36" s="1765">
        <v>0</v>
      </c>
      <c r="Y36" s="1765">
        <v>0</v>
      </c>
      <c r="Z36" s="1765">
        <v>0</v>
      </c>
      <c r="AA36" s="1765">
        <v>0</v>
      </c>
      <c r="AB36" s="1765">
        <v>0</v>
      </c>
      <c r="AC36" s="1765">
        <v>0</v>
      </c>
      <c r="AD36" s="1765">
        <v>0</v>
      </c>
      <c r="AE36" s="1765">
        <v>0</v>
      </c>
      <c r="AF36" s="1765">
        <v>0</v>
      </c>
      <c r="AG36" s="1765">
        <v>0</v>
      </c>
      <c r="AH36" s="1765">
        <v>0</v>
      </c>
      <c r="AI36" s="1765">
        <v>0</v>
      </c>
      <c r="AJ36" s="1765">
        <v>0</v>
      </c>
      <c r="AK36" s="1765">
        <v>0</v>
      </c>
      <c r="AL36" s="1765">
        <v>0</v>
      </c>
      <c r="AM36" s="1765">
        <v>0</v>
      </c>
      <c r="AN36" s="1765">
        <v>0</v>
      </c>
      <c r="AO36" s="1765">
        <v>0</v>
      </c>
      <c r="AP36" s="1765">
        <v>0</v>
      </c>
      <c r="AQ36" s="1765">
        <v>0</v>
      </c>
      <c r="AR36" s="1765">
        <v>0</v>
      </c>
      <c r="AS36" s="1765">
        <v>0</v>
      </c>
      <c r="AT36" s="1765">
        <v>0</v>
      </c>
      <c r="AU36" s="1765">
        <v>0</v>
      </c>
      <c r="AV36" s="1765">
        <v>0</v>
      </c>
      <c r="AW36" s="1765">
        <v>0</v>
      </c>
      <c r="AX36" s="1765">
        <v>0</v>
      </c>
      <c r="AY36" s="1765">
        <v>0</v>
      </c>
      <c r="AZ36" s="1765">
        <v>0</v>
      </c>
      <c r="BA36" s="1765">
        <v>0</v>
      </c>
      <c r="BB36" s="1765">
        <v>0</v>
      </c>
      <c r="BC36" s="1765">
        <v>0</v>
      </c>
      <c r="BD36" s="1765">
        <v>0</v>
      </c>
      <c r="BE36" s="1765">
        <v>0</v>
      </c>
      <c r="BF36" s="1765">
        <v>0</v>
      </c>
      <c r="BG36" s="1765">
        <v>0</v>
      </c>
      <c r="BH36" s="1765">
        <v>0</v>
      </c>
      <c r="BI36" s="1765">
        <v>0</v>
      </c>
      <c r="BJ36" s="1765">
        <v>0</v>
      </c>
      <c r="BK36" s="1765">
        <v>0</v>
      </c>
      <c r="BL36" s="1765">
        <v>0</v>
      </c>
      <c r="BM36" s="1765">
        <v>0</v>
      </c>
      <c r="BN36" s="1765">
        <v>0</v>
      </c>
      <c r="BO36" s="1765">
        <v>0</v>
      </c>
      <c r="BP36" s="1765">
        <v>0</v>
      </c>
      <c r="BQ36" s="1765">
        <v>0</v>
      </c>
      <c r="BR36" s="1765">
        <v>0</v>
      </c>
      <c r="BS36" s="1765">
        <v>0</v>
      </c>
      <c r="BT36" s="1765">
        <v>0</v>
      </c>
      <c r="BU36" s="1765">
        <v>0</v>
      </c>
      <c r="BV36" s="1765">
        <v>0</v>
      </c>
      <c r="BW36" s="1765">
        <v>0</v>
      </c>
      <c r="BX36" s="1765">
        <v>0</v>
      </c>
      <c r="BY36" s="1765">
        <v>0</v>
      </c>
      <c r="BZ36" s="1765">
        <v>0</v>
      </c>
      <c r="CA36" s="1765">
        <v>0</v>
      </c>
      <c r="CB36" s="1765">
        <v>0</v>
      </c>
      <c r="CC36" s="1765">
        <v>0</v>
      </c>
      <c r="CD36" s="1765">
        <v>0</v>
      </c>
      <c r="CE36" s="1765">
        <v>0</v>
      </c>
      <c r="CF36" s="1765">
        <v>0</v>
      </c>
      <c r="CG36" s="1765">
        <v>0</v>
      </c>
      <c r="CH36" s="1765">
        <v>0</v>
      </c>
      <c r="CI36" s="1765">
        <v>0</v>
      </c>
      <c r="CJ36" s="1765">
        <v>0</v>
      </c>
      <c r="CK36" s="1765">
        <v>0</v>
      </c>
      <c r="CL36" s="1765">
        <v>0</v>
      </c>
      <c r="CM36" s="1765">
        <v>0</v>
      </c>
      <c r="CN36" s="1765">
        <v>0</v>
      </c>
      <c r="CO36" s="1765">
        <v>0</v>
      </c>
      <c r="CP36" s="1765">
        <v>0</v>
      </c>
    </row>
    <row r="37" spans="1:94" ht="20.25" customHeight="1" thickBot="1" x14ac:dyDescent="0.25">
      <c r="A37" s="1847"/>
      <c r="B37" s="1856"/>
      <c r="C37" s="1275" t="s">
        <v>2371</v>
      </c>
      <c r="D37" s="936"/>
      <c r="E37" s="1831"/>
      <c r="F37" s="1225"/>
      <c r="G37" s="1765">
        <v>0</v>
      </c>
      <c r="H37" s="1765">
        <v>0</v>
      </c>
      <c r="I37" s="1765">
        <v>0</v>
      </c>
      <c r="J37" s="1765">
        <v>0</v>
      </c>
      <c r="K37" s="1765">
        <v>0</v>
      </c>
      <c r="L37" s="1765">
        <v>0</v>
      </c>
      <c r="M37" s="1765">
        <v>0</v>
      </c>
      <c r="N37" s="1765">
        <v>0</v>
      </c>
      <c r="O37" s="1765">
        <v>0</v>
      </c>
      <c r="P37" s="1765">
        <v>0</v>
      </c>
      <c r="Q37" s="1765">
        <v>0</v>
      </c>
      <c r="R37" s="1765">
        <v>0</v>
      </c>
      <c r="S37" s="1765">
        <v>0</v>
      </c>
      <c r="T37" s="1765">
        <v>0</v>
      </c>
      <c r="U37" s="1765">
        <v>0</v>
      </c>
      <c r="V37" s="1765">
        <v>0</v>
      </c>
      <c r="W37" s="1765">
        <v>0</v>
      </c>
      <c r="X37" s="1765">
        <v>0</v>
      </c>
      <c r="Y37" s="1765">
        <v>0</v>
      </c>
      <c r="Z37" s="1765">
        <v>0</v>
      </c>
      <c r="AA37" s="1765">
        <v>0</v>
      </c>
      <c r="AB37" s="1765">
        <v>0</v>
      </c>
      <c r="AC37" s="1765">
        <v>0</v>
      </c>
      <c r="AD37" s="1765">
        <v>0</v>
      </c>
      <c r="AE37" s="1765">
        <v>0</v>
      </c>
      <c r="AF37" s="1765">
        <v>0</v>
      </c>
      <c r="AG37" s="1765">
        <v>0</v>
      </c>
      <c r="AH37" s="1765">
        <v>0</v>
      </c>
      <c r="AI37" s="1765">
        <v>0</v>
      </c>
      <c r="AJ37" s="1765">
        <v>0</v>
      </c>
      <c r="AK37" s="1765">
        <v>0</v>
      </c>
      <c r="AL37" s="1765">
        <v>0</v>
      </c>
      <c r="AM37" s="1765">
        <v>0</v>
      </c>
      <c r="AN37" s="1765">
        <v>0</v>
      </c>
      <c r="AO37" s="1765">
        <v>0</v>
      </c>
      <c r="AP37" s="1765">
        <v>0</v>
      </c>
      <c r="AQ37" s="1765">
        <v>0</v>
      </c>
      <c r="AR37" s="1765">
        <v>0</v>
      </c>
      <c r="AS37" s="1765">
        <v>0</v>
      </c>
      <c r="AT37" s="1765">
        <v>0</v>
      </c>
      <c r="AU37" s="1765">
        <v>0</v>
      </c>
      <c r="AV37" s="1765">
        <v>0</v>
      </c>
      <c r="AW37" s="1765">
        <v>0</v>
      </c>
      <c r="AX37" s="1765">
        <v>0</v>
      </c>
      <c r="AY37" s="1765">
        <v>0</v>
      </c>
      <c r="AZ37" s="1765">
        <v>0</v>
      </c>
      <c r="BA37" s="1765">
        <v>0</v>
      </c>
      <c r="BB37" s="1765">
        <v>0</v>
      </c>
      <c r="BC37" s="1765">
        <v>0</v>
      </c>
      <c r="BD37" s="1765">
        <v>0</v>
      </c>
      <c r="BE37" s="1765">
        <v>0</v>
      </c>
      <c r="BF37" s="1765">
        <v>0</v>
      </c>
      <c r="BG37" s="1765">
        <v>0</v>
      </c>
      <c r="BH37" s="1765">
        <v>0</v>
      </c>
      <c r="BI37" s="1765">
        <v>0</v>
      </c>
      <c r="BJ37" s="1765">
        <v>0</v>
      </c>
      <c r="BK37" s="1765">
        <v>0</v>
      </c>
      <c r="BL37" s="1765">
        <v>0</v>
      </c>
      <c r="BM37" s="1765">
        <v>0</v>
      </c>
      <c r="BN37" s="1765">
        <v>0</v>
      </c>
      <c r="BO37" s="1765">
        <v>0</v>
      </c>
      <c r="BP37" s="1765">
        <v>0</v>
      </c>
      <c r="BQ37" s="1765">
        <v>0</v>
      </c>
      <c r="BR37" s="1765">
        <v>0</v>
      </c>
      <c r="BS37" s="1765">
        <v>0</v>
      </c>
      <c r="BT37" s="1765">
        <v>0</v>
      </c>
      <c r="BU37" s="1765">
        <v>0</v>
      </c>
      <c r="BV37" s="1765">
        <v>0</v>
      </c>
      <c r="BW37" s="1765">
        <v>0</v>
      </c>
      <c r="BX37" s="1765">
        <v>0</v>
      </c>
      <c r="BY37" s="1765">
        <v>0</v>
      </c>
      <c r="BZ37" s="1765">
        <v>0</v>
      </c>
      <c r="CA37" s="1765">
        <v>0</v>
      </c>
      <c r="CB37" s="1765">
        <v>0</v>
      </c>
      <c r="CC37" s="1765">
        <v>0</v>
      </c>
      <c r="CD37" s="1765">
        <v>0</v>
      </c>
      <c r="CE37" s="1765">
        <v>0</v>
      </c>
      <c r="CF37" s="1765">
        <v>0</v>
      </c>
      <c r="CG37" s="1765">
        <v>0</v>
      </c>
      <c r="CH37" s="1765">
        <v>0</v>
      </c>
      <c r="CI37" s="1765">
        <v>0</v>
      </c>
      <c r="CJ37" s="1765">
        <v>0</v>
      </c>
      <c r="CK37" s="1765">
        <v>0</v>
      </c>
      <c r="CL37" s="1765">
        <v>0</v>
      </c>
      <c r="CM37" s="1765">
        <v>0</v>
      </c>
      <c r="CN37" s="1765">
        <v>0</v>
      </c>
      <c r="CO37" s="1765">
        <v>0</v>
      </c>
      <c r="CP37" s="1765">
        <v>0</v>
      </c>
    </row>
    <row r="38" spans="1:94" ht="42" customHeight="1" x14ac:dyDescent="0.2">
      <c r="A38" s="1847"/>
      <c r="B38" s="1856"/>
      <c r="C38" s="1280" t="s">
        <v>2344</v>
      </c>
      <c r="D38" s="947"/>
      <c r="E38" s="1831"/>
      <c r="F38" s="1225"/>
      <c r="G38" s="1742"/>
      <c r="H38" s="1742"/>
      <c r="I38" s="1742"/>
      <c r="J38" s="1742"/>
      <c r="K38" s="1742"/>
      <c r="L38" s="1742"/>
      <c r="M38" s="1742"/>
      <c r="N38" s="1742"/>
      <c r="O38" s="1742"/>
      <c r="P38" s="1742"/>
      <c r="Q38" s="1742"/>
      <c r="R38" s="1742"/>
      <c r="S38" s="1742"/>
      <c r="T38" s="1742"/>
      <c r="U38" s="1742"/>
      <c r="V38" s="1742"/>
      <c r="W38" s="1742"/>
      <c r="X38" s="1742"/>
      <c r="Y38" s="1742"/>
      <c r="Z38" s="1742"/>
      <c r="AA38" s="1742"/>
      <c r="AB38" s="1742"/>
      <c r="AC38" s="1742"/>
      <c r="AD38" s="1742"/>
      <c r="AE38" s="1742"/>
      <c r="AF38" s="1742"/>
      <c r="AG38" s="1742"/>
      <c r="AH38" s="1742"/>
      <c r="AI38" s="1742"/>
      <c r="AJ38" s="1742"/>
      <c r="AK38" s="1742"/>
      <c r="AL38" s="1742"/>
      <c r="AM38" s="1742"/>
      <c r="AN38" s="1742"/>
      <c r="AO38" s="1742"/>
      <c r="AP38" s="1742"/>
      <c r="AQ38" s="1742"/>
      <c r="AR38" s="1742"/>
      <c r="AS38" s="1742"/>
      <c r="AT38" s="1742"/>
      <c r="AU38" s="1742"/>
      <c r="AV38" s="1742"/>
      <c r="AW38" s="1742"/>
      <c r="AX38" s="1742"/>
      <c r="AY38" s="1742"/>
      <c r="AZ38" s="1742"/>
      <c r="BA38" s="1742"/>
      <c r="BB38" s="1742"/>
      <c r="BC38" s="1742"/>
      <c r="BD38" s="1742"/>
      <c r="BE38" s="1742"/>
      <c r="BF38" s="1742"/>
      <c r="BG38" s="1742"/>
      <c r="BH38" s="1742"/>
      <c r="BI38" s="1742"/>
      <c r="BJ38" s="1742"/>
      <c r="BK38" s="1742"/>
      <c r="BL38" s="1742"/>
      <c r="BM38" s="1742"/>
      <c r="BN38" s="1742"/>
      <c r="BO38" s="1742"/>
      <c r="BP38" s="1742"/>
      <c r="BQ38" s="1742"/>
      <c r="BR38" s="1742"/>
      <c r="BS38" s="1742"/>
      <c r="BT38" s="1742"/>
      <c r="BU38" s="1742"/>
      <c r="BV38" s="1742"/>
      <c r="BW38" s="1742"/>
      <c r="BX38" s="1742"/>
      <c r="BY38" s="1742"/>
      <c r="BZ38" s="1742"/>
      <c r="CA38" s="1742"/>
      <c r="CB38" s="1742"/>
      <c r="CC38" s="1742"/>
      <c r="CD38" s="1742"/>
      <c r="CE38" s="1742"/>
      <c r="CF38" s="1742"/>
      <c r="CG38" s="1742"/>
      <c r="CH38" s="1742"/>
      <c r="CI38" s="1742"/>
      <c r="CJ38" s="1742"/>
      <c r="CK38" s="1742"/>
      <c r="CL38" s="1742"/>
      <c r="CM38" s="1742"/>
      <c r="CN38" s="1742"/>
      <c r="CO38" s="1742"/>
      <c r="CP38" s="1742"/>
    </row>
    <row r="39" spans="1:94" ht="19.5" customHeight="1" x14ac:dyDescent="0.2">
      <c r="A39" s="1847"/>
      <c r="B39" s="1856"/>
      <c r="C39" s="1275" t="s">
        <v>2346</v>
      </c>
      <c r="D39" s="936"/>
      <c r="E39" s="1831"/>
      <c r="F39" s="1225"/>
      <c r="G39" s="1765">
        <v>0</v>
      </c>
      <c r="H39" s="1765">
        <v>0</v>
      </c>
      <c r="I39" s="1765">
        <v>0</v>
      </c>
      <c r="J39" s="1765">
        <v>0</v>
      </c>
      <c r="K39" s="1765">
        <v>0</v>
      </c>
      <c r="L39" s="1765">
        <v>0</v>
      </c>
      <c r="M39" s="1765">
        <v>0</v>
      </c>
      <c r="N39" s="1765">
        <v>0</v>
      </c>
      <c r="O39" s="1765">
        <v>0</v>
      </c>
      <c r="P39" s="1765">
        <v>0</v>
      </c>
      <c r="Q39" s="1765">
        <v>0</v>
      </c>
      <c r="R39" s="1765">
        <v>0</v>
      </c>
      <c r="S39" s="1765">
        <v>0</v>
      </c>
      <c r="T39" s="1765">
        <v>0</v>
      </c>
      <c r="U39" s="1765">
        <v>0</v>
      </c>
      <c r="V39" s="1765">
        <v>0</v>
      </c>
      <c r="W39" s="1765">
        <v>0</v>
      </c>
      <c r="X39" s="1765">
        <v>0</v>
      </c>
      <c r="Y39" s="1765">
        <v>0</v>
      </c>
      <c r="Z39" s="1765">
        <v>0</v>
      </c>
      <c r="AA39" s="1765">
        <v>0</v>
      </c>
      <c r="AB39" s="1765">
        <v>0</v>
      </c>
      <c r="AC39" s="1765">
        <v>0</v>
      </c>
      <c r="AD39" s="1765">
        <v>0</v>
      </c>
      <c r="AE39" s="1765">
        <v>0</v>
      </c>
      <c r="AF39" s="1765">
        <v>0</v>
      </c>
      <c r="AG39" s="1765">
        <v>0</v>
      </c>
      <c r="AH39" s="1765">
        <v>0</v>
      </c>
      <c r="AI39" s="1765">
        <v>0</v>
      </c>
      <c r="AJ39" s="1765">
        <v>0</v>
      </c>
      <c r="AK39" s="1765">
        <v>0</v>
      </c>
      <c r="AL39" s="1765">
        <v>0</v>
      </c>
      <c r="AM39" s="1765">
        <v>0</v>
      </c>
      <c r="AN39" s="1765">
        <v>0</v>
      </c>
      <c r="AO39" s="1765">
        <v>0</v>
      </c>
      <c r="AP39" s="1765">
        <v>0</v>
      </c>
      <c r="AQ39" s="1765">
        <v>0</v>
      </c>
      <c r="AR39" s="1765">
        <v>0</v>
      </c>
      <c r="AS39" s="1765">
        <v>0</v>
      </c>
      <c r="AT39" s="1765">
        <v>0</v>
      </c>
      <c r="AU39" s="1765">
        <v>0</v>
      </c>
      <c r="AV39" s="1765">
        <v>0</v>
      </c>
      <c r="AW39" s="1765">
        <v>0</v>
      </c>
      <c r="AX39" s="1765">
        <v>0</v>
      </c>
      <c r="AY39" s="1765">
        <v>0</v>
      </c>
      <c r="AZ39" s="1765">
        <v>0</v>
      </c>
      <c r="BA39" s="1765">
        <v>0</v>
      </c>
      <c r="BB39" s="1765">
        <v>0</v>
      </c>
      <c r="BC39" s="1765">
        <v>0</v>
      </c>
      <c r="BD39" s="1765">
        <v>0</v>
      </c>
      <c r="BE39" s="1765">
        <v>0</v>
      </c>
      <c r="BF39" s="1765">
        <v>0</v>
      </c>
      <c r="BG39" s="1765">
        <v>0</v>
      </c>
      <c r="BH39" s="1765">
        <v>0</v>
      </c>
      <c r="BI39" s="1765">
        <v>0</v>
      </c>
      <c r="BJ39" s="1765">
        <v>0</v>
      </c>
      <c r="BK39" s="1765">
        <v>0</v>
      </c>
      <c r="BL39" s="1765">
        <v>0</v>
      </c>
      <c r="BM39" s="1765">
        <v>0</v>
      </c>
      <c r="BN39" s="1765">
        <v>0</v>
      </c>
      <c r="BO39" s="1765">
        <v>0</v>
      </c>
      <c r="BP39" s="1765">
        <v>0</v>
      </c>
      <c r="BQ39" s="1765">
        <v>0</v>
      </c>
      <c r="BR39" s="1765">
        <v>0</v>
      </c>
      <c r="BS39" s="1765">
        <v>0</v>
      </c>
      <c r="BT39" s="1765">
        <v>0</v>
      </c>
      <c r="BU39" s="1765">
        <v>0</v>
      </c>
      <c r="BV39" s="1765">
        <v>0</v>
      </c>
      <c r="BW39" s="1765">
        <v>0</v>
      </c>
      <c r="BX39" s="1765">
        <v>0</v>
      </c>
      <c r="BY39" s="1765">
        <v>0</v>
      </c>
      <c r="BZ39" s="1765">
        <v>0</v>
      </c>
      <c r="CA39" s="1765">
        <v>0</v>
      </c>
      <c r="CB39" s="1765">
        <v>0</v>
      </c>
      <c r="CC39" s="1765">
        <v>0</v>
      </c>
      <c r="CD39" s="1765">
        <v>0</v>
      </c>
      <c r="CE39" s="1765">
        <v>0</v>
      </c>
      <c r="CF39" s="1765">
        <v>0</v>
      </c>
      <c r="CG39" s="1765">
        <v>0</v>
      </c>
      <c r="CH39" s="1765">
        <v>0</v>
      </c>
      <c r="CI39" s="1765">
        <v>0</v>
      </c>
      <c r="CJ39" s="1765">
        <v>0</v>
      </c>
      <c r="CK39" s="1765">
        <v>0</v>
      </c>
      <c r="CL39" s="1765">
        <v>0</v>
      </c>
      <c r="CM39" s="1765">
        <v>0</v>
      </c>
      <c r="CN39" s="1765">
        <v>0</v>
      </c>
      <c r="CO39" s="1765">
        <v>0</v>
      </c>
      <c r="CP39" s="1765">
        <v>0</v>
      </c>
    </row>
    <row r="40" spans="1:94" ht="27" customHeight="1" thickBot="1" x14ac:dyDescent="0.25">
      <c r="A40" s="1848"/>
      <c r="B40" s="1857"/>
      <c r="C40" s="1276" t="s">
        <v>2347</v>
      </c>
      <c r="D40" s="950"/>
      <c r="E40" s="1832"/>
      <c r="F40" s="1225"/>
      <c r="G40" s="1765">
        <v>0</v>
      </c>
      <c r="H40" s="1765">
        <v>0</v>
      </c>
      <c r="I40" s="1765">
        <v>0</v>
      </c>
      <c r="J40" s="1765">
        <v>0</v>
      </c>
      <c r="K40" s="1765">
        <v>0</v>
      </c>
      <c r="L40" s="1765">
        <v>0</v>
      </c>
      <c r="M40" s="1765">
        <v>0</v>
      </c>
      <c r="N40" s="1765">
        <v>0</v>
      </c>
      <c r="O40" s="1765">
        <v>0</v>
      </c>
      <c r="P40" s="1765">
        <v>0</v>
      </c>
      <c r="Q40" s="1765">
        <v>0</v>
      </c>
      <c r="R40" s="1765">
        <v>0</v>
      </c>
      <c r="S40" s="1765">
        <v>0</v>
      </c>
      <c r="T40" s="1765">
        <v>0</v>
      </c>
      <c r="U40" s="1765">
        <v>0</v>
      </c>
      <c r="V40" s="1765">
        <v>0</v>
      </c>
      <c r="W40" s="1765">
        <v>0</v>
      </c>
      <c r="X40" s="1765">
        <v>0</v>
      </c>
      <c r="Y40" s="1765">
        <v>0</v>
      </c>
      <c r="Z40" s="1765">
        <v>0</v>
      </c>
      <c r="AA40" s="1765">
        <v>0</v>
      </c>
      <c r="AB40" s="1765">
        <v>0</v>
      </c>
      <c r="AC40" s="1765">
        <v>0</v>
      </c>
      <c r="AD40" s="1765">
        <v>0</v>
      </c>
      <c r="AE40" s="1765">
        <v>0</v>
      </c>
      <c r="AF40" s="1765">
        <v>0</v>
      </c>
      <c r="AG40" s="1765">
        <v>0</v>
      </c>
      <c r="AH40" s="1765">
        <v>0</v>
      </c>
      <c r="AI40" s="1765">
        <v>0</v>
      </c>
      <c r="AJ40" s="1765">
        <v>0</v>
      </c>
      <c r="AK40" s="1765">
        <v>0</v>
      </c>
      <c r="AL40" s="1765">
        <v>0</v>
      </c>
      <c r="AM40" s="1765">
        <v>0</v>
      </c>
      <c r="AN40" s="1765">
        <v>0</v>
      </c>
      <c r="AO40" s="1765">
        <v>0</v>
      </c>
      <c r="AP40" s="1765">
        <v>0</v>
      </c>
      <c r="AQ40" s="1765">
        <v>0</v>
      </c>
      <c r="AR40" s="1765">
        <v>0</v>
      </c>
      <c r="AS40" s="1765">
        <v>0</v>
      </c>
      <c r="AT40" s="1765">
        <v>0</v>
      </c>
      <c r="AU40" s="1765">
        <v>0</v>
      </c>
      <c r="AV40" s="1765">
        <v>0</v>
      </c>
      <c r="AW40" s="1765">
        <v>0</v>
      </c>
      <c r="AX40" s="1765">
        <v>0</v>
      </c>
      <c r="AY40" s="1765">
        <v>0</v>
      </c>
      <c r="AZ40" s="1765">
        <v>0</v>
      </c>
      <c r="BA40" s="1765">
        <v>0</v>
      </c>
      <c r="BB40" s="1765">
        <v>0</v>
      </c>
      <c r="BC40" s="1765">
        <v>0</v>
      </c>
      <c r="BD40" s="1765">
        <v>0</v>
      </c>
      <c r="BE40" s="1765">
        <v>0</v>
      </c>
      <c r="BF40" s="1765">
        <v>0</v>
      </c>
      <c r="BG40" s="1765">
        <v>0</v>
      </c>
      <c r="BH40" s="1765">
        <v>0</v>
      </c>
      <c r="BI40" s="1765">
        <v>0</v>
      </c>
      <c r="BJ40" s="1765">
        <v>0</v>
      </c>
      <c r="BK40" s="1765">
        <v>0</v>
      </c>
      <c r="BL40" s="1765">
        <v>0</v>
      </c>
      <c r="BM40" s="1765">
        <v>0</v>
      </c>
      <c r="BN40" s="1765">
        <v>0</v>
      </c>
      <c r="BO40" s="1765">
        <v>0</v>
      </c>
      <c r="BP40" s="1765">
        <v>0</v>
      </c>
      <c r="BQ40" s="1765">
        <v>0</v>
      </c>
      <c r="BR40" s="1765">
        <v>0</v>
      </c>
      <c r="BS40" s="1765">
        <v>0</v>
      </c>
      <c r="BT40" s="1765">
        <v>0</v>
      </c>
      <c r="BU40" s="1765">
        <v>0</v>
      </c>
      <c r="BV40" s="1765">
        <v>0</v>
      </c>
      <c r="BW40" s="1765">
        <v>0</v>
      </c>
      <c r="BX40" s="1765">
        <v>0</v>
      </c>
      <c r="BY40" s="1765">
        <v>0</v>
      </c>
      <c r="BZ40" s="1765">
        <v>0</v>
      </c>
      <c r="CA40" s="1765">
        <v>0</v>
      </c>
      <c r="CB40" s="1765">
        <v>0</v>
      </c>
      <c r="CC40" s="1765">
        <v>0</v>
      </c>
      <c r="CD40" s="1765">
        <v>0</v>
      </c>
      <c r="CE40" s="1765">
        <v>0</v>
      </c>
      <c r="CF40" s="1765">
        <v>0</v>
      </c>
      <c r="CG40" s="1765">
        <v>0</v>
      </c>
      <c r="CH40" s="1765">
        <v>0</v>
      </c>
      <c r="CI40" s="1765">
        <v>0</v>
      </c>
      <c r="CJ40" s="1765">
        <v>0</v>
      </c>
      <c r="CK40" s="1765">
        <v>0</v>
      </c>
      <c r="CL40" s="1765">
        <v>0</v>
      </c>
      <c r="CM40" s="1765">
        <v>0</v>
      </c>
      <c r="CN40" s="1765">
        <v>0</v>
      </c>
      <c r="CO40" s="1765">
        <v>0</v>
      </c>
      <c r="CP40" s="1765">
        <v>0</v>
      </c>
    </row>
    <row r="41" spans="1:94" ht="42.75" customHeight="1" thickBot="1" x14ac:dyDescent="0.25">
      <c r="A41" s="1849" t="s">
        <v>1281</v>
      </c>
      <c r="B41" s="1846" t="s">
        <v>162</v>
      </c>
      <c r="C41" s="1777" t="s">
        <v>2507</v>
      </c>
      <c r="D41" s="947"/>
      <c r="E41" s="1843" t="s">
        <v>1834</v>
      </c>
      <c r="F41" s="1225"/>
      <c r="G41" s="1742"/>
      <c r="H41" s="1742"/>
      <c r="I41" s="1742"/>
      <c r="J41" s="1742"/>
      <c r="K41" s="1742"/>
      <c r="L41" s="1742"/>
      <c r="M41" s="1742"/>
      <c r="N41" s="1742"/>
      <c r="O41" s="1742"/>
      <c r="P41" s="1742"/>
      <c r="Q41" s="1742"/>
      <c r="R41" s="1742"/>
      <c r="S41" s="1742"/>
      <c r="T41" s="1742"/>
      <c r="U41" s="1742"/>
      <c r="V41" s="1742"/>
      <c r="W41" s="1742"/>
      <c r="X41" s="1742"/>
      <c r="Y41" s="1742"/>
      <c r="Z41" s="1742"/>
      <c r="AA41" s="1742"/>
      <c r="AB41" s="1742"/>
      <c r="AC41" s="1742"/>
      <c r="AD41" s="1742"/>
      <c r="AE41" s="1742"/>
      <c r="AF41" s="1742"/>
      <c r="AG41" s="1742"/>
      <c r="AH41" s="1742"/>
      <c r="AI41" s="1742"/>
      <c r="AJ41" s="1742"/>
      <c r="AK41" s="1742"/>
      <c r="AL41" s="1742"/>
      <c r="AM41" s="1742"/>
      <c r="AN41" s="1742"/>
      <c r="AO41" s="1742"/>
      <c r="AP41" s="1742"/>
      <c r="AQ41" s="1742"/>
      <c r="AR41" s="1742"/>
      <c r="AS41" s="1742"/>
      <c r="AT41" s="1742"/>
      <c r="AU41" s="1742"/>
      <c r="AV41" s="1742"/>
      <c r="AW41" s="1742"/>
      <c r="AX41" s="1742"/>
      <c r="AY41" s="1742"/>
      <c r="AZ41" s="1742"/>
      <c r="BA41" s="1742"/>
      <c r="BB41" s="1742"/>
      <c r="BC41" s="1742"/>
      <c r="BD41" s="1742"/>
      <c r="BE41" s="1742"/>
      <c r="BF41" s="1742"/>
      <c r="BG41" s="1742"/>
      <c r="BH41" s="1742"/>
      <c r="BI41" s="1742"/>
      <c r="BJ41" s="1742"/>
      <c r="BK41" s="1742"/>
      <c r="BL41" s="1742"/>
      <c r="BM41" s="1742"/>
      <c r="BN41" s="1742"/>
      <c r="BO41" s="1742"/>
      <c r="BP41" s="1742"/>
      <c r="BQ41" s="1742"/>
      <c r="BR41" s="1742"/>
      <c r="BS41" s="1742"/>
      <c r="BT41" s="1742"/>
      <c r="BU41" s="1742"/>
      <c r="BV41" s="1742"/>
      <c r="BW41" s="1742"/>
      <c r="BX41" s="1742"/>
      <c r="BY41" s="1742"/>
      <c r="BZ41" s="1742"/>
      <c r="CA41" s="1742"/>
      <c r="CB41" s="1742"/>
      <c r="CC41" s="1742"/>
      <c r="CD41" s="1742"/>
      <c r="CE41" s="1742"/>
      <c r="CF41" s="1742"/>
      <c r="CG41" s="1742"/>
      <c r="CH41" s="1742"/>
      <c r="CI41" s="1742"/>
      <c r="CJ41" s="1742"/>
      <c r="CK41" s="1742"/>
      <c r="CL41" s="1742"/>
      <c r="CM41" s="1742"/>
      <c r="CN41" s="1742"/>
      <c r="CO41" s="1742"/>
      <c r="CP41" s="1742"/>
    </row>
    <row r="42" spans="1:94" ht="15" customHeight="1" x14ac:dyDescent="0.2">
      <c r="A42" s="1847"/>
      <c r="B42" s="1856"/>
      <c r="C42" s="652" t="s">
        <v>2078</v>
      </c>
      <c r="D42" s="936"/>
      <c r="E42" s="1844"/>
      <c r="F42" s="1225"/>
      <c r="G42" s="1767">
        <v>0</v>
      </c>
      <c r="H42" s="1767">
        <v>0</v>
      </c>
      <c r="I42" s="1767">
        <v>0</v>
      </c>
      <c r="J42" s="1767">
        <v>0</v>
      </c>
      <c r="K42" s="1767">
        <v>0</v>
      </c>
      <c r="L42" s="1767">
        <v>0</v>
      </c>
      <c r="M42" s="1767">
        <v>0</v>
      </c>
      <c r="N42" s="1767">
        <v>0</v>
      </c>
      <c r="O42" s="1767">
        <v>0</v>
      </c>
      <c r="P42" s="1767">
        <v>0</v>
      </c>
      <c r="Q42" s="1767">
        <v>0</v>
      </c>
      <c r="R42" s="1767">
        <v>0</v>
      </c>
      <c r="S42" s="1767">
        <v>0</v>
      </c>
      <c r="T42" s="1767">
        <v>0</v>
      </c>
      <c r="U42" s="1767">
        <v>0</v>
      </c>
      <c r="V42" s="1767">
        <v>0</v>
      </c>
      <c r="W42" s="1767">
        <v>0</v>
      </c>
      <c r="X42" s="1767">
        <v>0</v>
      </c>
      <c r="Y42" s="1767">
        <v>0</v>
      </c>
      <c r="Z42" s="1767">
        <v>0</v>
      </c>
      <c r="AA42" s="1767">
        <v>0</v>
      </c>
      <c r="AB42" s="1767">
        <v>0</v>
      </c>
      <c r="AC42" s="1767">
        <v>0</v>
      </c>
      <c r="AD42" s="1767">
        <v>0</v>
      </c>
      <c r="AE42" s="1767">
        <v>0</v>
      </c>
      <c r="AF42" s="1767">
        <v>0</v>
      </c>
      <c r="AG42" s="1767">
        <v>0</v>
      </c>
      <c r="AH42" s="1767">
        <v>0</v>
      </c>
      <c r="AI42" s="1767">
        <v>0</v>
      </c>
      <c r="AJ42" s="1767">
        <v>0</v>
      </c>
      <c r="AK42" s="1767">
        <v>0</v>
      </c>
      <c r="AL42" s="1767">
        <v>0</v>
      </c>
      <c r="AM42" s="1767">
        <v>0</v>
      </c>
      <c r="AN42" s="1767">
        <v>0</v>
      </c>
      <c r="AO42" s="1767">
        <v>0</v>
      </c>
      <c r="AP42" s="1767">
        <v>0</v>
      </c>
      <c r="AQ42" s="1767">
        <v>0</v>
      </c>
      <c r="AR42" s="1767">
        <v>0</v>
      </c>
      <c r="AS42" s="1767">
        <v>0</v>
      </c>
      <c r="AT42" s="1767">
        <v>0</v>
      </c>
      <c r="AU42" s="1767">
        <v>0</v>
      </c>
      <c r="AV42" s="1767">
        <v>0</v>
      </c>
      <c r="AW42" s="1767">
        <v>0</v>
      </c>
      <c r="AX42" s="1767">
        <v>0</v>
      </c>
      <c r="AY42" s="1767">
        <v>0</v>
      </c>
      <c r="AZ42" s="1767">
        <v>0</v>
      </c>
      <c r="BA42" s="1767">
        <v>0</v>
      </c>
      <c r="BB42" s="1767">
        <v>0</v>
      </c>
      <c r="BC42" s="1767">
        <v>0</v>
      </c>
      <c r="BD42" s="1767">
        <v>0</v>
      </c>
      <c r="BE42" s="1767">
        <v>0</v>
      </c>
      <c r="BF42" s="1767">
        <v>0</v>
      </c>
      <c r="BG42" s="1767">
        <v>0</v>
      </c>
      <c r="BH42" s="1767">
        <v>0</v>
      </c>
      <c r="BI42" s="1767">
        <v>0</v>
      </c>
      <c r="BJ42" s="1767">
        <v>0</v>
      </c>
      <c r="BK42" s="1767">
        <v>0</v>
      </c>
      <c r="BL42" s="1767">
        <v>0</v>
      </c>
      <c r="BM42" s="1767">
        <v>0</v>
      </c>
      <c r="BN42" s="1767">
        <v>0</v>
      </c>
      <c r="BO42" s="1767">
        <v>0</v>
      </c>
      <c r="BP42" s="1767">
        <v>0</v>
      </c>
      <c r="BQ42" s="1767">
        <v>0</v>
      </c>
      <c r="BR42" s="1767">
        <v>0</v>
      </c>
      <c r="BS42" s="1767">
        <v>0</v>
      </c>
      <c r="BT42" s="1767">
        <v>0</v>
      </c>
      <c r="BU42" s="1767">
        <v>0</v>
      </c>
      <c r="BV42" s="1767">
        <v>0</v>
      </c>
      <c r="BW42" s="1767">
        <v>0</v>
      </c>
      <c r="BX42" s="1767">
        <v>0</v>
      </c>
      <c r="BY42" s="1767">
        <v>0</v>
      </c>
      <c r="BZ42" s="1767">
        <v>0</v>
      </c>
      <c r="CA42" s="1767">
        <v>0</v>
      </c>
      <c r="CB42" s="1767">
        <v>0</v>
      </c>
      <c r="CC42" s="1767">
        <v>0</v>
      </c>
      <c r="CD42" s="1767">
        <v>0</v>
      </c>
      <c r="CE42" s="1767">
        <v>0</v>
      </c>
      <c r="CF42" s="1767">
        <v>0</v>
      </c>
      <c r="CG42" s="1767">
        <v>0</v>
      </c>
      <c r="CH42" s="1767">
        <v>0</v>
      </c>
      <c r="CI42" s="1767">
        <v>0</v>
      </c>
      <c r="CJ42" s="1767">
        <v>0</v>
      </c>
      <c r="CK42" s="1767">
        <v>0</v>
      </c>
      <c r="CL42" s="1767">
        <v>0</v>
      </c>
      <c r="CM42" s="1767">
        <v>0</v>
      </c>
      <c r="CN42" s="1767">
        <v>0</v>
      </c>
      <c r="CO42" s="1767">
        <v>0</v>
      </c>
      <c r="CP42" s="1767">
        <v>0</v>
      </c>
    </row>
    <row r="43" spans="1:94" ht="15" customHeight="1" thickBot="1" x14ac:dyDescent="0.25">
      <c r="A43" s="1848"/>
      <c r="B43" s="1857"/>
      <c r="C43" s="654" t="s">
        <v>1950</v>
      </c>
      <c r="D43" s="950"/>
      <c r="E43" s="1845"/>
      <c r="F43" s="1225"/>
      <c r="G43" s="1767">
        <v>0</v>
      </c>
      <c r="H43" s="1767">
        <v>0</v>
      </c>
      <c r="I43" s="1767">
        <v>0</v>
      </c>
      <c r="J43" s="1767">
        <v>0</v>
      </c>
      <c r="K43" s="1767">
        <v>0</v>
      </c>
      <c r="L43" s="1767">
        <v>0</v>
      </c>
      <c r="M43" s="1767">
        <v>0</v>
      </c>
      <c r="N43" s="1767">
        <v>0</v>
      </c>
      <c r="O43" s="1767">
        <v>0</v>
      </c>
      <c r="P43" s="1767">
        <v>0</v>
      </c>
      <c r="Q43" s="1767">
        <v>0</v>
      </c>
      <c r="R43" s="1767">
        <v>0</v>
      </c>
      <c r="S43" s="1767">
        <v>0</v>
      </c>
      <c r="T43" s="1767">
        <v>0</v>
      </c>
      <c r="U43" s="1767">
        <v>0</v>
      </c>
      <c r="V43" s="1767">
        <v>0</v>
      </c>
      <c r="W43" s="1767">
        <v>0</v>
      </c>
      <c r="X43" s="1767">
        <v>0</v>
      </c>
      <c r="Y43" s="1767">
        <v>0</v>
      </c>
      <c r="Z43" s="1767">
        <v>0</v>
      </c>
      <c r="AA43" s="1767">
        <v>0</v>
      </c>
      <c r="AB43" s="1767">
        <v>0</v>
      </c>
      <c r="AC43" s="1767">
        <v>0</v>
      </c>
      <c r="AD43" s="1767">
        <v>0</v>
      </c>
      <c r="AE43" s="1767">
        <v>0</v>
      </c>
      <c r="AF43" s="1767">
        <v>0</v>
      </c>
      <c r="AG43" s="1767">
        <v>0</v>
      </c>
      <c r="AH43" s="1767">
        <v>0</v>
      </c>
      <c r="AI43" s="1767">
        <v>0</v>
      </c>
      <c r="AJ43" s="1767">
        <v>0</v>
      </c>
      <c r="AK43" s="1767">
        <v>0</v>
      </c>
      <c r="AL43" s="1767">
        <v>0</v>
      </c>
      <c r="AM43" s="1767">
        <v>0</v>
      </c>
      <c r="AN43" s="1767">
        <v>0</v>
      </c>
      <c r="AO43" s="1767">
        <v>0</v>
      </c>
      <c r="AP43" s="1767">
        <v>0</v>
      </c>
      <c r="AQ43" s="1767">
        <v>0</v>
      </c>
      <c r="AR43" s="1767">
        <v>0</v>
      </c>
      <c r="AS43" s="1767">
        <v>0</v>
      </c>
      <c r="AT43" s="1767">
        <v>0</v>
      </c>
      <c r="AU43" s="1767">
        <v>0</v>
      </c>
      <c r="AV43" s="1767">
        <v>0</v>
      </c>
      <c r="AW43" s="1767">
        <v>0</v>
      </c>
      <c r="AX43" s="1767">
        <v>0</v>
      </c>
      <c r="AY43" s="1767">
        <v>0</v>
      </c>
      <c r="AZ43" s="1767">
        <v>0</v>
      </c>
      <c r="BA43" s="1767">
        <v>0</v>
      </c>
      <c r="BB43" s="1767">
        <v>0</v>
      </c>
      <c r="BC43" s="1767">
        <v>0</v>
      </c>
      <c r="BD43" s="1767">
        <v>0</v>
      </c>
      <c r="BE43" s="1767">
        <v>0</v>
      </c>
      <c r="BF43" s="1767">
        <v>0</v>
      </c>
      <c r="BG43" s="1767">
        <v>0</v>
      </c>
      <c r="BH43" s="1767">
        <v>0</v>
      </c>
      <c r="BI43" s="1767">
        <v>0</v>
      </c>
      <c r="BJ43" s="1767">
        <v>0</v>
      </c>
      <c r="BK43" s="1767">
        <v>0</v>
      </c>
      <c r="BL43" s="1767">
        <v>0</v>
      </c>
      <c r="BM43" s="1767">
        <v>0</v>
      </c>
      <c r="BN43" s="1767">
        <v>0</v>
      </c>
      <c r="BO43" s="1767">
        <v>0</v>
      </c>
      <c r="BP43" s="1767">
        <v>0</v>
      </c>
      <c r="BQ43" s="1767">
        <v>0</v>
      </c>
      <c r="BR43" s="1767">
        <v>0</v>
      </c>
      <c r="BS43" s="1767">
        <v>0</v>
      </c>
      <c r="BT43" s="1767">
        <v>0</v>
      </c>
      <c r="BU43" s="1767">
        <v>0</v>
      </c>
      <c r="BV43" s="1767">
        <v>0</v>
      </c>
      <c r="BW43" s="1767">
        <v>0</v>
      </c>
      <c r="BX43" s="1767">
        <v>0</v>
      </c>
      <c r="BY43" s="1767">
        <v>0</v>
      </c>
      <c r="BZ43" s="1767">
        <v>0</v>
      </c>
      <c r="CA43" s="1767">
        <v>0</v>
      </c>
      <c r="CB43" s="1767">
        <v>0</v>
      </c>
      <c r="CC43" s="1767">
        <v>0</v>
      </c>
      <c r="CD43" s="1767">
        <v>0</v>
      </c>
      <c r="CE43" s="1767">
        <v>0</v>
      </c>
      <c r="CF43" s="1767">
        <v>0</v>
      </c>
      <c r="CG43" s="1767">
        <v>0</v>
      </c>
      <c r="CH43" s="1767">
        <v>0</v>
      </c>
      <c r="CI43" s="1767">
        <v>0</v>
      </c>
      <c r="CJ43" s="1767">
        <v>0</v>
      </c>
      <c r="CK43" s="1767">
        <v>0</v>
      </c>
      <c r="CL43" s="1767">
        <v>0</v>
      </c>
      <c r="CM43" s="1767">
        <v>0</v>
      </c>
      <c r="CN43" s="1767">
        <v>0</v>
      </c>
      <c r="CO43" s="1767">
        <v>0</v>
      </c>
      <c r="CP43" s="1767">
        <v>0</v>
      </c>
    </row>
    <row r="44" spans="1:94" ht="43.5" customHeight="1" thickBot="1" x14ac:dyDescent="0.25">
      <c r="A44" s="1858" t="s">
        <v>1282</v>
      </c>
      <c r="B44" s="1856" t="s">
        <v>653</v>
      </c>
      <c r="C44" s="1778" t="s">
        <v>2508</v>
      </c>
      <c r="D44" s="946"/>
      <c r="E44" s="1844" t="s">
        <v>1835</v>
      </c>
      <c r="F44" s="1225"/>
      <c r="G44" s="1742"/>
      <c r="H44" s="1742"/>
      <c r="I44" s="1742"/>
      <c r="J44" s="1742"/>
      <c r="K44" s="1742"/>
      <c r="L44" s="1742"/>
      <c r="M44" s="1742"/>
      <c r="N44" s="1742"/>
      <c r="O44" s="1742"/>
      <c r="P44" s="1742"/>
      <c r="Q44" s="1742"/>
      <c r="R44" s="1742"/>
      <c r="S44" s="1742"/>
      <c r="T44" s="1742"/>
      <c r="U44" s="1742"/>
      <c r="V44" s="1742"/>
      <c r="W44" s="1742"/>
      <c r="X44" s="1742"/>
      <c r="Y44" s="1742"/>
      <c r="Z44" s="1742"/>
      <c r="AA44" s="1742"/>
      <c r="AB44" s="1742"/>
      <c r="AC44" s="1742"/>
      <c r="AD44" s="1742"/>
      <c r="AE44" s="1742"/>
      <c r="AF44" s="1742"/>
      <c r="AG44" s="1742"/>
      <c r="AH44" s="1742"/>
      <c r="AI44" s="1742"/>
      <c r="AJ44" s="1742"/>
      <c r="AK44" s="1742"/>
      <c r="AL44" s="1742"/>
      <c r="AM44" s="1742"/>
      <c r="AN44" s="1742"/>
      <c r="AO44" s="1742"/>
      <c r="AP44" s="1742"/>
      <c r="AQ44" s="1742"/>
      <c r="AR44" s="1742"/>
      <c r="AS44" s="1742"/>
      <c r="AT44" s="1742"/>
      <c r="AU44" s="1742"/>
      <c r="AV44" s="1742"/>
      <c r="AW44" s="1742"/>
      <c r="AX44" s="1742"/>
      <c r="AY44" s="1742"/>
      <c r="AZ44" s="1742"/>
      <c r="BA44" s="1742"/>
      <c r="BB44" s="1742"/>
      <c r="BC44" s="1742"/>
      <c r="BD44" s="1742"/>
      <c r="BE44" s="1742"/>
      <c r="BF44" s="1742"/>
      <c r="BG44" s="1742"/>
      <c r="BH44" s="1742"/>
      <c r="BI44" s="1742"/>
      <c r="BJ44" s="1742"/>
      <c r="BK44" s="1742"/>
      <c r="BL44" s="1742"/>
      <c r="BM44" s="1742"/>
      <c r="BN44" s="1742"/>
      <c r="BO44" s="1742"/>
      <c r="BP44" s="1742"/>
      <c r="BQ44" s="1742"/>
      <c r="BR44" s="1742"/>
      <c r="BS44" s="1742"/>
      <c r="BT44" s="1742"/>
      <c r="BU44" s="1742"/>
      <c r="BV44" s="1742"/>
      <c r="BW44" s="1742"/>
      <c r="BX44" s="1742"/>
      <c r="BY44" s="1742"/>
      <c r="BZ44" s="1742"/>
      <c r="CA44" s="1742"/>
      <c r="CB44" s="1742"/>
      <c r="CC44" s="1742"/>
      <c r="CD44" s="1742"/>
      <c r="CE44" s="1742"/>
      <c r="CF44" s="1742"/>
      <c r="CG44" s="1742"/>
      <c r="CH44" s="1742"/>
      <c r="CI44" s="1742"/>
      <c r="CJ44" s="1742"/>
      <c r="CK44" s="1742"/>
      <c r="CL44" s="1742"/>
      <c r="CM44" s="1742"/>
      <c r="CN44" s="1742"/>
      <c r="CO44" s="1742"/>
      <c r="CP44" s="1742"/>
    </row>
    <row r="45" spans="1:94" ht="15.75" customHeight="1" x14ac:dyDescent="0.2">
      <c r="A45" s="1847"/>
      <c r="B45" s="1856"/>
      <c r="C45" s="652" t="s">
        <v>58</v>
      </c>
      <c r="D45" s="936"/>
      <c r="E45" s="1844"/>
      <c r="F45" s="1225"/>
      <c r="G45" s="1767">
        <v>0</v>
      </c>
      <c r="H45" s="1767">
        <v>0</v>
      </c>
      <c r="I45" s="1767">
        <v>0</v>
      </c>
      <c r="J45" s="1767">
        <v>0</v>
      </c>
      <c r="K45" s="1767">
        <v>0</v>
      </c>
      <c r="L45" s="1767">
        <v>0</v>
      </c>
      <c r="M45" s="1767">
        <v>0</v>
      </c>
      <c r="N45" s="1767">
        <v>0</v>
      </c>
      <c r="O45" s="1767">
        <v>0</v>
      </c>
      <c r="P45" s="1767">
        <v>0</v>
      </c>
      <c r="Q45" s="1767">
        <v>0</v>
      </c>
      <c r="R45" s="1767">
        <v>0</v>
      </c>
      <c r="S45" s="1767">
        <v>0</v>
      </c>
      <c r="T45" s="1767">
        <v>0</v>
      </c>
      <c r="U45" s="1767">
        <v>0</v>
      </c>
      <c r="V45" s="1767">
        <v>0</v>
      </c>
      <c r="W45" s="1767">
        <v>0</v>
      </c>
      <c r="X45" s="1767">
        <v>0</v>
      </c>
      <c r="Y45" s="1767">
        <v>0</v>
      </c>
      <c r="Z45" s="1767">
        <v>0</v>
      </c>
      <c r="AA45" s="1767">
        <v>0</v>
      </c>
      <c r="AB45" s="1767">
        <v>0</v>
      </c>
      <c r="AC45" s="1767">
        <v>0</v>
      </c>
      <c r="AD45" s="1767">
        <v>0</v>
      </c>
      <c r="AE45" s="1767">
        <v>0</v>
      </c>
      <c r="AF45" s="1767">
        <v>0</v>
      </c>
      <c r="AG45" s="1767">
        <v>0</v>
      </c>
      <c r="AH45" s="1767">
        <v>0</v>
      </c>
      <c r="AI45" s="1767">
        <v>0</v>
      </c>
      <c r="AJ45" s="1767">
        <v>0</v>
      </c>
      <c r="AK45" s="1767">
        <v>0</v>
      </c>
      <c r="AL45" s="1767">
        <v>0</v>
      </c>
      <c r="AM45" s="1767">
        <v>0</v>
      </c>
      <c r="AN45" s="1767">
        <v>0</v>
      </c>
      <c r="AO45" s="1767">
        <v>0</v>
      </c>
      <c r="AP45" s="1767">
        <v>0</v>
      </c>
      <c r="AQ45" s="1767">
        <v>0</v>
      </c>
      <c r="AR45" s="1767">
        <v>0</v>
      </c>
      <c r="AS45" s="1767">
        <v>0</v>
      </c>
      <c r="AT45" s="1767">
        <v>0</v>
      </c>
      <c r="AU45" s="1767">
        <v>0</v>
      </c>
      <c r="AV45" s="1767">
        <v>0</v>
      </c>
      <c r="AW45" s="1767">
        <v>0</v>
      </c>
      <c r="AX45" s="1767">
        <v>0</v>
      </c>
      <c r="AY45" s="1767">
        <v>0</v>
      </c>
      <c r="AZ45" s="1767">
        <v>0</v>
      </c>
      <c r="BA45" s="1767">
        <v>0</v>
      </c>
      <c r="BB45" s="1767">
        <v>0</v>
      </c>
      <c r="BC45" s="1767">
        <v>0</v>
      </c>
      <c r="BD45" s="1767">
        <v>0</v>
      </c>
      <c r="BE45" s="1767">
        <v>0</v>
      </c>
      <c r="BF45" s="1767">
        <v>0</v>
      </c>
      <c r="BG45" s="1767">
        <v>0</v>
      </c>
      <c r="BH45" s="1767">
        <v>0</v>
      </c>
      <c r="BI45" s="1767">
        <v>0</v>
      </c>
      <c r="BJ45" s="1767">
        <v>0</v>
      </c>
      <c r="BK45" s="1767">
        <v>0</v>
      </c>
      <c r="BL45" s="1767">
        <v>0</v>
      </c>
      <c r="BM45" s="1767">
        <v>0</v>
      </c>
      <c r="BN45" s="1767">
        <v>0</v>
      </c>
      <c r="BO45" s="1767">
        <v>0</v>
      </c>
      <c r="BP45" s="1767">
        <v>0</v>
      </c>
      <c r="BQ45" s="1767">
        <v>0</v>
      </c>
      <c r="BR45" s="1767">
        <v>0</v>
      </c>
      <c r="BS45" s="1767">
        <v>0</v>
      </c>
      <c r="BT45" s="1767">
        <v>0</v>
      </c>
      <c r="BU45" s="1767">
        <v>0</v>
      </c>
      <c r="BV45" s="1767">
        <v>0</v>
      </c>
      <c r="BW45" s="1767">
        <v>0</v>
      </c>
      <c r="BX45" s="1767">
        <v>0</v>
      </c>
      <c r="BY45" s="1767">
        <v>0</v>
      </c>
      <c r="BZ45" s="1767">
        <v>0</v>
      </c>
      <c r="CA45" s="1767">
        <v>0</v>
      </c>
      <c r="CB45" s="1767">
        <v>0</v>
      </c>
      <c r="CC45" s="1767">
        <v>0</v>
      </c>
      <c r="CD45" s="1767">
        <v>0</v>
      </c>
      <c r="CE45" s="1767">
        <v>0</v>
      </c>
      <c r="CF45" s="1767">
        <v>0</v>
      </c>
      <c r="CG45" s="1767">
        <v>0</v>
      </c>
      <c r="CH45" s="1767">
        <v>0</v>
      </c>
      <c r="CI45" s="1767">
        <v>0</v>
      </c>
      <c r="CJ45" s="1767">
        <v>0</v>
      </c>
      <c r="CK45" s="1767">
        <v>0</v>
      </c>
      <c r="CL45" s="1767">
        <v>0</v>
      </c>
      <c r="CM45" s="1767">
        <v>0</v>
      </c>
      <c r="CN45" s="1767">
        <v>0</v>
      </c>
      <c r="CO45" s="1767">
        <v>0</v>
      </c>
      <c r="CP45" s="1767">
        <v>0</v>
      </c>
    </row>
    <row r="46" spans="1:94" ht="16.5" customHeight="1" thickBot="1" x14ac:dyDescent="0.25">
      <c r="A46" s="1847"/>
      <c r="B46" s="1856"/>
      <c r="C46" s="800" t="s">
        <v>59</v>
      </c>
      <c r="D46" s="949"/>
      <c r="E46" s="1844"/>
      <c r="F46" s="1225"/>
      <c r="G46" s="1767">
        <v>0</v>
      </c>
      <c r="H46" s="1767">
        <v>0</v>
      </c>
      <c r="I46" s="1767">
        <v>0</v>
      </c>
      <c r="J46" s="1767">
        <v>0</v>
      </c>
      <c r="K46" s="1767">
        <v>0</v>
      </c>
      <c r="L46" s="1767">
        <v>0</v>
      </c>
      <c r="M46" s="1767">
        <v>0</v>
      </c>
      <c r="N46" s="1767">
        <v>0</v>
      </c>
      <c r="O46" s="1767">
        <v>0</v>
      </c>
      <c r="P46" s="1767">
        <v>0</v>
      </c>
      <c r="Q46" s="1767">
        <v>0</v>
      </c>
      <c r="R46" s="1767">
        <v>0</v>
      </c>
      <c r="S46" s="1767">
        <v>0</v>
      </c>
      <c r="T46" s="1767">
        <v>0</v>
      </c>
      <c r="U46" s="1767">
        <v>0</v>
      </c>
      <c r="V46" s="1767">
        <v>0</v>
      </c>
      <c r="W46" s="1767">
        <v>0</v>
      </c>
      <c r="X46" s="1767">
        <v>0</v>
      </c>
      <c r="Y46" s="1767">
        <v>0</v>
      </c>
      <c r="Z46" s="1767">
        <v>0</v>
      </c>
      <c r="AA46" s="1767">
        <v>0</v>
      </c>
      <c r="AB46" s="1767">
        <v>0</v>
      </c>
      <c r="AC46" s="1767">
        <v>0</v>
      </c>
      <c r="AD46" s="1767">
        <v>0</v>
      </c>
      <c r="AE46" s="1767">
        <v>0</v>
      </c>
      <c r="AF46" s="1767">
        <v>0</v>
      </c>
      <c r="AG46" s="1767">
        <v>0</v>
      </c>
      <c r="AH46" s="1767">
        <v>0</v>
      </c>
      <c r="AI46" s="1767">
        <v>0</v>
      </c>
      <c r="AJ46" s="1767">
        <v>0</v>
      </c>
      <c r="AK46" s="1767">
        <v>0</v>
      </c>
      <c r="AL46" s="1767">
        <v>0</v>
      </c>
      <c r="AM46" s="1767">
        <v>0</v>
      </c>
      <c r="AN46" s="1767">
        <v>0</v>
      </c>
      <c r="AO46" s="1767">
        <v>0</v>
      </c>
      <c r="AP46" s="1767">
        <v>0</v>
      </c>
      <c r="AQ46" s="1767">
        <v>0</v>
      </c>
      <c r="AR46" s="1767">
        <v>0</v>
      </c>
      <c r="AS46" s="1767">
        <v>0</v>
      </c>
      <c r="AT46" s="1767">
        <v>0</v>
      </c>
      <c r="AU46" s="1767">
        <v>0</v>
      </c>
      <c r="AV46" s="1767">
        <v>0</v>
      </c>
      <c r="AW46" s="1767">
        <v>0</v>
      </c>
      <c r="AX46" s="1767">
        <v>0</v>
      </c>
      <c r="AY46" s="1767">
        <v>0</v>
      </c>
      <c r="AZ46" s="1767">
        <v>0</v>
      </c>
      <c r="BA46" s="1767">
        <v>0</v>
      </c>
      <c r="BB46" s="1767">
        <v>0</v>
      </c>
      <c r="BC46" s="1767">
        <v>0</v>
      </c>
      <c r="BD46" s="1767">
        <v>0</v>
      </c>
      <c r="BE46" s="1767">
        <v>0</v>
      </c>
      <c r="BF46" s="1767">
        <v>0</v>
      </c>
      <c r="BG46" s="1767">
        <v>0</v>
      </c>
      <c r="BH46" s="1767">
        <v>0</v>
      </c>
      <c r="BI46" s="1767">
        <v>0</v>
      </c>
      <c r="BJ46" s="1767">
        <v>0</v>
      </c>
      <c r="BK46" s="1767">
        <v>0</v>
      </c>
      <c r="BL46" s="1767">
        <v>0</v>
      </c>
      <c r="BM46" s="1767">
        <v>0</v>
      </c>
      <c r="BN46" s="1767">
        <v>0</v>
      </c>
      <c r="BO46" s="1767">
        <v>0</v>
      </c>
      <c r="BP46" s="1767">
        <v>0</v>
      </c>
      <c r="BQ46" s="1767">
        <v>0</v>
      </c>
      <c r="BR46" s="1767">
        <v>0</v>
      </c>
      <c r="BS46" s="1767">
        <v>0</v>
      </c>
      <c r="BT46" s="1767">
        <v>0</v>
      </c>
      <c r="BU46" s="1767">
        <v>0</v>
      </c>
      <c r="BV46" s="1767">
        <v>0</v>
      </c>
      <c r="BW46" s="1767">
        <v>0</v>
      </c>
      <c r="BX46" s="1767">
        <v>0</v>
      </c>
      <c r="BY46" s="1767">
        <v>0</v>
      </c>
      <c r="BZ46" s="1767">
        <v>0</v>
      </c>
      <c r="CA46" s="1767">
        <v>0</v>
      </c>
      <c r="CB46" s="1767">
        <v>0</v>
      </c>
      <c r="CC46" s="1767">
        <v>0</v>
      </c>
      <c r="CD46" s="1767">
        <v>0</v>
      </c>
      <c r="CE46" s="1767">
        <v>0</v>
      </c>
      <c r="CF46" s="1767">
        <v>0</v>
      </c>
      <c r="CG46" s="1767">
        <v>0</v>
      </c>
      <c r="CH46" s="1767">
        <v>0</v>
      </c>
      <c r="CI46" s="1767">
        <v>0</v>
      </c>
      <c r="CJ46" s="1767">
        <v>0</v>
      </c>
      <c r="CK46" s="1767">
        <v>0</v>
      </c>
      <c r="CL46" s="1767">
        <v>0</v>
      </c>
      <c r="CM46" s="1767">
        <v>0</v>
      </c>
      <c r="CN46" s="1767">
        <v>0</v>
      </c>
      <c r="CO46" s="1767">
        <v>0</v>
      </c>
      <c r="CP46" s="1767">
        <v>0</v>
      </c>
    </row>
    <row r="47" spans="1:94" ht="30" customHeight="1" thickBot="1" x14ac:dyDescent="0.25">
      <c r="A47" s="1849" t="s">
        <v>1283</v>
      </c>
      <c r="B47" s="1846" t="s">
        <v>19</v>
      </c>
      <c r="C47" s="1777" t="s">
        <v>2343</v>
      </c>
      <c r="D47" s="947"/>
      <c r="E47" s="1843" t="s">
        <v>1951</v>
      </c>
      <c r="F47" s="1225"/>
      <c r="G47" s="1742"/>
      <c r="H47" s="1742"/>
      <c r="I47" s="1742"/>
      <c r="J47" s="1742"/>
      <c r="K47" s="1742"/>
      <c r="L47" s="1742"/>
      <c r="M47" s="1742"/>
      <c r="N47" s="1742"/>
      <c r="O47" s="1742"/>
      <c r="P47" s="1742"/>
      <c r="Q47" s="1742"/>
      <c r="R47" s="1742"/>
      <c r="S47" s="1742"/>
      <c r="T47" s="1742"/>
      <c r="U47" s="1742"/>
      <c r="V47" s="1742"/>
      <c r="W47" s="1742"/>
      <c r="X47" s="1742"/>
      <c r="Y47" s="1742"/>
      <c r="Z47" s="1742"/>
      <c r="AA47" s="1742"/>
      <c r="AB47" s="1742"/>
      <c r="AC47" s="1742"/>
      <c r="AD47" s="1742"/>
      <c r="AE47" s="1742"/>
      <c r="AF47" s="1742"/>
      <c r="AG47" s="1742"/>
      <c r="AH47" s="1742"/>
      <c r="AI47" s="1742"/>
      <c r="AJ47" s="1742"/>
      <c r="AK47" s="1742"/>
      <c r="AL47" s="1742"/>
      <c r="AM47" s="1742"/>
      <c r="AN47" s="1742"/>
      <c r="AO47" s="1742"/>
      <c r="AP47" s="1742"/>
      <c r="AQ47" s="1742"/>
      <c r="AR47" s="1742"/>
      <c r="AS47" s="1742"/>
      <c r="AT47" s="1742"/>
      <c r="AU47" s="1742"/>
      <c r="AV47" s="1742"/>
      <c r="AW47" s="1742"/>
      <c r="AX47" s="1742"/>
      <c r="AY47" s="1742"/>
      <c r="AZ47" s="1742"/>
      <c r="BA47" s="1742"/>
      <c r="BB47" s="1742"/>
      <c r="BC47" s="1742"/>
      <c r="BD47" s="1742"/>
      <c r="BE47" s="1742"/>
      <c r="BF47" s="1742"/>
      <c r="BG47" s="1742"/>
      <c r="BH47" s="1742"/>
      <c r="BI47" s="1742"/>
      <c r="BJ47" s="1742"/>
      <c r="BK47" s="1742"/>
      <c r="BL47" s="1742"/>
      <c r="BM47" s="1742"/>
      <c r="BN47" s="1742"/>
      <c r="BO47" s="1742"/>
      <c r="BP47" s="1742"/>
      <c r="BQ47" s="1742"/>
      <c r="BR47" s="1742"/>
      <c r="BS47" s="1742"/>
      <c r="BT47" s="1742"/>
      <c r="BU47" s="1742"/>
      <c r="BV47" s="1742"/>
      <c r="BW47" s="1742"/>
      <c r="BX47" s="1742"/>
      <c r="BY47" s="1742"/>
      <c r="BZ47" s="1742"/>
      <c r="CA47" s="1742"/>
      <c r="CB47" s="1742"/>
      <c r="CC47" s="1742"/>
      <c r="CD47" s="1742"/>
      <c r="CE47" s="1742"/>
      <c r="CF47" s="1742"/>
      <c r="CG47" s="1742"/>
      <c r="CH47" s="1742"/>
      <c r="CI47" s="1742"/>
      <c r="CJ47" s="1742"/>
      <c r="CK47" s="1742"/>
      <c r="CL47" s="1742"/>
      <c r="CM47" s="1742"/>
      <c r="CN47" s="1742"/>
      <c r="CO47" s="1742"/>
      <c r="CP47" s="1742"/>
    </row>
    <row r="48" spans="1:94" ht="15" customHeight="1" x14ac:dyDescent="0.2">
      <c r="A48" s="1847"/>
      <c r="B48" s="1856"/>
      <c r="C48" s="652" t="s">
        <v>2087</v>
      </c>
      <c r="D48" s="936"/>
      <c r="E48" s="1844"/>
      <c r="F48" s="1225"/>
      <c r="G48" s="1767">
        <v>0</v>
      </c>
      <c r="H48" s="1767">
        <v>0</v>
      </c>
      <c r="I48" s="1767">
        <v>0</v>
      </c>
      <c r="J48" s="1767">
        <v>0</v>
      </c>
      <c r="K48" s="1767">
        <v>0</v>
      </c>
      <c r="L48" s="1767">
        <v>0</v>
      </c>
      <c r="M48" s="1767">
        <v>0</v>
      </c>
      <c r="N48" s="1767">
        <v>0</v>
      </c>
      <c r="O48" s="1767">
        <v>0</v>
      </c>
      <c r="P48" s="1767">
        <v>0</v>
      </c>
      <c r="Q48" s="1767">
        <v>0</v>
      </c>
      <c r="R48" s="1767">
        <v>0</v>
      </c>
      <c r="S48" s="1767">
        <v>0</v>
      </c>
      <c r="T48" s="1767">
        <v>0</v>
      </c>
      <c r="U48" s="1767">
        <v>0</v>
      </c>
      <c r="V48" s="1767">
        <v>0</v>
      </c>
      <c r="W48" s="1767">
        <v>0</v>
      </c>
      <c r="X48" s="1767">
        <v>0</v>
      </c>
      <c r="Y48" s="1767">
        <v>0</v>
      </c>
      <c r="Z48" s="1767">
        <v>0</v>
      </c>
      <c r="AA48" s="1767">
        <v>0</v>
      </c>
      <c r="AB48" s="1767">
        <v>0</v>
      </c>
      <c r="AC48" s="1767">
        <v>0</v>
      </c>
      <c r="AD48" s="1767">
        <v>0</v>
      </c>
      <c r="AE48" s="1767">
        <v>0</v>
      </c>
      <c r="AF48" s="1767">
        <v>0</v>
      </c>
      <c r="AG48" s="1767">
        <v>0</v>
      </c>
      <c r="AH48" s="1767">
        <v>0</v>
      </c>
      <c r="AI48" s="1767">
        <v>0</v>
      </c>
      <c r="AJ48" s="1767">
        <v>0</v>
      </c>
      <c r="AK48" s="1767">
        <v>0</v>
      </c>
      <c r="AL48" s="1767">
        <v>0</v>
      </c>
      <c r="AM48" s="1767">
        <v>0</v>
      </c>
      <c r="AN48" s="1767">
        <v>0</v>
      </c>
      <c r="AO48" s="1767">
        <v>0</v>
      </c>
      <c r="AP48" s="1767">
        <v>0</v>
      </c>
      <c r="AQ48" s="1767">
        <v>0</v>
      </c>
      <c r="AR48" s="1767">
        <v>0</v>
      </c>
      <c r="AS48" s="1767">
        <v>0</v>
      </c>
      <c r="AT48" s="1767">
        <v>0</v>
      </c>
      <c r="AU48" s="1767">
        <v>0</v>
      </c>
      <c r="AV48" s="1767">
        <v>0</v>
      </c>
      <c r="AW48" s="1767">
        <v>0</v>
      </c>
      <c r="AX48" s="1767">
        <v>0</v>
      </c>
      <c r="AY48" s="1767">
        <v>0</v>
      </c>
      <c r="AZ48" s="1767">
        <v>0</v>
      </c>
      <c r="BA48" s="1767">
        <v>0</v>
      </c>
      <c r="BB48" s="1767">
        <v>0</v>
      </c>
      <c r="BC48" s="1767">
        <v>0</v>
      </c>
      <c r="BD48" s="1767">
        <v>0</v>
      </c>
      <c r="BE48" s="1767">
        <v>0</v>
      </c>
      <c r="BF48" s="1767">
        <v>0</v>
      </c>
      <c r="BG48" s="1767">
        <v>0</v>
      </c>
      <c r="BH48" s="1767">
        <v>0</v>
      </c>
      <c r="BI48" s="1767">
        <v>0</v>
      </c>
      <c r="BJ48" s="1767">
        <v>0</v>
      </c>
      <c r="BK48" s="1767">
        <v>0</v>
      </c>
      <c r="BL48" s="1767">
        <v>0</v>
      </c>
      <c r="BM48" s="1767">
        <v>0</v>
      </c>
      <c r="BN48" s="1767">
        <v>0</v>
      </c>
      <c r="BO48" s="1767">
        <v>0</v>
      </c>
      <c r="BP48" s="1767">
        <v>0</v>
      </c>
      <c r="BQ48" s="1767">
        <v>0</v>
      </c>
      <c r="BR48" s="1767">
        <v>0</v>
      </c>
      <c r="BS48" s="1767">
        <v>0</v>
      </c>
      <c r="BT48" s="1767">
        <v>0</v>
      </c>
      <c r="BU48" s="1767">
        <v>0</v>
      </c>
      <c r="BV48" s="1767">
        <v>0</v>
      </c>
      <c r="BW48" s="1767">
        <v>0</v>
      </c>
      <c r="BX48" s="1767">
        <v>0</v>
      </c>
      <c r="BY48" s="1767">
        <v>0</v>
      </c>
      <c r="BZ48" s="1767">
        <v>0</v>
      </c>
      <c r="CA48" s="1767">
        <v>0</v>
      </c>
      <c r="CB48" s="1767">
        <v>0</v>
      </c>
      <c r="CC48" s="1767">
        <v>0</v>
      </c>
      <c r="CD48" s="1767">
        <v>0</v>
      </c>
      <c r="CE48" s="1767">
        <v>0</v>
      </c>
      <c r="CF48" s="1767">
        <v>0</v>
      </c>
      <c r="CG48" s="1767">
        <v>0</v>
      </c>
      <c r="CH48" s="1767">
        <v>0</v>
      </c>
      <c r="CI48" s="1767">
        <v>0</v>
      </c>
      <c r="CJ48" s="1767">
        <v>0</v>
      </c>
      <c r="CK48" s="1767">
        <v>0</v>
      </c>
      <c r="CL48" s="1767">
        <v>0</v>
      </c>
      <c r="CM48" s="1767">
        <v>0</v>
      </c>
      <c r="CN48" s="1767">
        <v>0</v>
      </c>
      <c r="CO48" s="1767">
        <v>0</v>
      </c>
      <c r="CP48" s="1767">
        <v>0</v>
      </c>
    </row>
    <row r="49" spans="1:94" ht="15" customHeight="1" x14ac:dyDescent="0.2">
      <c r="A49" s="1847"/>
      <c r="B49" s="1856"/>
      <c r="C49" s="653" t="s">
        <v>541</v>
      </c>
      <c r="D49" s="936"/>
      <c r="E49" s="1844"/>
      <c r="F49" s="1225"/>
      <c r="G49" s="1767">
        <v>0</v>
      </c>
      <c r="H49" s="1767">
        <v>0</v>
      </c>
      <c r="I49" s="1767">
        <v>0</v>
      </c>
      <c r="J49" s="1767">
        <v>0</v>
      </c>
      <c r="K49" s="1767">
        <v>0</v>
      </c>
      <c r="L49" s="1767">
        <v>0</v>
      </c>
      <c r="M49" s="1767">
        <v>0</v>
      </c>
      <c r="N49" s="1767">
        <v>0</v>
      </c>
      <c r="O49" s="1767">
        <v>0</v>
      </c>
      <c r="P49" s="1767">
        <v>0</v>
      </c>
      <c r="Q49" s="1767">
        <v>0</v>
      </c>
      <c r="R49" s="1767">
        <v>0</v>
      </c>
      <c r="S49" s="1767">
        <v>0</v>
      </c>
      <c r="T49" s="1767">
        <v>0</v>
      </c>
      <c r="U49" s="1767">
        <v>0</v>
      </c>
      <c r="V49" s="1767">
        <v>0</v>
      </c>
      <c r="W49" s="1767">
        <v>0</v>
      </c>
      <c r="X49" s="1767">
        <v>0</v>
      </c>
      <c r="Y49" s="1767">
        <v>0</v>
      </c>
      <c r="Z49" s="1767">
        <v>0</v>
      </c>
      <c r="AA49" s="1767">
        <v>0</v>
      </c>
      <c r="AB49" s="1767">
        <v>0</v>
      </c>
      <c r="AC49" s="1767">
        <v>0</v>
      </c>
      <c r="AD49" s="1767">
        <v>0</v>
      </c>
      <c r="AE49" s="1767">
        <v>0</v>
      </c>
      <c r="AF49" s="1767">
        <v>0</v>
      </c>
      <c r="AG49" s="1767">
        <v>0</v>
      </c>
      <c r="AH49" s="1767">
        <v>0</v>
      </c>
      <c r="AI49" s="1767">
        <v>0</v>
      </c>
      <c r="AJ49" s="1767">
        <v>0</v>
      </c>
      <c r="AK49" s="1767">
        <v>0</v>
      </c>
      <c r="AL49" s="1767">
        <v>0</v>
      </c>
      <c r="AM49" s="1767">
        <v>0</v>
      </c>
      <c r="AN49" s="1767">
        <v>0</v>
      </c>
      <c r="AO49" s="1767">
        <v>0</v>
      </c>
      <c r="AP49" s="1767">
        <v>0</v>
      </c>
      <c r="AQ49" s="1767">
        <v>0</v>
      </c>
      <c r="AR49" s="1767">
        <v>0</v>
      </c>
      <c r="AS49" s="1767">
        <v>0</v>
      </c>
      <c r="AT49" s="1767">
        <v>0</v>
      </c>
      <c r="AU49" s="1767">
        <v>0</v>
      </c>
      <c r="AV49" s="1767">
        <v>0</v>
      </c>
      <c r="AW49" s="1767">
        <v>0</v>
      </c>
      <c r="AX49" s="1767">
        <v>0</v>
      </c>
      <c r="AY49" s="1767">
        <v>0</v>
      </c>
      <c r="AZ49" s="1767">
        <v>0</v>
      </c>
      <c r="BA49" s="1767">
        <v>0</v>
      </c>
      <c r="BB49" s="1767">
        <v>0</v>
      </c>
      <c r="BC49" s="1767">
        <v>0</v>
      </c>
      <c r="BD49" s="1767">
        <v>0</v>
      </c>
      <c r="BE49" s="1767">
        <v>0</v>
      </c>
      <c r="BF49" s="1767">
        <v>0</v>
      </c>
      <c r="BG49" s="1767">
        <v>0</v>
      </c>
      <c r="BH49" s="1767">
        <v>0</v>
      </c>
      <c r="BI49" s="1767">
        <v>0</v>
      </c>
      <c r="BJ49" s="1767">
        <v>0</v>
      </c>
      <c r="BK49" s="1767">
        <v>0</v>
      </c>
      <c r="BL49" s="1767">
        <v>0</v>
      </c>
      <c r="BM49" s="1767">
        <v>0</v>
      </c>
      <c r="BN49" s="1767">
        <v>0</v>
      </c>
      <c r="BO49" s="1767">
        <v>0</v>
      </c>
      <c r="BP49" s="1767">
        <v>0</v>
      </c>
      <c r="BQ49" s="1767">
        <v>0</v>
      </c>
      <c r="BR49" s="1767">
        <v>0</v>
      </c>
      <c r="BS49" s="1767">
        <v>0</v>
      </c>
      <c r="BT49" s="1767">
        <v>0</v>
      </c>
      <c r="BU49" s="1767">
        <v>0</v>
      </c>
      <c r="BV49" s="1767">
        <v>0</v>
      </c>
      <c r="BW49" s="1767">
        <v>0</v>
      </c>
      <c r="BX49" s="1767">
        <v>0</v>
      </c>
      <c r="BY49" s="1767">
        <v>0</v>
      </c>
      <c r="BZ49" s="1767">
        <v>0</v>
      </c>
      <c r="CA49" s="1767">
        <v>0</v>
      </c>
      <c r="CB49" s="1767">
        <v>0</v>
      </c>
      <c r="CC49" s="1767">
        <v>0</v>
      </c>
      <c r="CD49" s="1767">
        <v>0</v>
      </c>
      <c r="CE49" s="1767">
        <v>0</v>
      </c>
      <c r="CF49" s="1767">
        <v>0</v>
      </c>
      <c r="CG49" s="1767">
        <v>0</v>
      </c>
      <c r="CH49" s="1767">
        <v>0</v>
      </c>
      <c r="CI49" s="1767">
        <v>0</v>
      </c>
      <c r="CJ49" s="1767">
        <v>0</v>
      </c>
      <c r="CK49" s="1767">
        <v>0</v>
      </c>
      <c r="CL49" s="1767">
        <v>0</v>
      </c>
      <c r="CM49" s="1767">
        <v>0</v>
      </c>
      <c r="CN49" s="1767">
        <v>0</v>
      </c>
      <c r="CO49" s="1767">
        <v>0</v>
      </c>
      <c r="CP49" s="1767">
        <v>0</v>
      </c>
    </row>
    <row r="50" spans="1:94" ht="15" customHeight="1" x14ac:dyDescent="0.2">
      <c r="A50" s="1847"/>
      <c r="B50" s="1856"/>
      <c r="C50" s="653" t="s">
        <v>542</v>
      </c>
      <c r="D50" s="936"/>
      <c r="E50" s="1844"/>
      <c r="F50" s="1225"/>
      <c r="G50" s="1767">
        <v>0</v>
      </c>
      <c r="H50" s="1767">
        <v>0</v>
      </c>
      <c r="I50" s="1767">
        <v>0</v>
      </c>
      <c r="J50" s="1767">
        <v>0</v>
      </c>
      <c r="K50" s="1767">
        <v>0</v>
      </c>
      <c r="L50" s="1767">
        <v>0</v>
      </c>
      <c r="M50" s="1767">
        <v>0</v>
      </c>
      <c r="N50" s="1767">
        <v>0</v>
      </c>
      <c r="O50" s="1767">
        <v>0</v>
      </c>
      <c r="P50" s="1767">
        <v>0</v>
      </c>
      <c r="Q50" s="1767">
        <v>0</v>
      </c>
      <c r="R50" s="1767">
        <v>0</v>
      </c>
      <c r="S50" s="1767">
        <v>0</v>
      </c>
      <c r="T50" s="1767">
        <v>0</v>
      </c>
      <c r="U50" s="1767">
        <v>0</v>
      </c>
      <c r="V50" s="1767">
        <v>0</v>
      </c>
      <c r="W50" s="1767">
        <v>0</v>
      </c>
      <c r="X50" s="1767">
        <v>0</v>
      </c>
      <c r="Y50" s="1767">
        <v>0</v>
      </c>
      <c r="Z50" s="1767">
        <v>0</v>
      </c>
      <c r="AA50" s="1767">
        <v>0</v>
      </c>
      <c r="AB50" s="1767">
        <v>0</v>
      </c>
      <c r="AC50" s="1767">
        <v>0</v>
      </c>
      <c r="AD50" s="1767">
        <v>0</v>
      </c>
      <c r="AE50" s="1767">
        <v>0</v>
      </c>
      <c r="AF50" s="1767">
        <v>0</v>
      </c>
      <c r="AG50" s="1767">
        <v>0</v>
      </c>
      <c r="AH50" s="1767">
        <v>0</v>
      </c>
      <c r="AI50" s="1767">
        <v>0</v>
      </c>
      <c r="AJ50" s="1767">
        <v>0</v>
      </c>
      <c r="AK50" s="1767">
        <v>0</v>
      </c>
      <c r="AL50" s="1767">
        <v>0</v>
      </c>
      <c r="AM50" s="1767">
        <v>0</v>
      </c>
      <c r="AN50" s="1767">
        <v>0</v>
      </c>
      <c r="AO50" s="1767">
        <v>0</v>
      </c>
      <c r="AP50" s="1767">
        <v>0</v>
      </c>
      <c r="AQ50" s="1767">
        <v>0</v>
      </c>
      <c r="AR50" s="1767">
        <v>0</v>
      </c>
      <c r="AS50" s="1767">
        <v>0</v>
      </c>
      <c r="AT50" s="1767">
        <v>0</v>
      </c>
      <c r="AU50" s="1767">
        <v>0</v>
      </c>
      <c r="AV50" s="1767">
        <v>0</v>
      </c>
      <c r="AW50" s="1767">
        <v>0</v>
      </c>
      <c r="AX50" s="1767">
        <v>0</v>
      </c>
      <c r="AY50" s="1767">
        <v>0</v>
      </c>
      <c r="AZ50" s="1767">
        <v>0</v>
      </c>
      <c r="BA50" s="1767">
        <v>0</v>
      </c>
      <c r="BB50" s="1767">
        <v>0</v>
      </c>
      <c r="BC50" s="1767">
        <v>0</v>
      </c>
      <c r="BD50" s="1767">
        <v>0</v>
      </c>
      <c r="BE50" s="1767">
        <v>0</v>
      </c>
      <c r="BF50" s="1767">
        <v>0</v>
      </c>
      <c r="BG50" s="1767">
        <v>0</v>
      </c>
      <c r="BH50" s="1767">
        <v>0</v>
      </c>
      <c r="BI50" s="1767">
        <v>0</v>
      </c>
      <c r="BJ50" s="1767">
        <v>0</v>
      </c>
      <c r="BK50" s="1767">
        <v>0</v>
      </c>
      <c r="BL50" s="1767">
        <v>0</v>
      </c>
      <c r="BM50" s="1767">
        <v>0</v>
      </c>
      <c r="BN50" s="1767">
        <v>0</v>
      </c>
      <c r="BO50" s="1767">
        <v>0</v>
      </c>
      <c r="BP50" s="1767">
        <v>0</v>
      </c>
      <c r="BQ50" s="1767">
        <v>0</v>
      </c>
      <c r="BR50" s="1767">
        <v>0</v>
      </c>
      <c r="BS50" s="1767">
        <v>0</v>
      </c>
      <c r="BT50" s="1767">
        <v>0</v>
      </c>
      <c r="BU50" s="1767">
        <v>0</v>
      </c>
      <c r="BV50" s="1767">
        <v>0</v>
      </c>
      <c r="BW50" s="1767">
        <v>0</v>
      </c>
      <c r="BX50" s="1767">
        <v>0</v>
      </c>
      <c r="BY50" s="1767">
        <v>0</v>
      </c>
      <c r="BZ50" s="1767">
        <v>0</v>
      </c>
      <c r="CA50" s="1767">
        <v>0</v>
      </c>
      <c r="CB50" s="1767">
        <v>0</v>
      </c>
      <c r="CC50" s="1767">
        <v>0</v>
      </c>
      <c r="CD50" s="1767">
        <v>0</v>
      </c>
      <c r="CE50" s="1767">
        <v>0</v>
      </c>
      <c r="CF50" s="1767">
        <v>0</v>
      </c>
      <c r="CG50" s="1767">
        <v>0</v>
      </c>
      <c r="CH50" s="1767">
        <v>0</v>
      </c>
      <c r="CI50" s="1767">
        <v>0</v>
      </c>
      <c r="CJ50" s="1767">
        <v>0</v>
      </c>
      <c r="CK50" s="1767">
        <v>0</v>
      </c>
      <c r="CL50" s="1767">
        <v>0</v>
      </c>
      <c r="CM50" s="1767">
        <v>0</v>
      </c>
      <c r="CN50" s="1767">
        <v>0</v>
      </c>
      <c r="CO50" s="1767">
        <v>0</v>
      </c>
      <c r="CP50" s="1767">
        <v>0</v>
      </c>
    </row>
    <row r="51" spans="1:94" ht="15" customHeight="1" x14ac:dyDescent="0.2">
      <c r="A51" s="1847"/>
      <c r="B51" s="1856"/>
      <c r="C51" s="653" t="s">
        <v>543</v>
      </c>
      <c r="D51" s="936"/>
      <c r="E51" s="1844"/>
      <c r="F51" s="1225"/>
      <c r="G51" s="1767">
        <v>0</v>
      </c>
      <c r="H51" s="1767">
        <v>0</v>
      </c>
      <c r="I51" s="1767">
        <v>0</v>
      </c>
      <c r="J51" s="1767">
        <v>0</v>
      </c>
      <c r="K51" s="1767">
        <v>0</v>
      </c>
      <c r="L51" s="1767">
        <v>0</v>
      </c>
      <c r="M51" s="1767">
        <v>0</v>
      </c>
      <c r="N51" s="1767">
        <v>0</v>
      </c>
      <c r="O51" s="1767">
        <v>0</v>
      </c>
      <c r="P51" s="1767">
        <v>0</v>
      </c>
      <c r="Q51" s="1767">
        <v>0</v>
      </c>
      <c r="R51" s="1767">
        <v>0</v>
      </c>
      <c r="S51" s="1767">
        <v>0</v>
      </c>
      <c r="T51" s="1767">
        <v>0</v>
      </c>
      <c r="U51" s="1767">
        <v>0</v>
      </c>
      <c r="V51" s="1767">
        <v>0</v>
      </c>
      <c r="W51" s="1767">
        <v>0</v>
      </c>
      <c r="X51" s="1767">
        <v>0</v>
      </c>
      <c r="Y51" s="1767">
        <v>0</v>
      </c>
      <c r="Z51" s="1767">
        <v>0</v>
      </c>
      <c r="AA51" s="1767">
        <v>0</v>
      </c>
      <c r="AB51" s="1767">
        <v>0</v>
      </c>
      <c r="AC51" s="1767">
        <v>0</v>
      </c>
      <c r="AD51" s="1767">
        <v>0</v>
      </c>
      <c r="AE51" s="1767">
        <v>0</v>
      </c>
      <c r="AF51" s="1767">
        <v>0</v>
      </c>
      <c r="AG51" s="1767">
        <v>0</v>
      </c>
      <c r="AH51" s="1767">
        <v>0</v>
      </c>
      <c r="AI51" s="1767">
        <v>0</v>
      </c>
      <c r="AJ51" s="1767">
        <v>0</v>
      </c>
      <c r="AK51" s="1767">
        <v>0</v>
      </c>
      <c r="AL51" s="1767">
        <v>0</v>
      </c>
      <c r="AM51" s="1767">
        <v>0</v>
      </c>
      <c r="AN51" s="1767">
        <v>0</v>
      </c>
      <c r="AO51" s="1767">
        <v>0</v>
      </c>
      <c r="AP51" s="1767">
        <v>0</v>
      </c>
      <c r="AQ51" s="1767">
        <v>0</v>
      </c>
      <c r="AR51" s="1767">
        <v>0</v>
      </c>
      <c r="AS51" s="1767">
        <v>0</v>
      </c>
      <c r="AT51" s="1767">
        <v>0</v>
      </c>
      <c r="AU51" s="1767">
        <v>0</v>
      </c>
      <c r="AV51" s="1767">
        <v>0</v>
      </c>
      <c r="AW51" s="1767">
        <v>0</v>
      </c>
      <c r="AX51" s="1767">
        <v>0</v>
      </c>
      <c r="AY51" s="1767">
        <v>0</v>
      </c>
      <c r="AZ51" s="1767">
        <v>0</v>
      </c>
      <c r="BA51" s="1767">
        <v>0</v>
      </c>
      <c r="BB51" s="1767">
        <v>0</v>
      </c>
      <c r="BC51" s="1767">
        <v>0</v>
      </c>
      <c r="BD51" s="1767">
        <v>0</v>
      </c>
      <c r="BE51" s="1767">
        <v>0</v>
      </c>
      <c r="BF51" s="1767">
        <v>0</v>
      </c>
      <c r="BG51" s="1767">
        <v>0</v>
      </c>
      <c r="BH51" s="1767">
        <v>0</v>
      </c>
      <c r="BI51" s="1767">
        <v>0</v>
      </c>
      <c r="BJ51" s="1767">
        <v>0</v>
      </c>
      <c r="BK51" s="1767">
        <v>0</v>
      </c>
      <c r="BL51" s="1767">
        <v>0</v>
      </c>
      <c r="BM51" s="1767">
        <v>0</v>
      </c>
      <c r="BN51" s="1767">
        <v>0</v>
      </c>
      <c r="BO51" s="1767">
        <v>0</v>
      </c>
      <c r="BP51" s="1767">
        <v>0</v>
      </c>
      <c r="BQ51" s="1767">
        <v>0</v>
      </c>
      <c r="BR51" s="1767">
        <v>0</v>
      </c>
      <c r="BS51" s="1767">
        <v>0</v>
      </c>
      <c r="BT51" s="1767">
        <v>0</v>
      </c>
      <c r="BU51" s="1767">
        <v>0</v>
      </c>
      <c r="BV51" s="1767">
        <v>0</v>
      </c>
      <c r="BW51" s="1767">
        <v>0</v>
      </c>
      <c r="BX51" s="1767">
        <v>0</v>
      </c>
      <c r="BY51" s="1767">
        <v>0</v>
      </c>
      <c r="BZ51" s="1767">
        <v>0</v>
      </c>
      <c r="CA51" s="1767">
        <v>0</v>
      </c>
      <c r="CB51" s="1767">
        <v>0</v>
      </c>
      <c r="CC51" s="1767">
        <v>0</v>
      </c>
      <c r="CD51" s="1767">
        <v>0</v>
      </c>
      <c r="CE51" s="1767">
        <v>0</v>
      </c>
      <c r="CF51" s="1767">
        <v>0</v>
      </c>
      <c r="CG51" s="1767">
        <v>0</v>
      </c>
      <c r="CH51" s="1767">
        <v>0</v>
      </c>
      <c r="CI51" s="1767">
        <v>0</v>
      </c>
      <c r="CJ51" s="1767">
        <v>0</v>
      </c>
      <c r="CK51" s="1767">
        <v>0</v>
      </c>
      <c r="CL51" s="1767">
        <v>0</v>
      </c>
      <c r="CM51" s="1767">
        <v>0</v>
      </c>
      <c r="CN51" s="1767">
        <v>0</v>
      </c>
      <c r="CO51" s="1767">
        <v>0</v>
      </c>
      <c r="CP51" s="1767">
        <v>0</v>
      </c>
    </row>
    <row r="52" spans="1:94" ht="15" customHeight="1" thickBot="1" x14ac:dyDescent="0.25">
      <c r="A52" s="1848"/>
      <c r="B52" s="1857"/>
      <c r="C52" s="654" t="s">
        <v>544</v>
      </c>
      <c r="D52" s="950"/>
      <c r="E52" s="1845"/>
      <c r="F52" s="1225"/>
      <c r="G52" s="1767">
        <v>0</v>
      </c>
      <c r="H52" s="1767">
        <v>0</v>
      </c>
      <c r="I52" s="1767">
        <v>0</v>
      </c>
      <c r="J52" s="1767">
        <v>0</v>
      </c>
      <c r="K52" s="1767">
        <v>0</v>
      </c>
      <c r="L52" s="1767">
        <v>0</v>
      </c>
      <c r="M52" s="1767">
        <v>0</v>
      </c>
      <c r="N52" s="1767">
        <v>0</v>
      </c>
      <c r="O52" s="1767">
        <v>0</v>
      </c>
      <c r="P52" s="1767">
        <v>0</v>
      </c>
      <c r="Q52" s="1767">
        <v>0</v>
      </c>
      <c r="R52" s="1767">
        <v>0</v>
      </c>
      <c r="S52" s="1767">
        <v>0</v>
      </c>
      <c r="T52" s="1767">
        <v>0</v>
      </c>
      <c r="U52" s="1767">
        <v>0</v>
      </c>
      <c r="V52" s="1767">
        <v>0</v>
      </c>
      <c r="W52" s="1767">
        <v>0</v>
      </c>
      <c r="X52" s="1767">
        <v>0</v>
      </c>
      <c r="Y52" s="1767">
        <v>0</v>
      </c>
      <c r="Z52" s="1767">
        <v>0</v>
      </c>
      <c r="AA52" s="1767">
        <v>0</v>
      </c>
      <c r="AB52" s="1767">
        <v>0</v>
      </c>
      <c r="AC52" s="1767">
        <v>0</v>
      </c>
      <c r="AD52" s="1767">
        <v>0</v>
      </c>
      <c r="AE52" s="1767">
        <v>0</v>
      </c>
      <c r="AF52" s="1767">
        <v>0</v>
      </c>
      <c r="AG52" s="1767">
        <v>0</v>
      </c>
      <c r="AH52" s="1767">
        <v>0</v>
      </c>
      <c r="AI52" s="1767">
        <v>0</v>
      </c>
      <c r="AJ52" s="1767">
        <v>0</v>
      </c>
      <c r="AK52" s="1767">
        <v>0</v>
      </c>
      <c r="AL52" s="1767">
        <v>0</v>
      </c>
      <c r="AM52" s="1767">
        <v>0</v>
      </c>
      <c r="AN52" s="1767">
        <v>0</v>
      </c>
      <c r="AO52" s="1767">
        <v>0</v>
      </c>
      <c r="AP52" s="1767">
        <v>0</v>
      </c>
      <c r="AQ52" s="1767">
        <v>0</v>
      </c>
      <c r="AR52" s="1767">
        <v>0</v>
      </c>
      <c r="AS52" s="1767">
        <v>0</v>
      </c>
      <c r="AT52" s="1767">
        <v>0</v>
      </c>
      <c r="AU52" s="1767">
        <v>0</v>
      </c>
      <c r="AV52" s="1767">
        <v>0</v>
      </c>
      <c r="AW52" s="1767">
        <v>0</v>
      </c>
      <c r="AX52" s="1767">
        <v>0</v>
      </c>
      <c r="AY52" s="1767">
        <v>0</v>
      </c>
      <c r="AZ52" s="1767">
        <v>0</v>
      </c>
      <c r="BA52" s="1767">
        <v>0</v>
      </c>
      <c r="BB52" s="1767">
        <v>0</v>
      </c>
      <c r="BC52" s="1767">
        <v>0</v>
      </c>
      <c r="BD52" s="1767">
        <v>0</v>
      </c>
      <c r="BE52" s="1767">
        <v>0</v>
      </c>
      <c r="BF52" s="1767">
        <v>0</v>
      </c>
      <c r="BG52" s="1767">
        <v>0</v>
      </c>
      <c r="BH52" s="1767">
        <v>0</v>
      </c>
      <c r="BI52" s="1767">
        <v>0</v>
      </c>
      <c r="BJ52" s="1767">
        <v>0</v>
      </c>
      <c r="BK52" s="1767">
        <v>0</v>
      </c>
      <c r="BL52" s="1767">
        <v>0</v>
      </c>
      <c r="BM52" s="1767">
        <v>0</v>
      </c>
      <c r="BN52" s="1767">
        <v>0</v>
      </c>
      <c r="BO52" s="1767">
        <v>0</v>
      </c>
      <c r="BP52" s="1767">
        <v>0</v>
      </c>
      <c r="BQ52" s="1767">
        <v>0</v>
      </c>
      <c r="BR52" s="1767">
        <v>0</v>
      </c>
      <c r="BS52" s="1767">
        <v>0</v>
      </c>
      <c r="BT52" s="1767">
        <v>0</v>
      </c>
      <c r="BU52" s="1767">
        <v>0</v>
      </c>
      <c r="BV52" s="1767">
        <v>0</v>
      </c>
      <c r="BW52" s="1767">
        <v>0</v>
      </c>
      <c r="BX52" s="1767">
        <v>0</v>
      </c>
      <c r="BY52" s="1767">
        <v>0</v>
      </c>
      <c r="BZ52" s="1767">
        <v>0</v>
      </c>
      <c r="CA52" s="1767">
        <v>0</v>
      </c>
      <c r="CB52" s="1767">
        <v>0</v>
      </c>
      <c r="CC52" s="1767">
        <v>0</v>
      </c>
      <c r="CD52" s="1767">
        <v>0</v>
      </c>
      <c r="CE52" s="1767">
        <v>0</v>
      </c>
      <c r="CF52" s="1767">
        <v>0</v>
      </c>
      <c r="CG52" s="1767">
        <v>0</v>
      </c>
      <c r="CH52" s="1767">
        <v>0</v>
      </c>
      <c r="CI52" s="1767">
        <v>0</v>
      </c>
      <c r="CJ52" s="1767">
        <v>0</v>
      </c>
      <c r="CK52" s="1767">
        <v>0</v>
      </c>
      <c r="CL52" s="1767">
        <v>0</v>
      </c>
      <c r="CM52" s="1767">
        <v>0</v>
      </c>
      <c r="CN52" s="1767">
        <v>0</v>
      </c>
      <c r="CO52" s="1767">
        <v>0</v>
      </c>
      <c r="CP52" s="1767">
        <v>0</v>
      </c>
    </row>
    <row r="53" spans="1:94" ht="28.5" customHeight="1" thickBot="1" x14ac:dyDescent="0.25">
      <c r="A53" s="1887" t="s">
        <v>1284</v>
      </c>
      <c r="B53" s="1846" t="s">
        <v>1692</v>
      </c>
      <c r="C53" s="1777" t="s">
        <v>2509</v>
      </c>
      <c r="D53" s="947"/>
      <c r="E53" s="1843" t="s">
        <v>1836</v>
      </c>
      <c r="F53" s="1225"/>
      <c r="G53" s="1742"/>
      <c r="H53" s="1742"/>
      <c r="I53" s="1742"/>
      <c r="J53" s="1742"/>
      <c r="K53" s="1742"/>
      <c r="L53" s="1742"/>
      <c r="M53" s="1742"/>
      <c r="N53" s="1742"/>
      <c r="O53" s="1742"/>
      <c r="P53" s="1742"/>
      <c r="Q53" s="1742"/>
      <c r="R53" s="1742"/>
      <c r="S53" s="1742"/>
      <c r="T53" s="1742"/>
      <c r="U53" s="1742"/>
      <c r="V53" s="1742"/>
      <c r="W53" s="1742"/>
      <c r="X53" s="1742"/>
      <c r="Y53" s="1742"/>
      <c r="Z53" s="1742"/>
      <c r="AA53" s="1742"/>
      <c r="AB53" s="1742"/>
      <c r="AC53" s="1742"/>
      <c r="AD53" s="1742"/>
      <c r="AE53" s="1742"/>
      <c r="AF53" s="1742"/>
      <c r="AG53" s="1742"/>
      <c r="AH53" s="1742"/>
      <c r="AI53" s="1742"/>
      <c r="AJ53" s="1742"/>
      <c r="AK53" s="1742"/>
      <c r="AL53" s="1742"/>
      <c r="AM53" s="1742"/>
      <c r="AN53" s="1742"/>
      <c r="AO53" s="1742"/>
      <c r="AP53" s="1742"/>
      <c r="AQ53" s="1742"/>
      <c r="AR53" s="1742"/>
      <c r="AS53" s="1742"/>
      <c r="AT53" s="1742"/>
      <c r="AU53" s="1742"/>
      <c r="AV53" s="1742"/>
      <c r="AW53" s="1742"/>
      <c r="AX53" s="1742"/>
      <c r="AY53" s="1742"/>
      <c r="AZ53" s="1742"/>
      <c r="BA53" s="1742"/>
      <c r="BB53" s="1742"/>
      <c r="BC53" s="1742"/>
      <c r="BD53" s="1742"/>
      <c r="BE53" s="1742"/>
      <c r="BF53" s="1742"/>
      <c r="BG53" s="1742"/>
      <c r="BH53" s="1742"/>
      <c r="BI53" s="1742"/>
      <c r="BJ53" s="1742"/>
      <c r="BK53" s="1742"/>
      <c r="BL53" s="1742"/>
      <c r="BM53" s="1742"/>
      <c r="BN53" s="1742"/>
      <c r="BO53" s="1742"/>
      <c r="BP53" s="1742"/>
      <c r="BQ53" s="1742"/>
      <c r="BR53" s="1742"/>
      <c r="BS53" s="1742"/>
      <c r="BT53" s="1742"/>
      <c r="BU53" s="1742"/>
      <c r="BV53" s="1742"/>
      <c r="BW53" s="1742"/>
      <c r="BX53" s="1742"/>
      <c r="BY53" s="1742"/>
      <c r="BZ53" s="1742"/>
      <c r="CA53" s="1742"/>
      <c r="CB53" s="1742"/>
      <c r="CC53" s="1742"/>
      <c r="CD53" s="1742"/>
      <c r="CE53" s="1742"/>
      <c r="CF53" s="1742"/>
      <c r="CG53" s="1742"/>
      <c r="CH53" s="1742"/>
      <c r="CI53" s="1742"/>
      <c r="CJ53" s="1742"/>
      <c r="CK53" s="1742"/>
      <c r="CL53" s="1742"/>
      <c r="CM53" s="1742"/>
      <c r="CN53" s="1742"/>
      <c r="CO53" s="1742"/>
      <c r="CP53" s="1742"/>
    </row>
    <row r="54" spans="1:94" ht="14.25" customHeight="1" x14ac:dyDescent="0.2">
      <c r="A54" s="1858"/>
      <c r="B54" s="1856"/>
      <c r="C54" s="652" t="s">
        <v>1950</v>
      </c>
      <c r="D54" s="936"/>
      <c r="E54" s="1844"/>
      <c r="F54" s="1225"/>
      <c r="G54" s="1767">
        <v>0</v>
      </c>
      <c r="H54" s="1767">
        <v>0</v>
      </c>
      <c r="I54" s="1767">
        <v>0</v>
      </c>
      <c r="J54" s="1767">
        <v>0</v>
      </c>
      <c r="K54" s="1767">
        <v>0</v>
      </c>
      <c r="L54" s="1767">
        <v>0</v>
      </c>
      <c r="M54" s="1767">
        <v>0</v>
      </c>
      <c r="N54" s="1767">
        <v>0</v>
      </c>
      <c r="O54" s="1767">
        <v>0</v>
      </c>
      <c r="P54" s="1767">
        <v>0</v>
      </c>
      <c r="Q54" s="1767">
        <v>0</v>
      </c>
      <c r="R54" s="1767">
        <v>0</v>
      </c>
      <c r="S54" s="1767">
        <v>0</v>
      </c>
      <c r="T54" s="1767">
        <v>0</v>
      </c>
      <c r="U54" s="1767">
        <v>0</v>
      </c>
      <c r="V54" s="1767">
        <v>0</v>
      </c>
      <c r="W54" s="1767">
        <v>0</v>
      </c>
      <c r="X54" s="1767">
        <v>0</v>
      </c>
      <c r="Y54" s="1767">
        <v>0</v>
      </c>
      <c r="Z54" s="1767">
        <v>0</v>
      </c>
      <c r="AA54" s="1767">
        <v>0</v>
      </c>
      <c r="AB54" s="1767">
        <v>0</v>
      </c>
      <c r="AC54" s="1767">
        <v>0</v>
      </c>
      <c r="AD54" s="1767">
        <v>0</v>
      </c>
      <c r="AE54" s="1767">
        <v>0</v>
      </c>
      <c r="AF54" s="1767">
        <v>0</v>
      </c>
      <c r="AG54" s="1767">
        <v>0</v>
      </c>
      <c r="AH54" s="1767">
        <v>0</v>
      </c>
      <c r="AI54" s="1767">
        <v>0</v>
      </c>
      <c r="AJ54" s="1767">
        <v>0</v>
      </c>
      <c r="AK54" s="1767">
        <v>0</v>
      </c>
      <c r="AL54" s="1767">
        <v>0</v>
      </c>
      <c r="AM54" s="1767">
        <v>0</v>
      </c>
      <c r="AN54" s="1767">
        <v>0</v>
      </c>
      <c r="AO54" s="1767">
        <v>0</v>
      </c>
      <c r="AP54" s="1767">
        <v>0</v>
      </c>
      <c r="AQ54" s="1767">
        <v>0</v>
      </c>
      <c r="AR54" s="1767">
        <v>0</v>
      </c>
      <c r="AS54" s="1767">
        <v>0</v>
      </c>
      <c r="AT54" s="1767">
        <v>0</v>
      </c>
      <c r="AU54" s="1767">
        <v>0</v>
      </c>
      <c r="AV54" s="1767">
        <v>0</v>
      </c>
      <c r="AW54" s="1767">
        <v>0</v>
      </c>
      <c r="AX54" s="1767">
        <v>0</v>
      </c>
      <c r="AY54" s="1767">
        <v>0</v>
      </c>
      <c r="AZ54" s="1767">
        <v>0</v>
      </c>
      <c r="BA54" s="1767">
        <v>0</v>
      </c>
      <c r="BB54" s="1767">
        <v>0</v>
      </c>
      <c r="BC54" s="1767">
        <v>0</v>
      </c>
      <c r="BD54" s="1767">
        <v>0</v>
      </c>
      <c r="BE54" s="1767">
        <v>0</v>
      </c>
      <c r="BF54" s="1767">
        <v>0</v>
      </c>
      <c r="BG54" s="1767">
        <v>0</v>
      </c>
      <c r="BH54" s="1767">
        <v>0</v>
      </c>
      <c r="BI54" s="1767">
        <v>0</v>
      </c>
      <c r="BJ54" s="1767">
        <v>0</v>
      </c>
      <c r="BK54" s="1767">
        <v>0</v>
      </c>
      <c r="BL54" s="1767">
        <v>0</v>
      </c>
      <c r="BM54" s="1767">
        <v>0</v>
      </c>
      <c r="BN54" s="1767">
        <v>0</v>
      </c>
      <c r="BO54" s="1767">
        <v>0</v>
      </c>
      <c r="BP54" s="1767">
        <v>0</v>
      </c>
      <c r="BQ54" s="1767">
        <v>0</v>
      </c>
      <c r="BR54" s="1767">
        <v>0</v>
      </c>
      <c r="BS54" s="1767">
        <v>0</v>
      </c>
      <c r="BT54" s="1767">
        <v>0</v>
      </c>
      <c r="BU54" s="1767">
        <v>0</v>
      </c>
      <c r="BV54" s="1767">
        <v>0</v>
      </c>
      <c r="BW54" s="1767">
        <v>0</v>
      </c>
      <c r="BX54" s="1767">
        <v>0</v>
      </c>
      <c r="BY54" s="1767">
        <v>0</v>
      </c>
      <c r="BZ54" s="1767">
        <v>0</v>
      </c>
      <c r="CA54" s="1767">
        <v>0</v>
      </c>
      <c r="CB54" s="1767">
        <v>0</v>
      </c>
      <c r="CC54" s="1767">
        <v>0</v>
      </c>
      <c r="CD54" s="1767">
        <v>0</v>
      </c>
      <c r="CE54" s="1767">
        <v>0</v>
      </c>
      <c r="CF54" s="1767">
        <v>0</v>
      </c>
      <c r="CG54" s="1767">
        <v>0</v>
      </c>
      <c r="CH54" s="1767">
        <v>0</v>
      </c>
      <c r="CI54" s="1767">
        <v>0</v>
      </c>
      <c r="CJ54" s="1767">
        <v>0</v>
      </c>
      <c r="CK54" s="1767">
        <v>0</v>
      </c>
      <c r="CL54" s="1767">
        <v>0</v>
      </c>
      <c r="CM54" s="1767">
        <v>0</v>
      </c>
      <c r="CN54" s="1767">
        <v>0</v>
      </c>
      <c r="CO54" s="1767">
        <v>0</v>
      </c>
      <c r="CP54" s="1767">
        <v>0</v>
      </c>
    </row>
    <row r="55" spans="1:94" ht="15" customHeight="1" x14ac:dyDescent="0.2">
      <c r="A55" s="1858"/>
      <c r="B55" s="1856"/>
      <c r="C55" s="652" t="s">
        <v>1693</v>
      </c>
      <c r="D55" s="936"/>
      <c r="E55" s="1844"/>
      <c r="F55" s="1225"/>
      <c r="G55" s="1767">
        <v>0</v>
      </c>
      <c r="H55" s="1767">
        <v>0</v>
      </c>
      <c r="I55" s="1767">
        <v>0</v>
      </c>
      <c r="J55" s="1767">
        <v>0</v>
      </c>
      <c r="K55" s="1767">
        <v>0</v>
      </c>
      <c r="L55" s="1767">
        <v>0</v>
      </c>
      <c r="M55" s="1767">
        <v>0</v>
      </c>
      <c r="N55" s="1767">
        <v>0</v>
      </c>
      <c r="O55" s="1767">
        <v>0</v>
      </c>
      <c r="P55" s="1767">
        <v>0</v>
      </c>
      <c r="Q55" s="1767">
        <v>0</v>
      </c>
      <c r="R55" s="1767">
        <v>0</v>
      </c>
      <c r="S55" s="1767">
        <v>0</v>
      </c>
      <c r="T55" s="1767">
        <v>0</v>
      </c>
      <c r="U55" s="1767">
        <v>0</v>
      </c>
      <c r="V55" s="1767">
        <v>0</v>
      </c>
      <c r="W55" s="1767">
        <v>0</v>
      </c>
      <c r="X55" s="1767">
        <v>0</v>
      </c>
      <c r="Y55" s="1767">
        <v>0</v>
      </c>
      <c r="Z55" s="1767">
        <v>0</v>
      </c>
      <c r="AA55" s="1767">
        <v>0</v>
      </c>
      <c r="AB55" s="1767">
        <v>0</v>
      </c>
      <c r="AC55" s="1767">
        <v>0</v>
      </c>
      <c r="AD55" s="1767">
        <v>0</v>
      </c>
      <c r="AE55" s="1767">
        <v>0</v>
      </c>
      <c r="AF55" s="1767">
        <v>0</v>
      </c>
      <c r="AG55" s="1767">
        <v>0</v>
      </c>
      <c r="AH55" s="1767">
        <v>0</v>
      </c>
      <c r="AI55" s="1767">
        <v>0</v>
      </c>
      <c r="AJ55" s="1767">
        <v>0</v>
      </c>
      <c r="AK55" s="1767">
        <v>0</v>
      </c>
      <c r="AL55" s="1767">
        <v>0</v>
      </c>
      <c r="AM55" s="1767">
        <v>0</v>
      </c>
      <c r="AN55" s="1767">
        <v>0</v>
      </c>
      <c r="AO55" s="1767">
        <v>0</v>
      </c>
      <c r="AP55" s="1767">
        <v>0</v>
      </c>
      <c r="AQ55" s="1767">
        <v>0</v>
      </c>
      <c r="AR55" s="1767">
        <v>0</v>
      </c>
      <c r="AS55" s="1767">
        <v>0</v>
      </c>
      <c r="AT55" s="1767">
        <v>0</v>
      </c>
      <c r="AU55" s="1767">
        <v>0</v>
      </c>
      <c r="AV55" s="1767">
        <v>0</v>
      </c>
      <c r="AW55" s="1767">
        <v>0</v>
      </c>
      <c r="AX55" s="1767">
        <v>0</v>
      </c>
      <c r="AY55" s="1767">
        <v>0</v>
      </c>
      <c r="AZ55" s="1767">
        <v>0</v>
      </c>
      <c r="BA55" s="1767">
        <v>0</v>
      </c>
      <c r="BB55" s="1767">
        <v>0</v>
      </c>
      <c r="BC55" s="1767">
        <v>0</v>
      </c>
      <c r="BD55" s="1767">
        <v>0</v>
      </c>
      <c r="BE55" s="1767">
        <v>0</v>
      </c>
      <c r="BF55" s="1767">
        <v>0</v>
      </c>
      <c r="BG55" s="1767">
        <v>0</v>
      </c>
      <c r="BH55" s="1767">
        <v>0</v>
      </c>
      <c r="BI55" s="1767">
        <v>0</v>
      </c>
      <c r="BJ55" s="1767">
        <v>0</v>
      </c>
      <c r="BK55" s="1767">
        <v>0</v>
      </c>
      <c r="BL55" s="1767">
        <v>0</v>
      </c>
      <c r="BM55" s="1767">
        <v>0</v>
      </c>
      <c r="BN55" s="1767">
        <v>0</v>
      </c>
      <c r="BO55" s="1767">
        <v>0</v>
      </c>
      <c r="BP55" s="1767">
        <v>0</v>
      </c>
      <c r="BQ55" s="1767">
        <v>0</v>
      </c>
      <c r="BR55" s="1767">
        <v>0</v>
      </c>
      <c r="BS55" s="1767">
        <v>0</v>
      </c>
      <c r="BT55" s="1767">
        <v>0</v>
      </c>
      <c r="BU55" s="1767">
        <v>0</v>
      </c>
      <c r="BV55" s="1767">
        <v>0</v>
      </c>
      <c r="BW55" s="1767">
        <v>0</v>
      </c>
      <c r="BX55" s="1767">
        <v>0</v>
      </c>
      <c r="BY55" s="1767">
        <v>0</v>
      </c>
      <c r="BZ55" s="1767">
        <v>0</v>
      </c>
      <c r="CA55" s="1767">
        <v>0</v>
      </c>
      <c r="CB55" s="1767">
        <v>0</v>
      </c>
      <c r="CC55" s="1767">
        <v>0</v>
      </c>
      <c r="CD55" s="1767">
        <v>0</v>
      </c>
      <c r="CE55" s="1767">
        <v>0</v>
      </c>
      <c r="CF55" s="1767">
        <v>0</v>
      </c>
      <c r="CG55" s="1767">
        <v>0</v>
      </c>
      <c r="CH55" s="1767">
        <v>0</v>
      </c>
      <c r="CI55" s="1767">
        <v>0</v>
      </c>
      <c r="CJ55" s="1767">
        <v>0</v>
      </c>
      <c r="CK55" s="1767">
        <v>0</v>
      </c>
      <c r="CL55" s="1767">
        <v>0</v>
      </c>
      <c r="CM55" s="1767">
        <v>0</v>
      </c>
      <c r="CN55" s="1767">
        <v>0</v>
      </c>
      <c r="CO55" s="1767">
        <v>0</v>
      </c>
      <c r="CP55" s="1767">
        <v>0</v>
      </c>
    </row>
    <row r="56" spans="1:94" ht="15" customHeight="1" thickBot="1" x14ac:dyDescent="0.25">
      <c r="A56" s="1858"/>
      <c r="B56" s="1856"/>
      <c r="C56" s="658" t="s">
        <v>1694</v>
      </c>
      <c r="D56" s="949"/>
      <c r="E56" s="1844"/>
      <c r="F56" s="1225"/>
      <c r="G56" s="1767">
        <v>0</v>
      </c>
      <c r="H56" s="1767">
        <v>0</v>
      </c>
      <c r="I56" s="1767">
        <v>0</v>
      </c>
      <c r="J56" s="1767">
        <v>0</v>
      </c>
      <c r="K56" s="1767">
        <v>0</v>
      </c>
      <c r="L56" s="1767">
        <v>0</v>
      </c>
      <c r="M56" s="1767">
        <v>0</v>
      </c>
      <c r="N56" s="1767">
        <v>0</v>
      </c>
      <c r="O56" s="1767">
        <v>0</v>
      </c>
      <c r="P56" s="1767">
        <v>0</v>
      </c>
      <c r="Q56" s="1767">
        <v>0</v>
      </c>
      <c r="R56" s="1767">
        <v>0</v>
      </c>
      <c r="S56" s="1767">
        <v>0</v>
      </c>
      <c r="T56" s="1767">
        <v>0</v>
      </c>
      <c r="U56" s="1767">
        <v>0</v>
      </c>
      <c r="V56" s="1767">
        <v>0</v>
      </c>
      <c r="W56" s="1767">
        <v>0</v>
      </c>
      <c r="X56" s="1767">
        <v>0</v>
      </c>
      <c r="Y56" s="1767">
        <v>0</v>
      </c>
      <c r="Z56" s="1767">
        <v>0</v>
      </c>
      <c r="AA56" s="1767">
        <v>0</v>
      </c>
      <c r="AB56" s="1767">
        <v>0</v>
      </c>
      <c r="AC56" s="1767">
        <v>0</v>
      </c>
      <c r="AD56" s="1767">
        <v>0</v>
      </c>
      <c r="AE56" s="1767">
        <v>0</v>
      </c>
      <c r="AF56" s="1767">
        <v>0</v>
      </c>
      <c r="AG56" s="1767">
        <v>0</v>
      </c>
      <c r="AH56" s="1767">
        <v>0</v>
      </c>
      <c r="AI56" s="1767">
        <v>0</v>
      </c>
      <c r="AJ56" s="1767">
        <v>0</v>
      </c>
      <c r="AK56" s="1767">
        <v>0</v>
      </c>
      <c r="AL56" s="1767">
        <v>0</v>
      </c>
      <c r="AM56" s="1767">
        <v>0</v>
      </c>
      <c r="AN56" s="1767">
        <v>0</v>
      </c>
      <c r="AO56" s="1767">
        <v>0</v>
      </c>
      <c r="AP56" s="1767">
        <v>0</v>
      </c>
      <c r="AQ56" s="1767">
        <v>0</v>
      </c>
      <c r="AR56" s="1767">
        <v>0</v>
      </c>
      <c r="AS56" s="1767">
        <v>0</v>
      </c>
      <c r="AT56" s="1767">
        <v>0</v>
      </c>
      <c r="AU56" s="1767">
        <v>0</v>
      </c>
      <c r="AV56" s="1767">
        <v>0</v>
      </c>
      <c r="AW56" s="1767">
        <v>0</v>
      </c>
      <c r="AX56" s="1767">
        <v>0</v>
      </c>
      <c r="AY56" s="1767">
        <v>0</v>
      </c>
      <c r="AZ56" s="1767">
        <v>0</v>
      </c>
      <c r="BA56" s="1767">
        <v>0</v>
      </c>
      <c r="BB56" s="1767">
        <v>0</v>
      </c>
      <c r="BC56" s="1767">
        <v>0</v>
      </c>
      <c r="BD56" s="1767">
        <v>0</v>
      </c>
      <c r="BE56" s="1767">
        <v>0</v>
      </c>
      <c r="BF56" s="1767">
        <v>0</v>
      </c>
      <c r="BG56" s="1767">
        <v>0</v>
      </c>
      <c r="BH56" s="1767">
        <v>0</v>
      </c>
      <c r="BI56" s="1767">
        <v>0</v>
      </c>
      <c r="BJ56" s="1767">
        <v>0</v>
      </c>
      <c r="BK56" s="1767">
        <v>0</v>
      </c>
      <c r="BL56" s="1767">
        <v>0</v>
      </c>
      <c r="BM56" s="1767">
        <v>0</v>
      </c>
      <c r="BN56" s="1767">
        <v>0</v>
      </c>
      <c r="BO56" s="1767">
        <v>0</v>
      </c>
      <c r="BP56" s="1767">
        <v>0</v>
      </c>
      <c r="BQ56" s="1767">
        <v>0</v>
      </c>
      <c r="BR56" s="1767">
        <v>0</v>
      </c>
      <c r="BS56" s="1767">
        <v>0</v>
      </c>
      <c r="BT56" s="1767">
        <v>0</v>
      </c>
      <c r="BU56" s="1767">
        <v>0</v>
      </c>
      <c r="BV56" s="1767">
        <v>0</v>
      </c>
      <c r="BW56" s="1767">
        <v>0</v>
      </c>
      <c r="BX56" s="1767">
        <v>0</v>
      </c>
      <c r="BY56" s="1767">
        <v>0</v>
      </c>
      <c r="BZ56" s="1767">
        <v>0</v>
      </c>
      <c r="CA56" s="1767">
        <v>0</v>
      </c>
      <c r="CB56" s="1767">
        <v>0</v>
      </c>
      <c r="CC56" s="1767">
        <v>0</v>
      </c>
      <c r="CD56" s="1767">
        <v>0</v>
      </c>
      <c r="CE56" s="1767">
        <v>0</v>
      </c>
      <c r="CF56" s="1767">
        <v>0</v>
      </c>
      <c r="CG56" s="1767">
        <v>0</v>
      </c>
      <c r="CH56" s="1767">
        <v>0</v>
      </c>
      <c r="CI56" s="1767">
        <v>0</v>
      </c>
      <c r="CJ56" s="1767">
        <v>0</v>
      </c>
      <c r="CK56" s="1767">
        <v>0</v>
      </c>
      <c r="CL56" s="1767">
        <v>0</v>
      </c>
      <c r="CM56" s="1767">
        <v>0</v>
      </c>
      <c r="CN56" s="1767">
        <v>0</v>
      </c>
      <c r="CO56" s="1767">
        <v>0</v>
      </c>
      <c r="CP56" s="1767">
        <v>0</v>
      </c>
    </row>
    <row r="57" spans="1:94" ht="30" customHeight="1" thickBot="1" x14ac:dyDescent="0.25">
      <c r="A57" s="1846" t="s">
        <v>1285</v>
      </c>
      <c r="B57" s="1846" t="s">
        <v>2449</v>
      </c>
      <c r="C57" s="1777" t="s">
        <v>2510</v>
      </c>
      <c r="D57" s="947"/>
      <c r="E57" s="1843" t="s">
        <v>1949</v>
      </c>
      <c r="F57" s="1225"/>
      <c r="G57" s="1742"/>
      <c r="H57" s="1742"/>
      <c r="I57" s="1742"/>
      <c r="J57" s="1742"/>
      <c r="K57" s="1742"/>
      <c r="L57" s="1742"/>
      <c r="M57" s="1742"/>
      <c r="N57" s="1742"/>
      <c r="O57" s="1742"/>
      <c r="P57" s="1742"/>
      <c r="Q57" s="1742"/>
      <c r="R57" s="1742"/>
      <c r="S57" s="1742"/>
      <c r="T57" s="1742"/>
      <c r="U57" s="1742"/>
      <c r="V57" s="1742"/>
      <c r="W57" s="1742"/>
      <c r="X57" s="1742"/>
      <c r="Y57" s="1742"/>
      <c r="Z57" s="1742"/>
      <c r="AA57" s="1742"/>
      <c r="AB57" s="1742"/>
      <c r="AC57" s="1742"/>
      <c r="AD57" s="1742"/>
      <c r="AE57" s="1742"/>
      <c r="AF57" s="1742"/>
      <c r="AG57" s="1742"/>
      <c r="AH57" s="1742"/>
      <c r="AI57" s="1742"/>
      <c r="AJ57" s="1742"/>
      <c r="AK57" s="1742"/>
      <c r="AL57" s="1742"/>
      <c r="AM57" s="1742"/>
      <c r="AN57" s="1742"/>
      <c r="AO57" s="1742"/>
      <c r="AP57" s="1742"/>
      <c r="AQ57" s="1742"/>
      <c r="AR57" s="1742"/>
      <c r="AS57" s="1742"/>
      <c r="AT57" s="1742"/>
      <c r="AU57" s="1742"/>
      <c r="AV57" s="1742"/>
      <c r="AW57" s="1742"/>
      <c r="AX57" s="1742"/>
      <c r="AY57" s="1742"/>
      <c r="AZ57" s="1742"/>
      <c r="BA57" s="1742"/>
      <c r="BB57" s="1742"/>
      <c r="BC57" s="1742"/>
      <c r="BD57" s="1742"/>
      <c r="BE57" s="1742"/>
      <c r="BF57" s="1742"/>
      <c r="BG57" s="1742"/>
      <c r="BH57" s="1742"/>
      <c r="BI57" s="1742"/>
      <c r="BJ57" s="1742"/>
      <c r="BK57" s="1742"/>
      <c r="BL57" s="1742"/>
      <c r="BM57" s="1742"/>
      <c r="BN57" s="1742"/>
      <c r="BO57" s="1742"/>
      <c r="BP57" s="1742"/>
      <c r="BQ57" s="1742"/>
      <c r="BR57" s="1742"/>
      <c r="BS57" s="1742"/>
      <c r="BT57" s="1742"/>
      <c r="BU57" s="1742"/>
      <c r="BV57" s="1742"/>
      <c r="BW57" s="1742"/>
      <c r="BX57" s="1742"/>
      <c r="BY57" s="1742"/>
      <c r="BZ57" s="1742"/>
      <c r="CA57" s="1742"/>
      <c r="CB57" s="1742"/>
      <c r="CC57" s="1742"/>
      <c r="CD57" s="1742"/>
      <c r="CE57" s="1742"/>
      <c r="CF57" s="1742"/>
      <c r="CG57" s="1742"/>
      <c r="CH57" s="1742"/>
      <c r="CI57" s="1742"/>
      <c r="CJ57" s="1742"/>
      <c r="CK57" s="1742"/>
      <c r="CL57" s="1742"/>
      <c r="CM57" s="1742"/>
      <c r="CN57" s="1742"/>
      <c r="CO57" s="1742"/>
      <c r="CP57" s="1742"/>
    </row>
    <row r="58" spans="1:94" ht="15" customHeight="1" x14ac:dyDescent="0.2">
      <c r="A58" s="1847"/>
      <c r="B58" s="1856"/>
      <c r="C58" s="662" t="s">
        <v>2088</v>
      </c>
      <c r="D58" s="936"/>
      <c r="E58" s="1844"/>
      <c r="F58" s="1225"/>
      <c r="G58" s="1767">
        <v>0</v>
      </c>
      <c r="H58" s="1767">
        <v>0</v>
      </c>
      <c r="I58" s="1767">
        <v>0</v>
      </c>
      <c r="J58" s="1767">
        <v>0</v>
      </c>
      <c r="K58" s="1767">
        <v>0</v>
      </c>
      <c r="L58" s="1767">
        <v>0</v>
      </c>
      <c r="M58" s="1767">
        <v>0</v>
      </c>
      <c r="N58" s="1767">
        <v>0</v>
      </c>
      <c r="O58" s="1767">
        <v>0</v>
      </c>
      <c r="P58" s="1767">
        <v>0</v>
      </c>
      <c r="Q58" s="1767">
        <v>0</v>
      </c>
      <c r="R58" s="1767">
        <v>0</v>
      </c>
      <c r="S58" s="1767">
        <v>0</v>
      </c>
      <c r="T58" s="1767">
        <v>0</v>
      </c>
      <c r="U58" s="1767">
        <v>0</v>
      </c>
      <c r="V58" s="1767">
        <v>0</v>
      </c>
      <c r="W58" s="1767">
        <v>0</v>
      </c>
      <c r="X58" s="1767">
        <v>0</v>
      </c>
      <c r="Y58" s="1767">
        <v>0</v>
      </c>
      <c r="Z58" s="1767">
        <v>0</v>
      </c>
      <c r="AA58" s="1767">
        <v>0</v>
      </c>
      <c r="AB58" s="1767">
        <v>0</v>
      </c>
      <c r="AC58" s="1767">
        <v>0</v>
      </c>
      <c r="AD58" s="1767">
        <v>0</v>
      </c>
      <c r="AE58" s="1767">
        <v>0</v>
      </c>
      <c r="AF58" s="1767">
        <v>0</v>
      </c>
      <c r="AG58" s="1767">
        <v>0</v>
      </c>
      <c r="AH58" s="1767">
        <v>0</v>
      </c>
      <c r="AI58" s="1767">
        <v>0</v>
      </c>
      <c r="AJ58" s="1767">
        <v>0</v>
      </c>
      <c r="AK58" s="1767">
        <v>0</v>
      </c>
      <c r="AL58" s="1767">
        <v>0</v>
      </c>
      <c r="AM58" s="1767">
        <v>0</v>
      </c>
      <c r="AN58" s="1767">
        <v>0</v>
      </c>
      <c r="AO58" s="1767">
        <v>0</v>
      </c>
      <c r="AP58" s="1767">
        <v>0</v>
      </c>
      <c r="AQ58" s="1767">
        <v>0</v>
      </c>
      <c r="AR58" s="1767">
        <v>0</v>
      </c>
      <c r="AS58" s="1767">
        <v>0</v>
      </c>
      <c r="AT58" s="1767">
        <v>0</v>
      </c>
      <c r="AU58" s="1767">
        <v>0</v>
      </c>
      <c r="AV58" s="1767">
        <v>0</v>
      </c>
      <c r="AW58" s="1767">
        <v>0</v>
      </c>
      <c r="AX58" s="1767">
        <v>0</v>
      </c>
      <c r="AY58" s="1767">
        <v>0</v>
      </c>
      <c r="AZ58" s="1767">
        <v>0</v>
      </c>
      <c r="BA58" s="1767">
        <v>0</v>
      </c>
      <c r="BB58" s="1767">
        <v>0</v>
      </c>
      <c r="BC58" s="1767">
        <v>0</v>
      </c>
      <c r="BD58" s="1767">
        <v>0</v>
      </c>
      <c r="BE58" s="1767">
        <v>0</v>
      </c>
      <c r="BF58" s="1767">
        <v>0</v>
      </c>
      <c r="BG58" s="1767">
        <v>0</v>
      </c>
      <c r="BH58" s="1767">
        <v>0</v>
      </c>
      <c r="BI58" s="1767">
        <v>0</v>
      </c>
      <c r="BJ58" s="1767">
        <v>0</v>
      </c>
      <c r="BK58" s="1767">
        <v>0</v>
      </c>
      <c r="BL58" s="1767">
        <v>0</v>
      </c>
      <c r="BM58" s="1767">
        <v>0</v>
      </c>
      <c r="BN58" s="1767">
        <v>0</v>
      </c>
      <c r="BO58" s="1767">
        <v>0</v>
      </c>
      <c r="BP58" s="1767">
        <v>0</v>
      </c>
      <c r="BQ58" s="1767">
        <v>0</v>
      </c>
      <c r="BR58" s="1767">
        <v>0</v>
      </c>
      <c r="BS58" s="1767">
        <v>0</v>
      </c>
      <c r="BT58" s="1767">
        <v>0</v>
      </c>
      <c r="BU58" s="1767">
        <v>0</v>
      </c>
      <c r="BV58" s="1767">
        <v>0</v>
      </c>
      <c r="BW58" s="1767">
        <v>0</v>
      </c>
      <c r="BX58" s="1767">
        <v>0</v>
      </c>
      <c r="BY58" s="1767">
        <v>0</v>
      </c>
      <c r="BZ58" s="1767">
        <v>0</v>
      </c>
      <c r="CA58" s="1767">
        <v>0</v>
      </c>
      <c r="CB58" s="1767">
        <v>0</v>
      </c>
      <c r="CC58" s="1767">
        <v>0</v>
      </c>
      <c r="CD58" s="1767">
        <v>0</v>
      </c>
      <c r="CE58" s="1767">
        <v>0</v>
      </c>
      <c r="CF58" s="1767">
        <v>0</v>
      </c>
      <c r="CG58" s="1767">
        <v>0</v>
      </c>
      <c r="CH58" s="1767">
        <v>0</v>
      </c>
      <c r="CI58" s="1767">
        <v>0</v>
      </c>
      <c r="CJ58" s="1767">
        <v>0</v>
      </c>
      <c r="CK58" s="1767">
        <v>0</v>
      </c>
      <c r="CL58" s="1767">
        <v>0</v>
      </c>
      <c r="CM58" s="1767">
        <v>0</v>
      </c>
      <c r="CN58" s="1767">
        <v>0</v>
      </c>
      <c r="CO58" s="1767">
        <v>0</v>
      </c>
      <c r="CP58" s="1767">
        <v>0</v>
      </c>
    </row>
    <row r="59" spans="1:94" ht="15" customHeight="1" x14ac:dyDescent="0.2">
      <c r="A59" s="1847"/>
      <c r="B59" s="1856"/>
      <c r="C59" s="663" t="s">
        <v>2089</v>
      </c>
      <c r="D59" s="936"/>
      <c r="E59" s="1844"/>
      <c r="F59" s="1225"/>
      <c r="G59" s="1767">
        <v>0</v>
      </c>
      <c r="H59" s="1767">
        <v>0</v>
      </c>
      <c r="I59" s="1767">
        <v>0</v>
      </c>
      <c r="J59" s="1767">
        <v>0</v>
      </c>
      <c r="K59" s="1767">
        <v>0</v>
      </c>
      <c r="L59" s="1767">
        <v>0</v>
      </c>
      <c r="M59" s="1767">
        <v>0</v>
      </c>
      <c r="N59" s="1767">
        <v>0</v>
      </c>
      <c r="O59" s="1767">
        <v>0</v>
      </c>
      <c r="P59" s="1767">
        <v>0</v>
      </c>
      <c r="Q59" s="1767">
        <v>0</v>
      </c>
      <c r="R59" s="1767">
        <v>0</v>
      </c>
      <c r="S59" s="1767">
        <v>0</v>
      </c>
      <c r="T59" s="1767">
        <v>0</v>
      </c>
      <c r="U59" s="1767">
        <v>0</v>
      </c>
      <c r="V59" s="1767">
        <v>0</v>
      </c>
      <c r="W59" s="1767">
        <v>0</v>
      </c>
      <c r="X59" s="1767">
        <v>0</v>
      </c>
      <c r="Y59" s="1767">
        <v>0</v>
      </c>
      <c r="Z59" s="1767">
        <v>0</v>
      </c>
      <c r="AA59" s="1767">
        <v>0</v>
      </c>
      <c r="AB59" s="1767">
        <v>0</v>
      </c>
      <c r="AC59" s="1767">
        <v>0</v>
      </c>
      <c r="AD59" s="1767">
        <v>0</v>
      </c>
      <c r="AE59" s="1767">
        <v>0</v>
      </c>
      <c r="AF59" s="1767">
        <v>0</v>
      </c>
      <c r="AG59" s="1767">
        <v>0</v>
      </c>
      <c r="AH59" s="1767">
        <v>0</v>
      </c>
      <c r="AI59" s="1767">
        <v>0</v>
      </c>
      <c r="AJ59" s="1767">
        <v>0</v>
      </c>
      <c r="AK59" s="1767">
        <v>0</v>
      </c>
      <c r="AL59" s="1767">
        <v>0</v>
      </c>
      <c r="AM59" s="1767">
        <v>0</v>
      </c>
      <c r="AN59" s="1767">
        <v>0</v>
      </c>
      <c r="AO59" s="1767">
        <v>0</v>
      </c>
      <c r="AP59" s="1767">
        <v>0</v>
      </c>
      <c r="AQ59" s="1767">
        <v>0</v>
      </c>
      <c r="AR59" s="1767">
        <v>0</v>
      </c>
      <c r="AS59" s="1767">
        <v>0</v>
      </c>
      <c r="AT59" s="1767">
        <v>0</v>
      </c>
      <c r="AU59" s="1767">
        <v>0</v>
      </c>
      <c r="AV59" s="1767">
        <v>0</v>
      </c>
      <c r="AW59" s="1767">
        <v>0</v>
      </c>
      <c r="AX59" s="1767">
        <v>0</v>
      </c>
      <c r="AY59" s="1767">
        <v>0</v>
      </c>
      <c r="AZ59" s="1767">
        <v>0</v>
      </c>
      <c r="BA59" s="1767">
        <v>0</v>
      </c>
      <c r="BB59" s="1767">
        <v>0</v>
      </c>
      <c r="BC59" s="1767">
        <v>0</v>
      </c>
      <c r="BD59" s="1767">
        <v>0</v>
      </c>
      <c r="BE59" s="1767">
        <v>0</v>
      </c>
      <c r="BF59" s="1767">
        <v>0</v>
      </c>
      <c r="BG59" s="1767">
        <v>0</v>
      </c>
      <c r="BH59" s="1767">
        <v>0</v>
      </c>
      <c r="BI59" s="1767">
        <v>0</v>
      </c>
      <c r="BJ59" s="1767">
        <v>0</v>
      </c>
      <c r="BK59" s="1767">
        <v>0</v>
      </c>
      <c r="BL59" s="1767">
        <v>0</v>
      </c>
      <c r="BM59" s="1767">
        <v>0</v>
      </c>
      <c r="BN59" s="1767">
        <v>0</v>
      </c>
      <c r="BO59" s="1767">
        <v>0</v>
      </c>
      <c r="BP59" s="1767">
        <v>0</v>
      </c>
      <c r="BQ59" s="1767">
        <v>0</v>
      </c>
      <c r="BR59" s="1767">
        <v>0</v>
      </c>
      <c r="BS59" s="1767">
        <v>0</v>
      </c>
      <c r="BT59" s="1767">
        <v>0</v>
      </c>
      <c r="BU59" s="1767">
        <v>0</v>
      </c>
      <c r="BV59" s="1767">
        <v>0</v>
      </c>
      <c r="BW59" s="1767">
        <v>0</v>
      </c>
      <c r="BX59" s="1767">
        <v>0</v>
      </c>
      <c r="BY59" s="1767">
        <v>0</v>
      </c>
      <c r="BZ59" s="1767">
        <v>0</v>
      </c>
      <c r="CA59" s="1767">
        <v>0</v>
      </c>
      <c r="CB59" s="1767">
        <v>0</v>
      </c>
      <c r="CC59" s="1767">
        <v>0</v>
      </c>
      <c r="CD59" s="1767">
        <v>0</v>
      </c>
      <c r="CE59" s="1767">
        <v>0</v>
      </c>
      <c r="CF59" s="1767">
        <v>0</v>
      </c>
      <c r="CG59" s="1767">
        <v>0</v>
      </c>
      <c r="CH59" s="1767">
        <v>0</v>
      </c>
      <c r="CI59" s="1767">
        <v>0</v>
      </c>
      <c r="CJ59" s="1767">
        <v>0</v>
      </c>
      <c r="CK59" s="1767">
        <v>0</v>
      </c>
      <c r="CL59" s="1767">
        <v>0</v>
      </c>
      <c r="CM59" s="1767">
        <v>0</v>
      </c>
      <c r="CN59" s="1767">
        <v>0</v>
      </c>
      <c r="CO59" s="1767">
        <v>0</v>
      </c>
      <c r="CP59" s="1767">
        <v>0</v>
      </c>
    </row>
    <row r="60" spans="1:94" ht="15" customHeight="1" x14ac:dyDescent="0.2">
      <c r="A60" s="1847"/>
      <c r="B60" s="1856"/>
      <c r="C60" s="663" t="s">
        <v>2090</v>
      </c>
      <c r="D60" s="936"/>
      <c r="E60" s="1844"/>
      <c r="F60" s="1225"/>
      <c r="G60" s="1767">
        <v>0</v>
      </c>
      <c r="H60" s="1767">
        <v>0</v>
      </c>
      <c r="I60" s="1767">
        <v>0</v>
      </c>
      <c r="J60" s="1767">
        <v>0</v>
      </c>
      <c r="K60" s="1767">
        <v>0</v>
      </c>
      <c r="L60" s="1767">
        <v>0</v>
      </c>
      <c r="M60" s="1767">
        <v>0</v>
      </c>
      <c r="N60" s="1767">
        <v>0</v>
      </c>
      <c r="O60" s="1767">
        <v>0</v>
      </c>
      <c r="P60" s="1767">
        <v>0</v>
      </c>
      <c r="Q60" s="1767">
        <v>0</v>
      </c>
      <c r="R60" s="1767">
        <v>0</v>
      </c>
      <c r="S60" s="1767">
        <v>0</v>
      </c>
      <c r="T60" s="1767">
        <v>0</v>
      </c>
      <c r="U60" s="1767">
        <v>0</v>
      </c>
      <c r="V60" s="1767">
        <v>0</v>
      </c>
      <c r="W60" s="1767">
        <v>0</v>
      </c>
      <c r="X60" s="1767">
        <v>0</v>
      </c>
      <c r="Y60" s="1767">
        <v>0</v>
      </c>
      <c r="Z60" s="1767">
        <v>0</v>
      </c>
      <c r="AA60" s="1767">
        <v>0</v>
      </c>
      <c r="AB60" s="1767">
        <v>0</v>
      </c>
      <c r="AC60" s="1767">
        <v>0</v>
      </c>
      <c r="AD60" s="1767">
        <v>0</v>
      </c>
      <c r="AE60" s="1767">
        <v>0</v>
      </c>
      <c r="AF60" s="1767">
        <v>0</v>
      </c>
      <c r="AG60" s="1767">
        <v>0</v>
      </c>
      <c r="AH60" s="1767">
        <v>0</v>
      </c>
      <c r="AI60" s="1767">
        <v>0</v>
      </c>
      <c r="AJ60" s="1767">
        <v>0</v>
      </c>
      <c r="AK60" s="1767">
        <v>0</v>
      </c>
      <c r="AL60" s="1767">
        <v>0</v>
      </c>
      <c r="AM60" s="1767">
        <v>0</v>
      </c>
      <c r="AN60" s="1767">
        <v>0</v>
      </c>
      <c r="AO60" s="1767">
        <v>0</v>
      </c>
      <c r="AP60" s="1767">
        <v>0</v>
      </c>
      <c r="AQ60" s="1767">
        <v>0</v>
      </c>
      <c r="AR60" s="1767">
        <v>0</v>
      </c>
      <c r="AS60" s="1767">
        <v>0</v>
      </c>
      <c r="AT60" s="1767">
        <v>0</v>
      </c>
      <c r="AU60" s="1767">
        <v>0</v>
      </c>
      <c r="AV60" s="1767">
        <v>0</v>
      </c>
      <c r="AW60" s="1767">
        <v>0</v>
      </c>
      <c r="AX60" s="1767">
        <v>0</v>
      </c>
      <c r="AY60" s="1767">
        <v>0</v>
      </c>
      <c r="AZ60" s="1767">
        <v>0</v>
      </c>
      <c r="BA60" s="1767">
        <v>0</v>
      </c>
      <c r="BB60" s="1767">
        <v>0</v>
      </c>
      <c r="BC60" s="1767">
        <v>0</v>
      </c>
      <c r="BD60" s="1767">
        <v>0</v>
      </c>
      <c r="BE60" s="1767">
        <v>0</v>
      </c>
      <c r="BF60" s="1767">
        <v>0</v>
      </c>
      <c r="BG60" s="1767">
        <v>0</v>
      </c>
      <c r="BH60" s="1767">
        <v>0</v>
      </c>
      <c r="BI60" s="1767">
        <v>0</v>
      </c>
      <c r="BJ60" s="1767">
        <v>0</v>
      </c>
      <c r="BK60" s="1767">
        <v>0</v>
      </c>
      <c r="BL60" s="1767">
        <v>0</v>
      </c>
      <c r="BM60" s="1767">
        <v>0</v>
      </c>
      <c r="BN60" s="1767">
        <v>0</v>
      </c>
      <c r="BO60" s="1767">
        <v>0</v>
      </c>
      <c r="BP60" s="1767">
        <v>0</v>
      </c>
      <c r="BQ60" s="1767">
        <v>0</v>
      </c>
      <c r="BR60" s="1767">
        <v>0</v>
      </c>
      <c r="BS60" s="1767">
        <v>0</v>
      </c>
      <c r="BT60" s="1767">
        <v>0</v>
      </c>
      <c r="BU60" s="1767">
        <v>0</v>
      </c>
      <c r="BV60" s="1767">
        <v>0</v>
      </c>
      <c r="BW60" s="1767">
        <v>0</v>
      </c>
      <c r="BX60" s="1767">
        <v>0</v>
      </c>
      <c r="BY60" s="1767">
        <v>0</v>
      </c>
      <c r="BZ60" s="1767">
        <v>0</v>
      </c>
      <c r="CA60" s="1767">
        <v>0</v>
      </c>
      <c r="CB60" s="1767">
        <v>0</v>
      </c>
      <c r="CC60" s="1767">
        <v>0</v>
      </c>
      <c r="CD60" s="1767">
        <v>0</v>
      </c>
      <c r="CE60" s="1767">
        <v>0</v>
      </c>
      <c r="CF60" s="1767">
        <v>0</v>
      </c>
      <c r="CG60" s="1767">
        <v>0</v>
      </c>
      <c r="CH60" s="1767">
        <v>0</v>
      </c>
      <c r="CI60" s="1767">
        <v>0</v>
      </c>
      <c r="CJ60" s="1767">
        <v>0</v>
      </c>
      <c r="CK60" s="1767">
        <v>0</v>
      </c>
      <c r="CL60" s="1767">
        <v>0</v>
      </c>
      <c r="CM60" s="1767">
        <v>0</v>
      </c>
      <c r="CN60" s="1767">
        <v>0</v>
      </c>
      <c r="CO60" s="1767">
        <v>0</v>
      </c>
      <c r="CP60" s="1767">
        <v>0</v>
      </c>
    </row>
    <row r="61" spans="1:94" ht="15" customHeight="1" x14ac:dyDescent="0.2">
      <c r="A61" s="1847"/>
      <c r="B61" s="1856"/>
      <c r="C61" s="663" t="s">
        <v>2091</v>
      </c>
      <c r="D61" s="936"/>
      <c r="E61" s="1844"/>
      <c r="F61" s="1225"/>
      <c r="G61" s="1767">
        <v>0</v>
      </c>
      <c r="H61" s="1767">
        <v>0</v>
      </c>
      <c r="I61" s="1767">
        <v>0</v>
      </c>
      <c r="J61" s="1767">
        <v>0</v>
      </c>
      <c r="K61" s="1767">
        <v>0</v>
      </c>
      <c r="L61" s="1767">
        <v>0</v>
      </c>
      <c r="M61" s="1767">
        <v>0</v>
      </c>
      <c r="N61" s="1767">
        <v>0</v>
      </c>
      <c r="O61" s="1767">
        <v>0</v>
      </c>
      <c r="P61" s="1767">
        <v>0</v>
      </c>
      <c r="Q61" s="1767">
        <v>0</v>
      </c>
      <c r="R61" s="1767">
        <v>0</v>
      </c>
      <c r="S61" s="1767">
        <v>0</v>
      </c>
      <c r="T61" s="1767">
        <v>0</v>
      </c>
      <c r="U61" s="1767">
        <v>0</v>
      </c>
      <c r="V61" s="1767">
        <v>0</v>
      </c>
      <c r="W61" s="1767">
        <v>0</v>
      </c>
      <c r="X61" s="1767">
        <v>0</v>
      </c>
      <c r="Y61" s="1767">
        <v>0</v>
      </c>
      <c r="Z61" s="1767">
        <v>0</v>
      </c>
      <c r="AA61" s="1767">
        <v>0</v>
      </c>
      <c r="AB61" s="1767">
        <v>0</v>
      </c>
      <c r="AC61" s="1767">
        <v>0</v>
      </c>
      <c r="AD61" s="1767">
        <v>0</v>
      </c>
      <c r="AE61" s="1767">
        <v>0</v>
      </c>
      <c r="AF61" s="1767">
        <v>0</v>
      </c>
      <c r="AG61" s="1767">
        <v>0</v>
      </c>
      <c r="AH61" s="1767">
        <v>0</v>
      </c>
      <c r="AI61" s="1767">
        <v>0</v>
      </c>
      <c r="AJ61" s="1767">
        <v>0</v>
      </c>
      <c r="AK61" s="1767">
        <v>0</v>
      </c>
      <c r="AL61" s="1767">
        <v>0</v>
      </c>
      <c r="AM61" s="1767">
        <v>0</v>
      </c>
      <c r="AN61" s="1767">
        <v>0</v>
      </c>
      <c r="AO61" s="1767">
        <v>0</v>
      </c>
      <c r="AP61" s="1767">
        <v>0</v>
      </c>
      <c r="AQ61" s="1767">
        <v>0</v>
      </c>
      <c r="AR61" s="1767">
        <v>0</v>
      </c>
      <c r="AS61" s="1767">
        <v>0</v>
      </c>
      <c r="AT61" s="1767">
        <v>0</v>
      </c>
      <c r="AU61" s="1767">
        <v>0</v>
      </c>
      <c r="AV61" s="1767">
        <v>0</v>
      </c>
      <c r="AW61" s="1767">
        <v>0</v>
      </c>
      <c r="AX61" s="1767">
        <v>0</v>
      </c>
      <c r="AY61" s="1767">
        <v>0</v>
      </c>
      <c r="AZ61" s="1767">
        <v>0</v>
      </c>
      <c r="BA61" s="1767">
        <v>0</v>
      </c>
      <c r="BB61" s="1767">
        <v>0</v>
      </c>
      <c r="BC61" s="1767">
        <v>0</v>
      </c>
      <c r="BD61" s="1767">
        <v>0</v>
      </c>
      <c r="BE61" s="1767">
        <v>0</v>
      </c>
      <c r="BF61" s="1767">
        <v>0</v>
      </c>
      <c r="BG61" s="1767">
        <v>0</v>
      </c>
      <c r="BH61" s="1767">
        <v>0</v>
      </c>
      <c r="BI61" s="1767">
        <v>0</v>
      </c>
      <c r="BJ61" s="1767">
        <v>0</v>
      </c>
      <c r="BK61" s="1767">
        <v>0</v>
      </c>
      <c r="BL61" s="1767">
        <v>0</v>
      </c>
      <c r="BM61" s="1767">
        <v>0</v>
      </c>
      <c r="BN61" s="1767">
        <v>0</v>
      </c>
      <c r="BO61" s="1767">
        <v>0</v>
      </c>
      <c r="BP61" s="1767">
        <v>0</v>
      </c>
      <c r="BQ61" s="1767">
        <v>0</v>
      </c>
      <c r="BR61" s="1767">
        <v>0</v>
      </c>
      <c r="BS61" s="1767">
        <v>0</v>
      </c>
      <c r="BT61" s="1767">
        <v>0</v>
      </c>
      <c r="BU61" s="1767">
        <v>0</v>
      </c>
      <c r="BV61" s="1767">
        <v>0</v>
      </c>
      <c r="BW61" s="1767">
        <v>0</v>
      </c>
      <c r="BX61" s="1767">
        <v>0</v>
      </c>
      <c r="BY61" s="1767">
        <v>0</v>
      </c>
      <c r="BZ61" s="1767">
        <v>0</v>
      </c>
      <c r="CA61" s="1767">
        <v>0</v>
      </c>
      <c r="CB61" s="1767">
        <v>0</v>
      </c>
      <c r="CC61" s="1767">
        <v>0</v>
      </c>
      <c r="CD61" s="1767">
        <v>0</v>
      </c>
      <c r="CE61" s="1767">
        <v>0</v>
      </c>
      <c r="CF61" s="1767">
        <v>0</v>
      </c>
      <c r="CG61" s="1767">
        <v>0</v>
      </c>
      <c r="CH61" s="1767">
        <v>0</v>
      </c>
      <c r="CI61" s="1767">
        <v>0</v>
      </c>
      <c r="CJ61" s="1767">
        <v>0</v>
      </c>
      <c r="CK61" s="1767">
        <v>0</v>
      </c>
      <c r="CL61" s="1767">
        <v>0</v>
      </c>
      <c r="CM61" s="1767">
        <v>0</v>
      </c>
      <c r="CN61" s="1767">
        <v>0</v>
      </c>
      <c r="CO61" s="1767">
        <v>0</v>
      </c>
      <c r="CP61" s="1767">
        <v>0</v>
      </c>
    </row>
    <row r="62" spans="1:94" ht="15" customHeight="1" thickBot="1" x14ac:dyDescent="0.25">
      <c r="A62" s="1848"/>
      <c r="B62" s="1857"/>
      <c r="C62" s="650" t="s">
        <v>2092</v>
      </c>
      <c r="D62" s="950"/>
      <c r="E62" s="1845"/>
      <c r="F62" s="1225"/>
      <c r="G62" s="1767">
        <v>0</v>
      </c>
      <c r="H62" s="1767">
        <v>0</v>
      </c>
      <c r="I62" s="1767">
        <v>0</v>
      </c>
      <c r="J62" s="1767">
        <v>0</v>
      </c>
      <c r="K62" s="1767">
        <v>0</v>
      </c>
      <c r="L62" s="1767">
        <v>0</v>
      </c>
      <c r="M62" s="1767">
        <v>0</v>
      </c>
      <c r="N62" s="1767">
        <v>0</v>
      </c>
      <c r="O62" s="1767">
        <v>0</v>
      </c>
      <c r="P62" s="1767">
        <v>0</v>
      </c>
      <c r="Q62" s="1767">
        <v>0</v>
      </c>
      <c r="R62" s="1767">
        <v>0</v>
      </c>
      <c r="S62" s="1767">
        <v>0</v>
      </c>
      <c r="T62" s="1767">
        <v>0</v>
      </c>
      <c r="U62" s="1767">
        <v>0</v>
      </c>
      <c r="V62" s="1767">
        <v>0</v>
      </c>
      <c r="W62" s="1767">
        <v>0</v>
      </c>
      <c r="X62" s="1767">
        <v>0</v>
      </c>
      <c r="Y62" s="1767">
        <v>0</v>
      </c>
      <c r="Z62" s="1767">
        <v>0</v>
      </c>
      <c r="AA62" s="1767">
        <v>0</v>
      </c>
      <c r="AB62" s="1767">
        <v>0</v>
      </c>
      <c r="AC62" s="1767">
        <v>0</v>
      </c>
      <c r="AD62" s="1767">
        <v>0</v>
      </c>
      <c r="AE62" s="1767">
        <v>0</v>
      </c>
      <c r="AF62" s="1767">
        <v>0</v>
      </c>
      <c r="AG62" s="1767">
        <v>0</v>
      </c>
      <c r="AH62" s="1767">
        <v>0</v>
      </c>
      <c r="AI62" s="1767">
        <v>0</v>
      </c>
      <c r="AJ62" s="1767">
        <v>0</v>
      </c>
      <c r="AK62" s="1767">
        <v>0</v>
      </c>
      <c r="AL62" s="1767">
        <v>0</v>
      </c>
      <c r="AM62" s="1767">
        <v>0</v>
      </c>
      <c r="AN62" s="1767">
        <v>0</v>
      </c>
      <c r="AO62" s="1767">
        <v>0</v>
      </c>
      <c r="AP62" s="1767">
        <v>0</v>
      </c>
      <c r="AQ62" s="1767">
        <v>0</v>
      </c>
      <c r="AR62" s="1767">
        <v>0</v>
      </c>
      <c r="AS62" s="1767">
        <v>0</v>
      </c>
      <c r="AT62" s="1767">
        <v>0</v>
      </c>
      <c r="AU62" s="1767">
        <v>0</v>
      </c>
      <c r="AV62" s="1767">
        <v>0</v>
      </c>
      <c r="AW62" s="1767">
        <v>0</v>
      </c>
      <c r="AX62" s="1767">
        <v>0</v>
      </c>
      <c r="AY62" s="1767">
        <v>0</v>
      </c>
      <c r="AZ62" s="1767">
        <v>0</v>
      </c>
      <c r="BA62" s="1767">
        <v>0</v>
      </c>
      <c r="BB62" s="1767">
        <v>0</v>
      </c>
      <c r="BC62" s="1767">
        <v>0</v>
      </c>
      <c r="BD62" s="1767">
        <v>0</v>
      </c>
      <c r="BE62" s="1767">
        <v>0</v>
      </c>
      <c r="BF62" s="1767">
        <v>0</v>
      </c>
      <c r="BG62" s="1767">
        <v>0</v>
      </c>
      <c r="BH62" s="1767">
        <v>0</v>
      </c>
      <c r="BI62" s="1767">
        <v>0</v>
      </c>
      <c r="BJ62" s="1767">
        <v>0</v>
      </c>
      <c r="BK62" s="1767">
        <v>0</v>
      </c>
      <c r="BL62" s="1767">
        <v>0</v>
      </c>
      <c r="BM62" s="1767">
        <v>0</v>
      </c>
      <c r="BN62" s="1767">
        <v>0</v>
      </c>
      <c r="BO62" s="1767">
        <v>0</v>
      </c>
      <c r="BP62" s="1767">
        <v>0</v>
      </c>
      <c r="BQ62" s="1767">
        <v>0</v>
      </c>
      <c r="BR62" s="1767">
        <v>0</v>
      </c>
      <c r="BS62" s="1767">
        <v>0</v>
      </c>
      <c r="BT62" s="1767">
        <v>0</v>
      </c>
      <c r="BU62" s="1767">
        <v>0</v>
      </c>
      <c r="BV62" s="1767">
        <v>0</v>
      </c>
      <c r="BW62" s="1767">
        <v>0</v>
      </c>
      <c r="BX62" s="1767">
        <v>0</v>
      </c>
      <c r="BY62" s="1767">
        <v>0</v>
      </c>
      <c r="BZ62" s="1767">
        <v>0</v>
      </c>
      <c r="CA62" s="1767">
        <v>0</v>
      </c>
      <c r="CB62" s="1767">
        <v>0</v>
      </c>
      <c r="CC62" s="1767">
        <v>0</v>
      </c>
      <c r="CD62" s="1767">
        <v>0</v>
      </c>
      <c r="CE62" s="1767">
        <v>0</v>
      </c>
      <c r="CF62" s="1767">
        <v>0</v>
      </c>
      <c r="CG62" s="1767">
        <v>0</v>
      </c>
      <c r="CH62" s="1767">
        <v>0</v>
      </c>
      <c r="CI62" s="1767">
        <v>0</v>
      </c>
      <c r="CJ62" s="1767">
        <v>0</v>
      </c>
      <c r="CK62" s="1767">
        <v>0</v>
      </c>
      <c r="CL62" s="1767">
        <v>0</v>
      </c>
      <c r="CM62" s="1767">
        <v>0</v>
      </c>
      <c r="CN62" s="1767">
        <v>0</v>
      </c>
      <c r="CO62" s="1767">
        <v>0</v>
      </c>
      <c r="CP62" s="1767">
        <v>0</v>
      </c>
    </row>
    <row r="63" spans="1:94" ht="30" customHeight="1" thickBot="1" x14ac:dyDescent="0.25">
      <c r="A63" s="1849" t="s">
        <v>1286</v>
      </c>
      <c r="B63" s="1846" t="s">
        <v>858</v>
      </c>
      <c r="C63" s="1777" t="s">
        <v>2511</v>
      </c>
      <c r="D63" s="947"/>
      <c r="E63" s="1843" t="s">
        <v>2312</v>
      </c>
      <c r="F63" s="1225"/>
      <c r="G63" s="1742"/>
      <c r="H63" s="1742"/>
      <c r="I63" s="1742"/>
      <c r="J63" s="1742"/>
      <c r="K63" s="1742"/>
      <c r="L63" s="1742"/>
      <c r="M63" s="1742"/>
      <c r="N63" s="1742"/>
      <c r="O63" s="1742"/>
      <c r="P63" s="1742"/>
      <c r="Q63" s="1742"/>
      <c r="R63" s="1742"/>
      <c r="S63" s="1742"/>
      <c r="T63" s="1742"/>
      <c r="U63" s="1742"/>
      <c r="V63" s="1742"/>
      <c r="W63" s="1742"/>
      <c r="X63" s="1742"/>
      <c r="Y63" s="1742"/>
      <c r="Z63" s="1742"/>
      <c r="AA63" s="1742"/>
      <c r="AB63" s="1742"/>
      <c r="AC63" s="1742"/>
      <c r="AD63" s="1742"/>
      <c r="AE63" s="1742"/>
      <c r="AF63" s="1742"/>
      <c r="AG63" s="1742"/>
      <c r="AH63" s="1742"/>
      <c r="AI63" s="1742"/>
      <c r="AJ63" s="1742"/>
      <c r="AK63" s="1742"/>
      <c r="AL63" s="1742"/>
      <c r="AM63" s="1742"/>
      <c r="AN63" s="1742"/>
      <c r="AO63" s="1742"/>
      <c r="AP63" s="1742"/>
      <c r="AQ63" s="1742"/>
      <c r="AR63" s="1742"/>
      <c r="AS63" s="1742"/>
      <c r="AT63" s="1742"/>
      <c r="AU63" s="1742"/>
      <c r="AV63" s="1742"/>
      <c r="AW63" s="1742"/>
      <c r="AX63" s="1742"/>
      <c r="AY63" s="1742"/>
      <c r="AZ63" s="1742"/>
      <c r="BA63" s="1742"/>
      <c r="BB63" s="1742"/>
      <c r="BC63" s="1742"/>
      <c r="BD63" s="1742"/>
      <c r="BE63" s="1742"/>
      <c r="BF63" s="1742"/>
      <c r="BG63" s="1742"/>
      <c r="BH63" s="1742"/>
      <c r="BI63" s="1742"/>
      <c r="BJ63" s="1742"/>
      <c r="BK63" s="1742"/>
      <c r="BL63" s="1742"/>
      <c r="BM63" s="1742"/>
      <c r="BN63" s="1742"/>
      <c r="BO63" s="1742"/>
      <c r="BP63" s="1742"/>
      <c r="BQ63" s="1742"/>
      <c r="BR63" s="1742"/>
      <c r="BS63" s="1742"/>
      <c r="BT63" s="1742"/>
      <c r="BU63" s="1742"/>
      <c r="BV63" s="1742"/>
      <c r="BW63" s="1742"/>
      <c r="BX63" s="1742"/>
      <c r="BY63" s="1742"/>
      <c r="BZ63" s="1742"/>
      <c r="CA63" s="1742"/>
      <c r="CB63" s="1742"/>
      <c r="CC63" s="1742"/>
      <c r="CD63" s="1742"/>
      <c r="CE63" s="1742"/>
      <c r="CF63" s="1742"/>
      <c r="CG63" s="1742"/>
      <c r="CH63" s="1742"/>
      <c r="CI63" s="1742"/>
      <c r="CJ63" s="1742"/>
      <c r="CK63" s="1742"/>
      <c r="CL63" s="1742"/>
      <c r="CM63" s="1742"/>
      <c r="CN63" s="1742"/>
      <c r="CO63" s="1742"/>
      <c r="CP63" s="1742"/>
    </row>
    <row r="64" spans="1:94" ht="40.5" customHeight="1" x14ac:dyDescent="0.2">
      <c r="A64" s="1847"/>
      <c r="B64" s="1856"/>
      <c r="C64" s="662" t="s">
        <v>2436</v>
      </c>
      <c r="D64" s="936"/>
      <c r="E64" s="1844"/>
      <c r="F64" s="1225"/>
      <c r="G64" s="1767">
        <v>0</v>
      </c>
      <c r="H64" s="1767">
        <v>0</v>
      </c>
      <c r="I64" s="1767">
        <v>0</v>
      </c>
      <c r="J64" s="1767">
        <v>0</v>
      </c>
      <c r="K64" s="1767">
        <v>0</v>
      </c>
      <c r="L64" s="1767">
        <v>0</v>
      </c>
      <c r="M64" s="1767">
        <v>0</v>
      </c>
      <c r="N64" s="1767">
        <v>0</v>
      </c>
      <c r="O64" s="1767">
        <v>0</v>
      </c>
      <c r="P64" s="1767">
        <v>0</v>
      </c>
      <c r="Q64" s="1767">
        <v>0</v>
      </c>
      <c r="R64" s="1767">
        <v>0</v>
      </c>
      <c r="S64" s="1767">
        <v>0</v>
      </c>
      <c r="T64" s="1767">
        <v>0</v>
      </c>
      <c r="U64" s="1767">
        <v>0</v>
      </c>
      <c r="V64" s="1767">
        <v>0</v>
      </c>
      <c r="W64" s="1767">
        <v>0</v>
      </c>
      <c r="X64" s="1767">
        <v>0</v>
      </c>
      <c r="Y64" s="1767">
        <v>0</v>
      </c>
      <c r="Z64" s="1767">
        <v>0</v>
      </c>
      <c r="AA64" s="1767">
        <v>0</v>
      </c>
      <c r="AB64" s="1767">
        <v>0</v>
      </c>
      <c r="AC64" s="1767">
        <v>0</v>
      </c>
      <c r="AD64" s="1767">
        <v>0</v>
      </c>
      <c r="AE64" s="1767">
        <v>0</v>
      </c>
      <c r="AF64" s="1767">
        <v>0</v>
      </c>
      <c r="AG64" s="1767">
        <v>0</v>
      </c>
      <c r="AH64" s="1767">
        <v>0</v>
      </c>
      <c r="AI64" s="1767">
        <v>0</v>
      </c>
      <c r="AJ64" s="1767">
        <v>0</v>
      </c>
      <c r="AK64" s="1767">
        <v>0</v>
      </c>
      <c r="AL64" s="1767">
        <v>0</v>
      </c>
      <c r="AM64" s="1767">
        <v>0</v>
      </c>
      <c r="AN64" s="1767">
        <v>0</v>
      </c>
      <c r="AO64" s="1767">
        <v>0</v>
      </c>
      <c r="AP64" s="1767">
        <v>0</v>
      </c>
      <c r="AQ64" s="1767">
        <v>0</v>
      </c>
      <c r="AR64" s="1767">
        <v>0</v>
      </c>
      <c r="AS64" s="1767">
        <v>0</v>
      </c>
      <c r="AT64" s="1767">
        <v>0</v>
      </c>
      <c r="AU64" s="1767">
        <v>0</v>
      </c>
      <c r="AV64" s="1767">
        <v>0</v>
      </c>
      <c r="AW64" s="1767">
        <v>0</v>
      </c>
      <c r="AX64" s="1767">
        <v>0</v>
      </c>
      <c r="AY64" s="1767">
        <v>0</v>
      </c>
      <c r="AZ64" s="1767">
        <v>0</v>
      </c>
      <c r="BA64" s="1767">
        <v>0</v>
      </c>
      <c r="BB64" s="1767">
        <v>0</v>
      </c>
      <c r="BC64" s="1767">
        <v>0</v>
      </c>
      <c r="BD64" s="1767">
        <v>0</v>
      </c>
      <c r="BE64" s="1767">
        <v>0</v>
      </c>
      <c r="BF64" s="1767">
        <v>0</v>
      </c>
      <c r="BG64" s="1767">
        <v>0</v>
      </c>
      <c r="BH64" s="1767">
        <v>0</v>
      </c>
      <c r="BI64" s="1767">
        <v>0</v>
      </c>
      <c r="BJ64" s="1767">
        <v>0</v>
      </c>
      <c r="BK64" s="1767">
        <v>0</v>
      </c>
      <c r="BL64" s="1767">
        <v>0</v>
      </c>
      <c r="BM64" s="1767">
        <v>0</v>
      </c>
      <c r="BN64" s="1767">
        <v>0</v>
      </c>
      <c r="BO64" s="1767">
        <v>0</v>
      </c>
      <c r="BP64" s="1767">
        <v>0</v>
      </c>
      <c r="BQ64" s="1767">
        <v>0</v>
      </c>
      <c r="BR64" s="1767">
        <v>0</v>
      </c>
      <c r="BS64" s="1767">
        <v>0</v>
      </c>
      <c r="BT64" s="1767">
        <v>0</v>
      </c>
      <c r="BU64" s="1767">
        <v>0</v>
      </c>
      <c r="BV64" s="1767">
        <v>0</v>
      </c>
      <c r="BW64" s="1767">
        <v>0</v>
      </c>
      <c r="BX64" s="1767">
        <v>0</v>
      </c>
      <c r="BY64" s="1767">
        <v>0</v>
      </c>
      <c r="BZ64" s="1767">
        <v>0</v>
      </c>
      <c r="CA64" s="1767">
        <v>0</v>
      </c>
      <c r="CB64" s="1767">
        <v>0</v>
      </c>
      <c r="CC64" s="1767">
        <v>0</v>
      </c>
      <c r="CD64" s="1767">
        <v>0</v>
      </c>
      <c r="CE64" s="1767">
        <v>0</v>
      </c>
      <c r="CF64" s="1767">
        <v>0</v>
      </c>
      <c r="CG64" s="1767">
        <v>0</v>
      </c>
      <c r="CH64" s="1767">
        <v>0</v>
      </c>
      <c r="CI64" s="1767">
        <v>0</v>
      </c>
      <c r="CJ64" s="1767">
        <v>0</v>
      </c>
      <c r="CK64" s="1767">
        <v>0</v>
      </c>
      <c r="CL64" s="1767">
        <v>0</v>
      </c>
      <c r="CM64" s="1767">
        <v>0</v>
      </c>
      <c r="CN64" s="1767">
        <v>0</v>
      </c>
      <c r="CO64" s="1767">
        <v>0</v>
      </c>
      <c r="CP64" s="1767">
        <v>0</v>
      </c>
    </row>
    <row r="65" spans="1:94" ht="27" customHeight="1" x14ac:dyDescent="0.2">
      <c r="A65" s="1847"/>
      <c r="B65" s="1856"/>
      <c r="C65" s="663" t="s">
        <v>619</v>
      </c>
      <c r="D65" s="936"/>
      <c r="E65" s="1844"/>
      <c r="F65" s="1225"/>
      <c r="G65" s="1767">
        <v>0</v>
      </c>
      <c r="H65" s="1767">
        <v>0</v>
      </c>
      <c r="I65" s="1767">
        <v>0</v>
      </c>
      <c r="J65" s="1767">
        <v>0</v>
      </c>
      <c r="K65" s="1767">
        <v>0</v>
      </c>
      <c r="L65" s="1767">
        <v>0</v>
      </c>
      <c r="M65" s="1767">
        <v>0</v>
      </c>
      <c r="N65" s="1767">
        <v>0</v>
      </c>
      <c r="O65" s="1767">
        <v>0</v>
      </c>
      <c r="P65" s="1767">
        <v>0</v>
      </c>
      <c r="Q65" s="1767">
        <v>0</v>
      </c>
      <c r="R65" s="1767">
        <v>0</v>
      </c>
      <c r="S65" s="1767">
        <v>0</v>
      </c>
      <c r="T65" s="1767">
        <v>0</v>
      </c>
      <c r="U65" s="1767">
        <v>0</v>
      </c>
      <c r="V65" s="1767">
        <v>0</v>
      </c>
      <c r="W65" s="1767">
        <v>0</v>
      </c>
      <c r="X65" s="1767">
        <v>0</v>
      </c>
      <c r="Y65" s="1767">
        <v>0</v>
      </c>
      <c r="Z65" s="1767">
        <v>0</v>
      </c>
      <c r="AA65" s="1767">
        <v>0</v>
      </c>
      <c r="AB65" s="1767">
        <v>0</v>
      </c>
      <c r="AC65" s="1767">
        <v>0</v>
      </c>
      <c r="AD65" s="1767">
        <v>0</v>
      </c>
      <c r="AE65" s="1767">
        <v>0</v>
      </c>
      <c r="AF65" s="1767">
        <v>0</v>
      </c>
      <c r="AG65" s="1767">
        <v>0</v>
      </c>
      <c r="AH65" s="1767">
        <v>0</v>
      </c>
      <c r="AI65" s="1767">
        <v>0</v>
      </c>
      <c r="AJ65" s="1767">
        <v>0</v>
      </c>
      <c r="AK65" s="1767">
        <v>0</v>
      </c>
      <c r="AL65" s="1767">
        <v>0</v>
      </c>
      <c r="AM65" s="1767">
        <v>0</v>
      </c>
      <c r="AN65" s="1767">
        <v>0</v>
      </c>
      <c r="AO65" s="1767">
        <v>0</v>
      </c>
      <c r="AP65" s="1767">
        <v>0</v>
      </c>
      <c r="AQ65" s="1767">
        <v>0</v>
      </c>
      <c r="AR65" s="1767">
        <v>0</v>
      </c>
      <c r="AS65" s="1767">
        <v>0</v>
      </c>
      <c r="AT65" s="1767">
        <v>0</v>
      </c>
      <c r="AU65" s="1767">
        <v>0</v>
      </c>
      <c r="AV65" s="1767">
        <v>0</v>
      </c>
      <c r="AW65" s="1767">
        <v>0</v>
      </c>
      <c r="AX65" s="1767">
        <v>0</v>
      </c>
      <c r="AY65" s="1767">
        <v>0</v>
      </c>
      <c r="AZ65" s="1767">
        <v>0</v>
      </c>
      <c r="BA65" s="1767">
        <v>0</v>
      </c>
      <c r="BB65" s="1767">
        <v>0</v>
      </c>
      <c r="BC65" s="1767">
        <v>0</v>
      </c>
      <c r="BD65" s="1767">
        <v>0</v>
      </c>
      <c r="BE65" s="1767">
        <v>0</v>
      </c>
      <c r="BF65" s="1767">
        <v>0</v>
      </c>
      <c r="BG65" s="1767">
        <v>0</v>
      </c>
      <c r="BH65" s="1767">
        <v>0</v>
      </c>
      <c r="BI65" s="1767">
        <v>0</v>
      </c>
      <c r="BJ65" s="1767">
        <v>0</v>
      </c>
      <c r="BK65" s="1767">
        <v>0</v>
      </c>
      <c r="BL65" s="1767">
        <v>0</v>
      </c>
      <c r="BM65" s="1767">
        <v>0</v>
      </c>
      <c r="BN65" s="1767">
        <v>0</v>
      </c>
      <c r="BO65" s="1767">
        <v>0</v>
      </c>
      <c r="BP65" s="1767">
        <v>0</v>
      </c>
      <c r="BQ65" s="1767">
        <v>0</v>
      </c>
      <c r="BR65" s="1767">
        <v>0</v>
      </c>
      <c r="BS65" s="1767">
        <v>0</v>
      </c>
      <c r="BT65" s="1767">
        <v>0</v>
      </c>
      <c r="BU65" s="1767">
        <v>0</v>
      </c>
      <c r="BV65" s="1767">
        <v>0</v>
      </c>
      <c r="BW65" s="1767">
        <v>0</v>
      </c>
      <c r="BX65" s="1767">
        <v>0</v>
      </c>
      <c r="BY65" s="1767">
        <v>0</v>
      </c>
      <c r="BZ65" s="1767">
        <v>0</v>
      </c>
      <c r="CA65" s="1767">
        <v>0</v>
      </c>
      <c r="CB65" s="1767">
        <v>0</v>
      </c>
      <c r="CC65" s="1767">
        <v>0</v>
      </c>
      <c r="CD65" s="1767">
        <v>0</v>
      </c>
      <c r="CE65" s="1767">
        <v>0</v>
      </c>
      <c r="CF65" s="1767">
        <v>0</v>
      </c>
      <c r="CG65" s="1767">
        <v>0</v>
      </c>
      <c r="CH65" s="1767">
        <v>0</v>
      </c>
      <c r="CI65" s="1767">
        <v>0</v>
      </c>
      <c r="CJ65" s="1767">
        <v>0</v>
      </c>
      <c r="CK65" s="1767">
        <v>0</v>
      </c>
      <c r="CL65" s="1767">
        <v>0</v>
      </c>
      <c r="CM65" s="1767">
        <v>0</v>
      </c>
      <c r="CN65" s="1767">
        <v>0</v>
      </c>
      <c r="CO65" s="1767">
        <v>0</v>
      </c>
      <c r="CP65" s="1767">
        <v>0</v>
      </c>
    </row>
    <row r="66" spans="1:94" ht="27" customHeight="1" x14ac:dyDescent="0.2">
      <c r="A66" s="1847"/>
      <c r="B66" s="1856"/>
      <c r="C66" s="663" t="s">
        <v>2437</v>
      </c>
      <c r="D66" s="936"/>
      <c r="E66" s="1844"/>
      <c r="F66" s="1225"/>
      <c r="G66" s="1767">
        <v>0</v>
      </c>
      <c r="H66" s="1767">
        <v>0</v>
      </c>
      <c r="I66" s="1767">
        <v>0</v>
      </c>
      <c r="J66" s="1767">
        <v>0</v>
      </c>
      <c r="K66" s="1767">
        <v>0</v>
      </c>
      <c r="L66" s="1767">
        <v>0</v>
      </c>
      <c r="M66" s="1767">
        <v>0</v>
      </c>
      <c r="N66" s="1767">
        <v>0</v>
      </c>
      <c r="O66" s="1767">
        <v>0</v>
      </c>
      <c r="P66" s="1767">
        <v>0</v>
      </c>
      <c r="Q66" s="1767">
        <v>0</v>
      </c>
      <c r="R66" s="1767">
        <v>0</v>
      </c>
      <c r="S66" s="1767">
        <v>0</v>
      </c>
      <c r="T66" s="1767">
        <v>0</v>
      </c>
      <c r="U66" s="1767">
        <v>0</v>
      </c>
      <c r="V66" s="1767">
        <v>0</v>
      </c>
      <c r="W66" s="1767">
        <v>0</v>
      </c>
      <c r="X66" s="1767">
        <v>0</v>
      </c>
      <c r="Y66" s="1767">
        <v>0</v>
      </c>
      <c r="Z66" s="1767">
        <v>0</v>
      </c>
      <c r="AA66" s="1767">
        <v>0</v>
      </c>
      <c r="AB66" s="1767">
        <v>0</v>
      </c>
      <c r="AC66" s="1767">
        <v>0</v>
      </c>
      <c r="AD66" s="1767">
        <v>0</v>
      </c>
      <c r="AE66" s="1767">
        <v>0</v>
      </c>
      <c r="AF66" s="1767">
        <v>0</v>
      </c>
      <c r="AG66" s="1767">
        <v>0</v>
      </c>
      <c r="AH66" s="1767">
        <v>0</v>
      </c>
      <c r="AI66" s="1767">
        <v>0</v>
      </c>
      <c r="AJ66" s="1767">
        <v>0</v>
      </c>
      <c r="AK66" s="1767">
        <v>0</v>
      </c>
      <c r="AL66" s="1767">
        <v>0</v>
      </c>
      <c r="AM66" s="1767">
        <v>0</v>
      </c>
      <c r="AN66" s="1767">
        <v>0</v>
      </c>
      <c r="AO66" s="1767">
        <v>0</v>
      </c>
      <c r="AP66" s="1767">
        <v>0</v>
      </c>
      <c r="AQ66" s="1767">
        <v>0</v>
      </c>
      <c r="AR66" s="1767">
        <v>0</v>
      </c>
      <c r="AS66" s="1767">
        <v>0</v>
      </c>
      <c r="AT66" s="1767">
        <v>0</v>
      </c>
      <c r="AU66" s="1767">
        <v>0</v>
      </c>
      <c r="AV66" s="1767">
        <v>0</v>
      </c>
      <c r="AW66" s="1767">
        <v>0</v>
      </c>
      <c r="AX66" s="1767">
        <v>0</v>
      </c>
      <c r="AY66" s="1767">
        <v>0</v>
      </c>
      <c r="AZ66" s="1767">
        <v>0</v>
      </c>
      <c r="BA66" s="1767">
        <v>0</v>
      </c>
      <c r="BB66" s="1767">
        <v>0</v>
      </c>
      <c r="BC66" s="1767">
        <v>0</v>
      </c>
      <c r="BD66" s="1767">
        <v>0</v>
      </c>
      <c r="BE66" s="1767">
        <v>0</v>
      </c>
      <c r="BF66" s="1767">
        <v>0</v>
      </c>
      <c r="BG66" s="1767">
        <v>0</v>
      </c>
      <c r="BH66" s="1767">
        <v>0</v>
      </c>
      <c r="BI66" s="1767">
        <v>0</v>
      </c>
      <c r="BJ66" s="1767">
        <v>0</v>
      </c>
      <c r="BK66" s="1767">
        <v>0</v>
      </c>
      <c r="BL66" s="1767">
        <v>0</v>
      </c>
      <c r="BM66" s="1767">
        <v>0</v>
      </c>
      <c r="BN66" s="1767">
        <v>0</v>
      </c>
      <c r="BO66" s="1767">
        <v>0</v>
      </c>
      <c r="BP66" s="1767">
        <v>0</v>
      </c>
      <c r="BQ66" s="1767">
        <v>0</v>
      </c>
      <c r="BR66" s="1767">
        <v>0</v>
      </c>
      <c r="BS66" s="1767">
        <v>0</v>
      </c>
      <c r="BT66" s="1767">
        <v>0</v>
      </c>
      <c r="BU66" s="1767">
        <v>0</v>
      </c>
      <c r="BV66" s="1767">
        <v>0</v>
      </c>
      <c r="BW66" s="1767">
        <v>0</v>
      </c>
      <c r="BX66" s="1767">
        <v>0</v>
      </c>
      <c r="BY66" s="1767">
        <v>0</v>
      </c>
      <c r="BZ66" s="1767">
        <v>0</v>
      </c>
      <c r="CA66" s="1767">
        <v>0</v>
      </c>
      <c r="CB66" s="1767">
        <v>0</v>
      </c>
      <c r="CC66" s="1767">
        <v>0</v>
      </c>
      <c r="CD66" s="1767">
        <v>0</v>
      </c>
      <c r="CE66" s="1767">
        <v>0</v>
      </c>
      <c r="CF66" s="1767">
        <v>0</v>
      </c>
      <c r="CG66" s="1767">
        <v>0</v>
      </c>
      <c r="CH66" s="1767">
        <v>0</v>
      </c>
      <c r="CI66" s="1767">
        <v>0</v>
      </c>
      <c r="CJ66" s="1767">
        <v>0</v>
      </c>
      <c r="CK66" s="1767">
        <v>0</v>
      </c>
      <c r="CL66" s="1767">
        <v>0</v>
      </c>
      <c r="CM66" s="1767">
        <v>0</v>
      </c>
      <c r="CN66" s="1767">
        <v>0</v>
      </c>
      <c r="CO66" s="1767">
        <v>0</v>
      </c>
      <c r="CP66" s="1767">
        <v>0</v>
      </c>
    </row>
    <row r="67" spans="1:94" ht="15" customHeight="1" x14ac:dyDescent="0.2">
      <c r="A67" s="1847"/>
      <c r="B67" s="1856"/>
      <c r="C67" s="663" t="s">
        <v>2093</v>
      </c>
      <c r="D67" s="936"/>
      <c r="E67" s="1844"/>
      <c r="F67" s="1225"/>
      <c r="G67" s="1767">
        <v>0</v>
      </c>
      <c r="H67" s="1767">
        <v>0</v>
      </c>
      <c r="I67" s="1767">
        <v>0</v>
      </c>
      <c r="J67" s="1767">
        <v>0</v>
      </c>
      <c r="K67" s="1767">
        <v>0</v>
      </c>
      <c r="L67" s="1767">
        <v>0</v>
      </c>
      <c r="M67" s="1767">
        <v>0</v>
      </c>
      <c r="N67" s="1767">
        <v>0</v>
      </c>
      <c r="O67" s="1767">
        <v>0</v>
      </c>
      <c r="P67" s="1767">
        <v>0</v>
      </c>
      <c r="Q67" s="1767">
        <v>0</v>
      </c>
      <c r="R67" s="1767">
        <v>0</v>
      </c>
      <c r="S67" s="1767">
        <v>0</v>
      </c>
      <c r="T67" s="1767">
        <v>0</v>
      </c>
      <c r="U67" s="1767">
        <v>0</v>
      </c>
      <c r="V67" s="1767">
        <v>0</v>
      </c>
      <c r="W67" s="1767">
        <v>0</v>
      </c>
      <c r="X67" s="1767">
        <v>0</v>
      </c>
      <c r="Y67" s="1767">
        <v>0</v>
      </c>
      <c r="Z67" s="1767">
        <v>0</v>
      </c>
      <c r="AA67" s="1767">
        <v>0</v>
      </c>
      <c r="AB67" s="1767">
        <v>0</v>
      </c>
      <c r="AC67" s="1767">
        <v>0</v>
      </c>
      <c r="AD67" s="1767">
        <v>0</v>
      </c>
      <c r="AE67" s="1767">
        <v>0</v>
      </c>
      <c r="AF67" s="1767">
        <v>0</v>
      </c>
      <c r="AG67" s="1767">
        <v>0</v>
      </c>
      <c r="AH67" s="1767">
        <v>0</v>
      </c>
      <c r="AI67" s="1767">
        <v>0</v>
      </c>
      <c r="AJ67" s="1767">
        <v>0</v>
      </c>
      <c r="AK67" s="1767">
        <v>0</v>
      </c>
      <c r="AL67" s="1767">
        <v>0</v>
      </c>
      <c r="AM67" s="1767">
        <v>0</v>
      </c>
      <c r="AN67" s="1767">
        <v>0</v>
      </c>
      <c r="AO67" s="1767">
        <v>0</v>
      </c>
      <c r="AP67" s="1767">
        <v>0</v>
      </c>
      <c r="AQ67" s="1767">
        <v>0</v>
      </c>
      <c r="AR67" s="1767">
        <v>0</v>
      </c>
      <c r="AS67" s="1767">
        <v>0</v>
      </c>
      <c r="AT67" s="1767">
        <v>0</v>
      </c>
      <c r="AU67" s="1767">
        <v>0</v>
      </c>
      <c r="AV67" s="1767">
        <v>0</v>
      </c>
      <c r="AW67" s="1767">
        <v>0</v>
      </c>
      <c r="AX67" s="1767">
        <v>0</v>
      </c>
      <c r="AY67" s="1767">
        <v>0</v>
      </c>
      <c r="AZ67" s="1767">
        <v>0</v>
      </c>
      <c r="BA67" s="1767">
        <v>0</v>
      </c>
      <c r="BB67" s="1767">
        <v>0</v>
      </c>
      <c r="BC67" s="1767">
        <v>0</v>
      </c>
      <c r="BD67" s="1767">
        <v>0</v>
      </c>
      <c r="BE67" s="1767">
        <v>0</v>
      </c>
      <c r="BF67" s="1767">
        <v>0</v>
      </c>
      <c r="BG67" s="1767">
        <v>0</v>
      </c>
      <c r="BH67" s="1767">
        <v>0</v>
      </c>
      <c r="BI67" s="1767">
        <v>0</v>
      </c>
      <c r="BJ67" s="1767">
        <v>0</v>
      </c>
      <c r="BK67" s="1767">
        <v>0</v>
      </c>
      <c r="BL67" s="1767">
        <v>0</v>
      </c>
      <c r="BM67" s="1767">
        <v>0</v>
      </c>
      <c r="BN67" s="1767">
        <v>0</v>
      </c>
      <c r="BO67" s="1767">
        <v>0</v>
      </c>
      <c r="BP67" s="1767">
        <v>0</v>
      </c>
      <c r="BQ67" s="1767">
        <v>0</v>
      </c>
      <c r="BR67" s="1767">
        <v>0</v>
      </c>
      <c r="BS67" s="1767">
        <v>0</v>
      </c>
      <c r="BT67" s="1767">
        <v>0</v>
      </c>
      <c r="BU67" s="1767">
        <v>0</v>
      </c>
      <c r="BV67" s="1767">
        <v>0</v>
      </c>
      <c r="BW67" s="1767">
        <v>0</v>
      </c>
      <c r="BX67" s="1767">
        <v>0</v>
      </c>
      <c r="BY67" s="1767">
        <v>0</v>
      </c>
      <c r="BZ67" s="1767">
        <v>0</v>
      </c>
      <c r="CA67" s="1767">
        <v>0</v>
      </c>
      <c r="CB67" s="1767">
        <v>0</v>
      </c>
      <c r="CC67" s="1767">
        <v>0</v>
      </c>
      <c r="CD67" s="1767">
        <v>0</v>
      </c>
      <c r="CE67" s="1767">
        <v>0</v>
      </c>
      <c r="CF67" s="1767">
        <v>0</v>
      </c>
      <c r="CG67" s="1767">
        <v>0</v>
      </c>
      <c r="CH67" s="1767">
        <v>0</v>
      </c>
      <c r="CI67" s="1767">
        <v>0</v>
      </c>
      <c r="CJ67" s="1767">
        <v>0</v>
      </c>
      <c r="CK67" s="1767">
        <v>0</v>
      </c>
      <c r="CL67" s="1767">
        <v>0</v>
      </c>
      <c r="CM67" s="1767">
        <v>0</v>
      </c>
      <c r="CN67" s="1767">
        <v>0</v>
      </c>
      <c r="CO67" s="1767">
        <v>0</v>
      </c>
      <c r="CP67" s="1767">
        <v>0</v>
      </c>
    </row>
    <row r="68" spans="1:94" ht="15" customHeight="1" thickBot="1" x14ac:dyDescent="0.25">
      <c r="A68" s="1847"/>
      <c r="B68" s="1856"/>
      <c r="C68" s="851" t="s">
        <v>620</v>
      </c>
      <c r="D68" s="949"/>
      <c r="E68" s="1844"/>
      <c r="F68" s="1225"/>
      <c r="G68" s="1767">
        <v>0</v>
      </c>
      <c r="H68" s="1767">
        <v>0</v>
      </c>
      <c r="I68" s="1767">
        <v>0</v>
      </c>
      <c r="J68" s="1767">
        <v>0</v>
      </c>
      <c r="K68" s="1767">
        <v>0</v>
      </c>
      <c r="L68" s="1767">
        <v>0</v>
      </c>
      <c r="M68" s="1767">
        <v>0</v>
      </c>
      <c r="N68" s="1767">
        <v>0</v>
      </c>
      <c r="O68" s="1767">
        <v>0</v>
      </c>
      <c r="P68" s="1767">
        <v>0</v>
      </c>
      <c r="Q68" s="1767">
        <v>0</v>
      </c>
      <c r="R68" s="1767">
        <v>0</v>
      </c>
      <c r="S68" s="1767">
        <v>0</v>
      </c>
      <c r="T68" s="1767">
        <v>0</v>
      </c>
      <c r="U68" s="1767">
        <v>0</v>
      </c>
      <c r="V68" s="1767">
        <v>0</v>
      </c>
      <c r="W68" s="1767">
        <v>0</v>
      </c>
      <c r="X68" s="1767">
        <v>0</v>
      </c>
      <c r="Y68" s="1767">
        <v>0</v>
      </c>
      <c r="Z68" s="1767">
        <v>0</v>
      </c>
      <c r="AA68" s="1767">
        <v>0</v>
      </c>
      <c r="AB68" s="1767">
        <v>0</v>
      </c>
      <c r="AC68" s="1767">
        <v>0</v>
      </c>
      <c r="AD68" s="1767">
        <v>0</v>
      </c>
      <c r="AE68" s="1767">
        <v>0</v>
      </c>
      <c r="AF68" s="1767">
        <v>0</v>
      </c>
      <c r="AG68" s="1767">
        <v>0</v>
      </c>
      <c r="AH68" s="1767">
        <v>0</v>
      </c>
      <c r="AI68" s="1767">
        <v>0</v>
      </c>
      <c r="AJ68" s="1767">
        <v>0</v>
      </c>
      <c r="AK68" s="1767">
        <v>0</v>
      </c>
      <c r="AL68" s="1767">
        <v>0</v>
      </c>
      <c r="AM68" s="1767">
        <v>0</v>
      </c>
      <c r="AN68" s="1767">
        <v>0</v>
      </c>
      <c r="AO68" s="1767">
        <v>0</v>
      </c>
      <c r="AP68" s="1767">
        <v>0</v>
      </c>
      <c r="AQ68" s="1767">
        <v>0</v>
      </c>
      <c r="AR68" s="1767">
        <v>0</v>
      </c>
      <c r="AS68" s="1767">
        <v>0</v>
      </c>
      <c r="AT68" s="1767">
        <v>0</v>
      </c>
      <c r="AU68" s="1767">
        <v>0</v>
      </c>
      <c r="AV68" s="1767">
        <v>0</v>
      </c>
      <c r="AW68" s="1767">
        <v>0</v>
      </c>
      <c r="AX68" s="1767">
        <v>0</v>
      </c>
      <c r="AY68" s="1767">
        <v>0</v>
      </c>
      <c r="AZ68" s="1767">
        <v>0</v>
      </c>
      <c r="BA68" s="1767">
        <v>0</v>
      </c>
      <c r="BB68" s="1767">
        <v>0</v>
      </c>
      <c r="BC68" s="1767">
        <v>0</v>
      </c>
      <c r="BD68" s="1767">
        <v>0</v>
      </c>
      <c r="BE68" s="1767">
        <v>0</v>
      </c>
      <c r="BF68" s="1767">
        <v>0</v>
      </c>
      <c r="BG68" s="1767">
        <v>0</v>
      </c>
      <c r="BH68" s="1767">
        <v>0</v>
      </c>
      <c r="BI68" s="1767">
        <v>0</v>
      </c>
      <c r="BJ68" s="1767">
        <v>0</v>
      </c>
      <c r="BK68" s="1767">
        <v>0</v>
      </c>
      <c r="BL68" s="1767">
        <v>0</v>
      </c>
      <c r="BM68" s="1767">
        <v>0</v>
      </c>
      <c r="BN68" s="1767">
        <v>0</v>
      </c>
      <c r="BO68" s="1767">
        <v>0</v>
      </c>
      <c r="BP68" s="1767">
        <v>0</v>
      </c>
      <c r="BQ68" s="1767">
        <v>0</v>
      </c>
      <c r="BR68" s="1767">
        <v>0</v>
      </c>
      <c r="BS68" s="1767">
        <v>0</v>
      </c>
      <c r="BT68" s="1767">
        <v>0</v>
      </c>
      <c r="BU68" s="1767">
        <v>0</v>
      </c>
      <c r="BV68" s="1767">
        <v>0</v>
      </c>
      <c r="BW68" s="1767">
        <v>0</v>
      </c>
      <c r="BX68" s="1767">
        <v>0</v>
      </c>
      <c r="BY68" s="1767">
        <v>0</v>
      </c>
      <c r="BZ68" s="1767">
        <v>0</v>
      </c>
      <c r="CA68" s="1767">
        <v>0</v>
      </c>
      <c r="CB68" s="1767">
        <v>0</v>
      </c>
      <c r="CC68" s="1767">
        <v>0</v>
      </c>
      <c r="CD68" s="1767">
        <v>0</v>
      </c>
      <c r="CE68" s="1767">
        <v>0</v>
      </c>
      <c r="CF68" s="1767">
        <v>0</v>
      </c>
      <c r="CG68" s="1767">
        <v>0</v>
      </c>
      <c r="CH68" s="1767">
        <v>0</v>
      </c>
      <c r="CI68" s="1767">
        <v>0</v>
      </c>
      <c r="CJ68" s="1767">
        <v>0</v>
      </c>
      <c r="CK68" s="1767">
        <v>0</v>
      </c>
      <c r="CL68" s="1767">
        <v>0</v>
      </c>
      <c r="CM68" s="1767">
        <v>0</v>
      </c>
      <c r="CN68" s="1767">
        <v>0</v>
      </c>
      <c r="CO68" s="1767">
        <v>0</v>
      </c>
      <c r="CP68" s="1767">
        <v>0</v>
      </c>
    </row>
    <row r="69" spans="1:94" ht="45" customHeight="1" thickBot="1" x14ac:dyDescent="0.25">
      <c r="A69" s="1849" t="s">
        <v>1287</v>
      </c>
      <c r="B69" s="1846" t="s">
        <v>163</v>
      </c>
      <c r="C69" s="1777" t="s">
        <v>2512</v>
      </c>
      <c r="D69" s="947"/>
      <c r="E69" s="1830" t="s">
        <v>2069</v>
      </c>
      <c r="F69" s="1225"/>
      <c r="G69" s="1742"/>
      <c r="H69" s="1742"/>
      <c r="I69" s="1742"/>
      <c r="J69" s="1742"/>
      <c r="K69" s="1742"/>
      <c r="L69" s="1742"/>
      <c r="M69" s="1742"/>
      <c r="N69" s="1742"/>
      <c r="O69" s="1742"/>
      <c r="P69" s="1742"/>
      <c r="Q69" s="1742"/>
      <c r="R69" s="1742"/>
      <c r="S69" s="1742"/>
      <c r="T69" s="1742"/>
      <c r="U69" s="1742"/>
      <c r="V69" s="1742"/>
      <c r="W69" s="1742"/>
      <c r="X69" s="1742"/>
      <c r="Y69" s="1742"/>
      <c r="Z69" s="1742"/>
      <c r="AA69" s="1742"/>
      <c r="AB69" s="1742"/>
      <c r="AC69" s="1742"/>
      <c r="AD69" s="1742"/>
      <c r="AE69" s="1742"/>
      <c r="AF69" s="1742"/>
      <c r="AG69" s="1742"/>
      <c r="AH69" s="1742"/>
      <c r="AI69" s="1742"/>
      <c r="AJ69" s="1742"/>
      <c r="AK69" s="1742"/>
      <c r="AL69" s="1742"/>
      <c r="AM69" s="1742"/>
      <c r="AN69" s="1742"/>
      <c r="AO69" s="1742"/>
      <c r="AP69" s="1742"/>
      <c r="AQ69" s="1742"/>
      <c r="AR69" s="1742"/>
      <c r="AS69" s="1742"/>
      <c r="AT69" s="1742"/>
      <c r="AU69" s="1742"/>
      <c r="AV69" s="1742"/>
      <c r="AW69" s="1742"/>
      <c r="AX69" s="1742"/>
      <c r="AY69" s="1742"/>
      <c r="AZ69" s="1742"/>
      <c r="BA69" s="1742"/>
      <c r="BB69" s="1742"/>
      <c r="BC69" s="1742"/>
      <c r="BD69" s="1742"/>
      <c r="BE69" s="1742"/>
      <c r="BF69" s="1742"/>
      <c r="BG69" s="1742"/>
      <c r="BH69" s="1742"/>
      <c r="BI69" s="1742"/>
      <c r="BJ69" s="1742"/>
      <c r="BK69" s="1742"/>
      <c r="BL69" s="1742"/>
      <c r="BM69" s="1742"/>
      <c r="BN69" s="1742"/>
      <c r="BO69" s="1742"/>
      <c r="BP69" s="1742"/>
      <c r="BQ69" s="1742"/>
      <c r="BR69" s="1742"/>
      <c r="BS69" s="1742"/>
      <c r="BT69" s="1742"/>
      <c r="BU69" s="1742"/>
      <c r="BV69" s="1742"/>
      <c r="BW69" s="1742"/>
      <c r="BX69" s="1742"/>
      <c r="BY69" s="1742"/>
      <c r="BZ69" s="1742"/>
      <c r="CA69" s="1742"/>
      <c r="CB69" s="1742"/>
      <c r="CC69" s="1742"/>
      <c r="CD69" s="1742"/>
      <c r="CE69" s="1742"/>
      <c r="CF69" s="1742"/>
      <c r="CG69" s="1742"/>
      <c r="CH69" s="1742"/>
      <c r="CI69" s="1742"/>
      <c r="CJ69" s="1742"/>
      <c r="CK69" s="1742"/>
      <c r="CL69" s="1742"/>
      <c r="CM69" s="1742"/>
      <c r="CN69" s="1742"/>
      <c r="CO69" s="1742"/>
      <c r="CP69" s="1742"/>
    </row>
    <row r="70" spans="1:94" ht="15" customHeight="1" x14ac:dyDescent="0.2">
      <c r="A70" s="1889"/>
      <c r="B70" s="1856"/>
      <c r="C70" s="660" t="s">
        <v>2313</v>
      </c>
      <c r="D70" s="936"/>
      <c r="E70" s="1831"/>
      <c r="F70" s="1225"/>
      <c r="G70" s="1767">
        <v>0</v>
      </c>
      <c r="H70" s="1767">
        <v>0</v>
      </c>
      <c r="I70" s="1767">
        <v>0</v>
      </c>
      <c r="J70" s="1767">
        <v>0</v>
      </c>
      <c r="K70" s="1767">
        <v>0</v>
      </c>
      <c r="L70" s="1767">
        <v>0</v>
      </c>
      <c r="M70" s="1767">
        <v>0</v>
      </c>
      <c r="N70" s="1767">
        <v>0</v>
      </c>
      <c r="O70" s="1767">
        <v>0</v>
      </c>
      <c r="P70" s="1767">
        <v>0</v>
      </c>
      <c r="Q70" s="1767">
        <v>0</v>
      </c>
      <c r="R70" s="1767">
        <v>0</v>
      </c>
      <c r="S70" s="1767">
        <v>0</v>
      </c>
      <c r="T70" s="1767">
        <v>0</v>
      </c>
      <c r="U70" s="1767">
        <v>0</v>
      </c>
      <c r="V70" s="1767">
        <v>0</v>
      </c>
      <c r="W70" s="1767">
        <v>0</v>
      </c>
      <c r="X70" s="1767">
        <v>0</v>
      </c>
      <c r="Y70" s="1767">
        <v>0</v>
      </c>
      <c r="Z70" s="1767">
        <v>0</v>
      </c>
      <c r="AA70" s="1767">
        <v>0</v>
      </c>
      <c r="AB70" s="1767">
        <v>0</v>
      </c>
      <c r="AC70" s="1767">
        <v>0</v>
      </c>
      <c r="AD70" s="1767">
        <v>0</v>
      </c>
      <c r="AE70" s="1767">
        <v>0</v>
      </c>
      <c r="AF70" s="1767">
        <v>0</v>
      </c>
      <c r="AG70" s="1767">
        <v>0</v>
      </c>
      <c r="AH70" s="1767">
        <v>0</v>
      </c>
      <c r="AI70" s="1767">
        <v>0</v>
      </c>
      <c r="AJ70" s="1767">
        <v>0</v>
      </c>
      <c r="AK70" s="1767">
        <v>0</v>
      </c>
      <c r="AL70" s="1767">
        <v>0</v>
      </c>
      <c r="AM70" s="1767">
        <v>0</v>
      </c>
      <c r="AN70" s="1767">
        <v>0</v>
      </c>
      <c r="AO70" s="1767">
        <v>0</v>
      </c>
      <c r="AP70" s="1767">
        <v>0</v>
      </c>
      <c r="AQ70" s="1767">
        <v>0</v>
      </c>
      <c r="AR70" s="1767">
        <v>0</v>
      </c>
      <c r="AS70" s="1767">
        <v>0</v>
      </c>
      <c r="AT70" s="1767">
        <v>0</v>
      </c>
      <c r="AU70" s="1767">
        <v>0</v>
      </c>
      <c r="AV70" s="1767">
        <v>0</v>
      </c>
      <c r="AW70" s="1767">
        <v>0</v>
      </c>
      <c r="AX70" s="1767">
        <v>0</v>
      </c>
      <c r="AY70" s="1767">
        <v>0</v>
      </c>
      <c r="AZ70" s="1767">
        <v>0</v>
      </c>
      <c r="BA70" s="1767">
        <v>0</v>
      </c>
      <c r="BB70" s="1767">
        <v>0</v>
      </c>
      <c r="BC70" s="1767">
        <v>0</v>
      </c>
      <c r="BD70" s="1767">
        <v>0</v>
      </c>
      <c r="BE70" s="1767">
        <v>0</v>
      </c>
      <c r="BF70" s="1767">
        <v>0</v>
      </c>
      <c r="BG70" s="1767">
        <v>0</v>
      </c>
      <c r="BH70" s="1767">
        <v>0</v>
      </c>
      <c r="BI70" s="1767">
        <v>0</v>
      </c>
      <c r="BJ70" s="1767">
        <v>0</v>
      </c>
      <c r="BK70" s="1767">
        <v>0</v>
      </c>
      <c r="BL70" s="1767">
        <v>0</v>
      </c>
      <c r="BM70" s="1767">
        <v>0</v>
      </c>
      <c r="BN70" s="1767">
        <v>0</v>
      </c>
      <c r="BO70" s="1767">
        <v>0</v>
      </c>
      <c r="BP70" s="1767">
        <v>0</v>
      </c>
      <c r="BQ70" s="1767">
        <v>0</v>
      </c>
      <c r="BR70" s="1767">
        <v>0</v>
      </c>
      <c r="BS70" s="1767">
        <v>0</v>
      </c>
      <c r="BT70" s="1767">
        <v>0</v>
      </c>
      <c r="BU70" s="1767">
        <v>0</v>
      </c>
      <c r="BV70" s="1767">
        <v>0</v>
      </c>
      <c r="BW70" s="1767">
        <v>0</v>
      </c>
      <c r="BX70" s="1767">
        <v>0</v>
      </c>
      <c r="BY70" s="1767">
        <v>0</v>
      </c>
      <c r="BZ70" s="1767">
        <v>0</v>
      </c>
      <c r="CA70" s="1767">
        <v>0</v>
      </c>
      <c r="CB70" s="1767">
        <v>0</v>
      </c>
      <c r="CC70" s="1767">
        <v>0</v>
      </c>
      <c r="CD70" s="1767">
        <v>0</v>
      </c>
      <c r="CE70" s="1767">
        <v>0</v>
      </c>
      <c r="CF70" s="1767">
        <v>0</v>
      </c>
      <c r="CG70" s="1767">
        <v>0</v>
      </c>
      <c r="CH70" s="1767">
        <v>0</v>
      </c>
      <c r="CI70" s="1767">
        <v>0</v>
      </c>
      <c r="CJ70" s="1767">
        <v>0</v>
      </c>
      <c r="CK70" s="1767">
        <v>0</v>
      </c>
      <c r="CL70" s="1767">
        <v>0</v>
      </c>
      <c r="CM70" s="1767">
        <v>0</v>
      </c>
      <c r="CN70" s="1767">
        <v>0</v>
      </c>
      <c r="CO70" s="1767">
        <v>0</v>
      </c>
      <c r="CP70" s="1767">
        <v>0</v>
      </c>
    </row>
    <row r="71" spans="1:94" ht="15" customHeight="1" x14ac:dyDescent="0.2">
      <c r="A71" s="1889"/>
      <c r="B71" s="1856"/>
      <c r="C71" s="653" t="s">
        <v>2094</v>
      </c>
      <c r="D71" s="936"/>
      <c r="E71" s="1831"/>
      <c r="F71" s="1225"/>
      <c r="G71" s="1767">
        <v>0</v>
      </c>
      <c r="H71" s="1767">
        <v>0</v>
      </c>
      <c r="I71" s="1767">
        <v>0</v>
      </c>
      <c r="J71" s="1767">
        <v>0</v>
      </c>
      <c r="K71" s="1767">
        <v>0</v>
      </c>
      <c r="L71" s="1767">
        <v>0</v>
      </c>
      <c r="M71" s="1767">
        <v>0</v>
      </c>
      <c r="N71" s="1767">
        <v>0</v>
      </c>
      <c r="O71" s="1767">
        <v>0</v>
      </c>
      <c r="P71" s="1767">
        <v>0</v>
      </c>
      <c r="Q71" s="1767">
        <v>0</v>
      </c>
      <c r="R71" s="1767">
        <v>0</v>
      </c>
      <c r="S71" s="1767">
        <v>0</v>
      </c>
      <c r="T71" s="1767">
        <v>0</v>
      </c>
      <c r="U71" s="1767">
        <v>0</v>
      </c>
      <c r="V71" s="1767">
        <v>0</v>
      </c>
      <c r="W71" s="1767">
        <v>0</v>
      </c>
      <c r="X71" s="1767">
        <v>0</v>
      </c>
      <c r="Y71" s="1767">
        <v>0</v>
      </c>
      <c r="Z71" s="1767">
        <v>0</v>
      </c>
      <c r="AA71" s="1767">
        <v>0</v>
      </c>
      <c r="AB71" s="1767">
        <v>0</v>
      </c>
      <c r="AC71" s="1767">
        <v>0</v>
      </c>
      <c r="AD71" s="1767">
        <v>0</v>
      </c>
      <c r="AE71" s="1767">
        <v>0</v>
      </c>
      <c r="AF71" s="1767">
        <v>0</v>
      </c>
      <c r="AG71" s="1767">
        <v>0</v>
      </c>
      <c r="AH71" s="1767">
        <v>0</v>
      </c>
      <c r="AI71" s="1767">
        <v>0</v>
      </c>
      <c r="AJ71" s="1767">
        <v>0</v>
      </c>
      <c r="AK71" s="1767">
        <v>0</v>
      </c>
      <c r="AL71" s="1767">
        <v>0</v>
      </c>
      <c r="AM71" s="1767">
        <v>0</v>
      </c>
      <c r="AN71" s="1767">
        <v>0</v>
      </c>
      <c r="AO71" s="1767">
        <v>0</v>
      </c>
      <c r="AP71" s="1767">
        <v>0</v>
      </c>
      <c r="AQ71" s="1767">
        <v>0</v>
      </c>
      <c r="AR71" s="1767">
        <v>0</v>
      </c>
      <c r="AS71" s="1767">
        <v>0</v>
      </c>
      <c r="AT71" s="1767">
        <v>0</v>
      </c>
      <c r="AU71" s="1767">
        <v>0</v>
      </c>
      <c r="AV71" s="1767">
        <v>0</v>
      </c>
      <c r="AW71" s="1767">
        <v>0</v>
      </c>
      <c r="AX71" s="1767">
        <v>0</v>
      </c>
      <c r="AY71" s="1767">
        <v>0</v>
      </c>
      <c r="AZ71" s="1767">
        <v>0</v>
      </c>
      <c r="BA71" s="1767">
        <v>0</v>
      </c>
      <c r="BB71" s="1767">
        <v>0</v>
      </c>
      <c r="BC71" s="1767">
        <v>0</v>
      </c>
      <c r="BD71" s="1767">
        <v>0</v>
      </c>
      <c r="BE71" s="1767">
        <v>0</v>
      </c>
      <c r="BF71" s="1767">
        <v>0</v>
      </c>
      <c r="BG71" s="1767">
        <v>0</v>
      </c>
      <c r="BH71" s="1767">
        <v>0</v>
      </c>
      <c r="BI71" s="1767">
        <v>0</v>
      </c>
      <c r="BJ71" s="1767">
        <v>0</v>
      </c>
      <c r="BK71" s="1767">
        <v>0</v>
      </c>
      <c r="BL71" s="1767">
        <v>0</v>
      </c>
      <c r="BM71" s="1767">
        <v>0</v>
      </c>
      <c r="BN71" s="1767">
        <v>0</v>
      </c>
      <c r="BO71" s="1767">
        <v>0</v>
      </c>
      <c r="BP71" s="1767">
        <v>0</v>
      </c>
      <c r="BQ71" s="1767">
        <v>0</v>
      </c>
      <c r="BR71" s="1767">
        <v>0</v>
      </c>
      <c r="BS71" s="1767">
        <v>0</v>
      </c>
      <c r="BT71" s="1767">
        <v>0</v>
      </c>
      <c r="BU71" s="1767">
        <v>0</v>
      </c>
      <c r="BV71" s="1767">
        <v>0</v>
      </c>
      <c r="BW71" s="1767">
        <v>0</v>
      </c>
      <c r="BX71" s="1767">
        <v>0</v>
      </c>
      <c r="BY71" s="1767">
        <v>0</v>
      </c>
      <c r="BZ71" s="1767">
        <v>0</v>
      </c>
      <c r="CA71" s="1767">
        <v>0</v>
      </c>
      <c r="CB71" s="1767">
        <v>0</v>
      </c>
      <c r="CC71" s="1767">
        <v>0</v>
      </c>
      <c r="CD71" s="1767">
        <v>0</v>
      </c>
      <c r="CE71" s="1767">
        <v>0</v>
      </c>
      <c r="CF71" s="1767">
        <v>0</v>
      </c>
      <c r="CG71" s="1767">
        <v>0</v>
      </c>
      <c r="CH71" s="1767">
        <v>0</v>
      </c>
      <c r="CI71" s="1767">
        <v>0</v>
      </c>
      <c r="CJ71" s="1767">
        <v>0</v>
      </c>
      <c r="CK71" s="1767">
        <v>0</v>
      </c>
      <c r="CL71" s="1767">
        <v>0</v>
      </c>
      <c r="CM71" s="1767">
        <v>0</v>
      </c>
      <c r="CN71" s="1767">
        <v>0</v>
      </c>
      <c r="CO71" s="1767">
        <v>0</v>
      </c>
      <c r="CP71" s="1767">
        <v>0</v>
      </c>
    </row>
    <row r="72" spans="1:94" ht="15" customHeight="1" thickBot="1" x14ac:dyDescent="0.25">
      <c r="A72" s="1890"/>
      <c r="B72" s="1857"/>
      <c r="C72" s="659" t="s">
        <v>2095</v>
      </c>
      <c r="D72" s="950"/>
      <c r="E72" s="1832"/>
      <c r="F72" s="1225"/>
      <c r="G72" s="1767">
        <v>0</v>
      </c>
      <c r="H72" s="1767">
        <v>0</v>
      </c>
      <c r="I72" s="1767">
        <v>0</v>
      </c>
      <c r="J72" s="1767">
        <v>0</v>
      </c>
      <c r="K72" s="1767">
        <v>0</v>
      </c>
      <c r="L72" s="1767">
        <v>0</v>
      </c>
      <c r="M72" s="1767">
        <v>0</v>
      </c>
      <c r="N72" s="1767">
        <v>0</v>
      </c>
      <c r="O72" s="1767">
        <v>0</v>
      </c>
      <c r="P72" s="1767">
        <v>0</v>
      </c>
      <c r="Q72" s="1767">
        <v>0</v>
      </c>
      <c r="R72" s="1767">
        <v>0</v>
      </c>
      <c r="S72" s="1767">
        <v>0</v>
      </c>
      <c r="T72" s="1767">
        <v>0</v>
      </c>
      <c r="U72" s="1767">
        <v>0</v>
      </c>
      <c r="V72" s="1767">
        <v>0</v>
      </c>
      <c r="W72" s="1767">
        <v>0</v>
      </c>
      <c r="X72" s="1767">
        <v>0</v>
      </c>
      <c r="Y72" s="1767">
        <v>0</v>
      </c>
      <c r="Z72" s="1767">
        <v>0</v>
      </c>
      <c r="AA72" s="1767">
        <v>0</v>
      </c>
      <c r="AB72" s="1767">
        <v>0</v>
      </c>
      <c r="AC72" s="1767">
        <v>0</v>
      </c>
      <c r="AD72" s="1767">
        <v>0</v>
      </c>
      <c r="AE72" s="1767">
        <v>0</v>
      </c>
      <c r="AF72" s="1767">
        <v>0</v>
      </c>
      <c r="AG72" s="1767">
        <v>0</v>
      </c>
      <c r="AH72" s="1767">
        <v>0</v>
      </c>
      <c r="AI72" s="1767">
        <v>0</v>
      </c>
      <c r="AJ72" s="1767">
        <v>0</v>
      </c>
      <c r="AK72" s="1767">
        <v>0</v>
      </c>
      <c r="AL72" s="1767">
        <v>0</v>
      </c>
      <c r="AM72" s="1767">
        <v>0</v>
      </c>
      <c r="AN72" s="1767">
        <v>0</v>
      </c>
      <c r="AO72" s="1767">
        <v>0</v>
      </c>
      <c r="AP72" s="1767">
        <v>0</v>
      </c>
      <c r="AQ72" s="1767">
        <v>0</v>
      </c>
      <c r="AR72" s="1767">
        <v>0</v>
      </c>
      <c r="AS72" s="1767">
        <v>0</v>
      </c>
      <c r="AT72" s="1767">
        <v>0</v>
      </c>
      <c r="AU72" s="1767">
        <v>0</v>
      </c>
      <c r="AV72" s="1767">
        <v>0</v>
      </c>
      <c r="AW72" s="1767">
        <v>0</v>
      </c>
      <c r="AX72" s="1767">
        <v>0</v>
      </c>
      <c r="AY72" s="1767">
        <v>0</v>
      </c>
      <c r="AZ72" s="1767">
        <v>0</v>
      </c>
      <c r="BA72" s="1767">
        <v>0</v>
      </c>
      <c r="BB72" s="1767">
        <v>0</v>
      </c>
      <c r="BC72" s="1767">
        <v>0</v>
      </c>
      <c r="BD72" s="1767">
        <v>0</v>
      </c>
      <c r="BE72" s="1767">
        <v>0</v>
      </c>
      <c r="BF72" s="1767">
        <v>0</v>
      </c>
      <c r="BG72" s="1767">
        <v>0</v>
      </c>
      <c r="BH72" s="1767">
        <v>0</v>
      </c>
      <c r="BI72" s="1767">
        <v>0</v>
      </c>
      <c r="BJ72" s="1767">
        <v>0</v>
      </c>
      <c r="BK72" s="1767">
        <v>0</v>
      </c>
      <c r="BL72" s="1767">
        <v>0</v>
      </c>
      <c r="BM72" s="1767">
        <v>0</v>
      </c>
      <c r="BN72" s="1767">
        <v>0</v>
      </c>
      <c r="BO72" s="1767">
        <v>0</v>
      </c>
      <c r="BP72" s="1767">
        <v>0</v>
      </c>
      <c r="BQ72" s="1767">
        <v>0</v>
      </c>
      <c r="BR72" s="1767">
        <v>0</v>
      </c>
      <c r="BS72" s="1767">
        <v>0</v>
      </c>
      <c r="BT72" s="1767">
        <v>0</v>
      </c>
      <c r="BU72" s="1767">
        <v>0</v>
      </c>
      <c r="BV72" s="1767">
        <v>0</v>
      </c>
      <c r="BW72" s="1767">
        <v>0</v>
      </c>
      <c r="BX72" s="1767">
        <v>0</v>
      </c>
      <c r="BY72" s="1767">
        <v>0</v>
      </c>
      <c r="BZ72" s="1767">
        <v>0</v>
      </c>
      <c r="CA72" s="1767">
        <v>0</v>
      </c>
      <c r="CB72" s="1767">
        <v>0</v>
      </c>
      <c r="CC72" s="1767">
        <v>0</v>
      </c>
      <c r="CD72" s="1767">
        <v>0</v>
      </c>
      <c r="CE72" s="1767">
        <v>0</v>
      </c>
      <c r="CF72" s="1767">
        <v>0</v>
      </c>
      <c r="CG72" s="1767">
        <v>0</v>
      </c>
      <c r="CH72" s="1767">
        <v>0</v>
      </c>
      <c r="CI72" s="1767">
        <v>0</v>
      </c>
      <c r="CJ72" s="1767">
        <v>0</v>
      </c>
      <c r="CK72" s="1767">
        <v>0</v>
      </c>
      <c r="CL72" s="1767">
        <v>0</v>
      </c>
      <c r="CM72" s="1767">
        <v>0</v>
      </c>
      <c r="CN72" s="1767">
        <v>0</v>
      </c>
      <c r="CO72" s="1767">
        <v>0</v>
      </c>
      <c r="CP72" s="1767">
        <v>0</v>
      </c>
    </row>
    <row r="73" spans="1:94" ht="21" customHeight="1" thickBot="1" x14ac:dyDescent="0.25">
      <c r="A73" s="1849" t="s">
        <v>1288</v>
      </c>
      <c r="B73" s="1846" t="s">
        <v>50</v>
      </c>
      <c r="C73" s="1777" t="s">
        <v>2513</v>
      </c>
      <c r="D73" s="947"/>
      <c r="E73" s="1830" t="s">
        <v>2070</v>
      </c>
      <c r="F73" s="1225"/>
      <c r="G73" s="1742"/>
      <c r="H73" s="1742"/>
      <c r="I73" s="1742"/>
      <c r="J73" s="1742"/>
      <c r="K73" s="1742"/>
      <c r="L73" s="1742"/>
      <c r="M73" s="1742"/>
      <c r="N73" s="1742"/>
      <c r="O73" s="1742"/>
      <c r="P73" s="1742"/>
      <c r="Q73" s="1742"/>
      <c r="R73" s="1742"/>
      <c r="S73" s="1742"/>
      <c r="T73" s="1742"/>
      <c r="U73" s="1742"/>
      <c r="V73" s="1742"/>
      <c r="W73" s="1742"/>
      <c r="X73" s="1742"/>
      <c r="Y73" s="1742"/>
      <c r="Z73" s="1742"/>
      <c r="AA73" s="1742"/>
      <c r="AB73" s="1742"/>
      <c r="AC73" s="1742"/>
      <c r="AD73" s="1742"/>
      <c r="AE73" s="1742"/>
      <c r="AF73" s="1742"/>
      <c r="AG73" s="1742"/>
      <c r="AH73" s="1742"/>
      <c r="AI73" s="1742"/>
      <c r="AJ73" s="1742"/>
      <c r="AK73" s="1742"/>
      <c r="AL73" s="1742"/>
      <c r="AM73" s="1742"/>
      <c r="AN73" s="1742"/>
      <c r="AO73" s="1742"/>
      <c r="AP73" s="1742"/>
      <c r="AQ73" s="1742"/>
      <c r="AR73" s="1742"/>
      <c r="AS73" s="1742"/>
      <c r="AT73" s="1742"/>
      <c r="AU73" s="1742"/>
      <c r="AV73" s="1742"/>
      <c r="AW73" s="1742"/>
      <c r="AX73" s="1742"/>
      <c r="AY73" s="1742"/>
      <c r="AZ73" s="1742"/>
      <c r="BA73" s="1742"/>
      <c r="BB73" s="1742"/>
      <c r="BC73" s="1742"/>
      <c r="BD73" s="1742"/>
      <c r="BE73" s="1742"/>
      <c r="BF73" s="1742"/>
      <c r="BG73" s="1742"/>
      <c r="BH73" s="1742"/>
      <c r="BI73" s="1742"/>
      <c r="BJ73" s="1742"/>
      <c r="BK73" s="1742"/>
      <c r="BL73" s="1742"/>
      <c r="BM73" s="1742"/>
      <c r="BN73" s="1742"/>
      <c r="BO73" s="1742"/>
      <c r="BP73" s="1742"/>
      <c r="BQ73" s="1742"/>
      <c r="BR73" s="1742"/>
      <c r="BS73" s="1742"/>
      <c r="BT73" s="1742"/>
      <c r="BU73" s="1742"/>
      <c r="BV73" s="1742"/>
      <c r="BW73" s="1742"/>
      <c r="BX73" s="1742"/>
      <c r="BY73" s="1742"/>
      <c r="BZ73" s="1742"/>
      <c r="CA73" s="1742"/>
      <c r="CB73" s="1742"/>
      <c r="CC73" s="1742"/>
      <c r="CD73" s="1742"/>
      <c r="CE73" s="1742"/>
      <c r="CF73" s="1742"/>
      <c r="CG73" s="1742"/>
      <c r="CH73" s="1742"/>
      <c r="CI73" s="1742"/>
      <c r="CJ73" s="1742"/>
      <c r="CK73" s="1742"/>
      <c r="CL73" s="1742"/>
      <c r="CM73" s="1742"/>
      <c r="CN73" s="1742"/>
      <c r="CO73" s="1742"/>
      <c r="CP73" s="1742"/>
    </row>
    <row r="74" spans="1:94" ht="15" customHeight="1" x14ac:dyDescent="0.2">
      <c r="A74" s="1847"/>
      <c r="B74" s="1856"/>
      <c r="C74" s="661" t="s">
        <v>2096</v>
      </c>
      <c r="D74" s="936"/>
      <c r="E74" s="1831"/>
      <c r="F74" s="1225"/>
      <c r="G74" s="1767">
        <v>0</v>
      </c>
      <c r="H74" s="1767">
        <v>0</v>
      </c>
      <c r="I74" s="1767">
        <v>0</v>
      </c>
      <c r="J74" s="1767">
        <v>0</v>
      </c>
      <c r="K74" s="1767">
        <v>0</v>
      </c>
      <c r="L74" s="1767">
        <v>0</v>
      </c>
      <c r="M74" s="1767">
        <v>0</v>
      </c>
      <c r="N74" s="1767">
        <v>0</v>
      </c>
      <c r="O74" s="1767">
        <v>0</v>
      </c>
      <c r="P74" s="1767">
        <v>0</v>
      </c>
      <c r="Q74" s="1767">
        <v>0</v>
      </c>
      <c r="R74" s="1767">
        <v>0</v>
      </c>
      <c r="S74" s="1767">
        <v>0</v>
      </c>
      <c r="T74" s="1767">
        <v>0</v>
      </c>
      <c r="U74" s="1767">
        <v>0</v>
      </c>
      <c r="V74" s="1767">
        <v>0</v>
      </c>
      <c r="W74" s="1767">
        <v>0</v>
      </c>
      <c r="X74" s="1767">
        <v>0</v>
      </c>
      <c r="Y74" s="1767">
        <v>0</v>
      </c>
      <c r="Z74" s="1767">
        <v>0</v>
      </c>
      <c r="AA74" s="1767">
        <v>0</v>
      </c>
      <c r="AB74" s="1767">
        <v>0</v>
      </c>
      <c r="AC74" s="1767">
        <v>0</v>
      </c>
      <c r="AD74" s="1767">
        <v>0</v>
      </c>
      <c r="AE74" s="1767">
        <v>0</v>
      </c>
      <c r="AF74" s="1767">
        <v>0</v>
      </c>
      <c r="AG74" s="1767">
        <v>0</v>
      </c>
      <c r="AH74" s="1767">
        <v>0</v>
      </c>
      <c r="AI74" s="1767">
        <v>0</v>
      </c>
      <c r="AJ74" s="1767">
        <v>0</v>
      </c>
      <c r="AK74" s="1767">
        <v>0</v>
      </c>
      <c r="AL74" s="1767">
        <v>0</v>
      </c>
      <c r="AM74" s="1767">
        <v>0</v>
      </c>
      <c r="AN74" s="1767">
        <v>0</v>
      </c>
      <c r="AO74" s="1767">
        <v>0</v>
      </c>
      <c r="AP74" s="1767">
        <v>0</v>
      </c>
      <c r="AQ74" s="1767">
        <v>0</v>
      </c>
      <c r="AR74" s="1767">
        <v>0</v>
      </c>
      <c r="AS74" s="1767">
        <v>0</v>
      </c>
      <c r="AT74" s="1767">
        <v>0</v>
      </c>
      <c r="AU74" s="1767">
        <v>0</v>
      </c>
      <c r="AV74" s="1767">
        <v>0</v>
      </c>
      <c r="AW74" s="1767">
        <v>0</v>
      </c>
      <c r="AX74" s="1767">
        <v>0</v>
      </c>
      <c r="AY74" s="1767">
        <v>0</v>
      </c>
      <c r="AZ74" s="1767">
        <v>0</v>
      </c>
      <c r="BA74" s="1767">
        <v>0</v>
      </c>
      <c r="BB74" s="1767">
        <v>0</v>
      </c>
      <c r="BC74" s="1767">
        <v>0</v>
      </c>
      <c r="BD74" s="1767">
        <v>0</v>
      </c>
      <c r="BE74" s="1767">
        <v>0</v>
      </c>
      <c r="BF74" s="1767">
        <v>0</v>
      </c>
      <c r="BG74" s="1767">
        <v>0</v>
      </c>
      <c r="BH74" s="1767">
        <v>0</v>
      </c>
      <c r="BI74" s="1767">
        <v>0</v>
      </c>
      <c r="BJ74" s="1767">
        <v>0</v>
      </c>
      <c r="BK74" s="1767">
        <v>0</v>
      </c>
      <c r="BL74" s="1767">
        <v>0</v>
      </c>
      <c r="BM74" s="1767">
        <v>0</v>
      </c>
      <c r="BN74" s="1767">
        <v>0</v>
      </c>
      <c r="BO74" s="1767">
        <v>0</v>
      </c>
      <c r="BP74" s="1767">
        <v>0</v>
      </c>
      <c r="BQ74" s="1767">
        <v>0</v>
      </c>
      <c r="BR74" s="1767">
        <v>0</v>
      </c>
      <c r="BS74" s="1767">
        <v>0</v>
      </c>
      <c r="BT74" s="1767">
        <v>0</v>
      </c>
      <c r="BU74" s="1767">
        <v>0</v>
      </c>
      <c r="BV74" s="1767">
        <v>0</v>
      </c>
      <c r="BW74" s="1767">
        <v>0</v>
      </c>
      <c r="BX74" s="1767">
        <v>0</v>
      </c>
      <c r="BY74" s="1767">
        <v>0</v>
      </c>
      <c r="BZ74" s="1767">
        <v>0</v>
      </c>
      <c r="CA74" s="1767">
        <v>0</v>
      </c>
      <c r="CB74" s="1767">
        <v>0</v>
      </c>
      <c r="CC74" s="1767">
        <v>0</v>
      </c>
      <c r="CD74" s="1767">
        <v>0</v>
      </c>
      <c r="CE74" s="1767">
        <v>0</v>
      </c>
      <c r="CF74" s="1767">
        <v>0</v>
      </c>
      <c r="CG74" s="1767">
        <v>0</v>
      </c>
      <c r="CH74" s="1767">
        <v>0</v>
      </c>
      <c r="CI74" s="1767">
        <v>0</v>
      </c>
      <c r="CJ74" s="1767">
        <v>0</v>
      </c>
      <c r="CK74" s="1767">
        <v>0</v>
      </c>
      <c r="CL74" s="1767">
        <v>0</v>
      </c>
      <c r="CM74" s="1767">
        <v>0</v>
      </c>
      <c r="CN74" s="1767">
        <v>0</v>
      </c>
      <c r="CO74" s="1767">
        <v>0</v>
      </c>
      <c r="CP74" s="1767">
        <v>0</v>
      </c>
    </row>
    <row r="75" spans="1:94" ht="15" customHeight="1" x14ac:dyDescent="0.2">
      <c r="A75" s="1847"/>
      <c r="B75" s="1856"/>
      <c r="C75" s="800" t="s">
        <v>538</v>
      </c>
      <c r="D75" s="936"/>
      <c r="E75" s="1831"/>
      <c r="F75" s="1225"/>
      <c r="G75" s="1767">
        <v>0</v>
      </c>
      <c r="H75" s="1767">
        <v>0</v>
      </c>
      <c r="I75" s="1767">
        <v>0</v>
      </c>
      <c r="J75" s="1767">
        <v>0</v>
      </c>
      <c r="K75" s="1767">
        <v>0</v>
      </c>
      <c r="L75" s="1767">
        <v>0</v>
      </c>
      <c r="M75" s="1767">
        <v>0</v>
      </c>
      <c r="N75" s="1767">
        <v>0</v>
      </c>
      <c r="O75" s="1767">
        <v>0</v>
      </c>
      <c r="P75" s="1767">
        <v>0</v>
      </c>
      <c r="Q75" s="1767">
        <v>0</v>
      </c>
      <c r="R75" s="1767">
        <v>0</v>
      </c>
      <c r="S75" s="1767">
        <v>0</v>
      </c>
      <c r="T75" s="1767">
        <v>0</v>
      </c>
      <c r="U75" s="1767">
        <v>0</v>
      </c>
      <c r="V75" s="1767">
        <v>0</v>
      </c>
      <c r="W75" s="1767">
        <v>0</v>
      </c>
      <c r="X75" s="1767">
        <v>0</v>
      </c>
      <c r="Y75" s="1767">
        <v>0</v>
      </c>
      <c r="Z75" s="1767">
        <v>0</v>
      </c>
      <c r="AA75" s="1767">
        <v>0</v>
      </c>
      <c r="AB75" s="1767">
        <v>0</v>
      </c>
      <c r="AC75" s="1767">
        <v>0</v>
      </c>
      <c r="AD75" s="1767">
        <v>0</v>
      </c>
      <c r="AE75" s="1767">
        <v>0</v>
      </c>
      <c r="AF75" s="1767">
        <v>0</v>
      </c>
      <c r="AG75" s="1767">
        <v>0</v>
      </c>
      <c r="AH75" s="1767">
        <v>0</v>
      </c>
      <c r="AI75" s="1767">
        <v>0</v>
      </c>
      <c r="AJ75" s="1767">
        <v>0</v>
      </c>
      <c r="AK75" s="1767">
        <v>0</v>
      </c>
      <c r="AL75" s="1767">
        <v>0</v>
      </c>
      <c r="AM75" s="1767">
        <v>0</v>
      </c>
      <c r="AN75" s="1767">
        <v>0</v>
      </c>
      <c r="AO75" s="1767">
        <v>0</v>
      </c>
      <c r="AP75" s="1767">
        <v>0</v>
      </c>
      <c r="AQ75" s="1767">
        <v>0</v>
      </c>
      <c r="AR75" s="1767">
        <v>0</v>
      </c>
      <c r="AS75" s="1767">
        <v>0</v>
      </c>
      <c r="AT75" s="1767">
        <v>0</v>
      </c>
      <c r="AU75" s="1767">
        <v>0</v>
      </c>
      <c r="AV75" s="1767">
        <v>0</v>
      </c>
      <c r="AW75" s="1767">
        <v>0</v>
      </c>
      <c r="AX75" s="1767">
        <v>0</v>
      </c>
      <c r="AY75" s="1767">
        <v>0</v>
      </c>
      <c r="AZ75" s="1767">
        <v>0</v>
      </c>
      <c r="BA75" s="1767">
        <v>0</v>
      </c>
      <c r="BB75" s="1767">
        <v>0</v>
      </c>
      <c r="BC75" s="1767">
        <v>0</v>
      </c>
      <c r="BD75" s="1767">
        <v>0</v>
      </c>
      <c r="BE75" s="1767">
        <v>0</v>
      </c>
      <c r="BF75" s="1767">
        <v>0</v>
      </c>
      <c r="BG75" s="1767">
        <v>0</v>
      </c>
      <c r="BH75" s="1767">
        <v>0</v>
      </c>
      <c r="BI75" s="1767">
        <v>0</v>
      </c>
      <c r="BJ75" s="1767">
        <v>0</v>
      </c>
      <c r="BK75" s="1767">
        <v>0</v>
      </c>
      <c r="BL75" s="1767">
        <v>0</v>
      </c>
      <c r="BM75" s="1767">
        <v>0</v>
      </c>
      <c r="BN75" s="1767">
        <v>0</v>
      </c>
      <c r="BO75" s="1767">
        <v>0</v>
      </c>
      <c r="BP75" s="1767">
        <v>0</v>
      </c>
      <c r="BQ75" s="1767">
        <v>0</v>
      </c>
      <c r="BR75" s="1767">
        <v>0</v>
      </c>
      <c r="BS75" s="1767">
        <v>0</v>
      </c>
      <c r="BT75" s="1767">
        <v>0</v>
      </c>
      <c r="BU75" s="1767">
        <v>0</v>
      </c>
      <c r="BV75" s="1767">
        <v>0</v>
      </c>
      <c r="BW75" s="1767">
        <v>0</v>
      </c>
      <c r="BX75" s="1767">
        <v>0</v>
      </c>
      <c r="BY75" s="1767">
        <v>0</v>
      </c>
      <c r="BZ75" s="1767">
        <v>0</v>
      </c>
      <c r="CA75" s="1767">
        <v>0</v>
      </c>
      <c r="CB75" s="1767">
        <v>0</v>
      </c>
      <c r="CC75" s="1767">
        <v>0</v>
      </c>
      <c r="CD75" s="1767">
        <v>0</v>
      </c>
      <c r="CE75" s="1767">
        <v>0</v>
      </c>
      <c r="CF75" s="1767">
        <v>0</v>
      </c>
      <c r="CG75" s="1767">
        <v>0</v>
      </c>
      <c r="CH75" s="1767">
        <v>0</v>
      </c>
      <c r="CI75" s="1767">
        <v>0</v>
      </c>
      <c r="CJ75" s="1767">
        <v>0</v>
      </c>
      <c r="CK75" s="1767">
        <v>0</v>
      </c>
      <c r="CL75" s="1767">
        <v>0</v>
      </c>
      <c r="CM75" s="1767">
        <v>0</v>
      </c>
      <c r="CN75" s="1767">
        <v>0</v>
      </c>
      <c r="CO75" s="1767">
        <v>0</v>
      </c>
      <c r="CP75" s="1767">
        <v>0</v>
      </c>
    </row>
    <row r="76" spans="1:94" ht="15" customHeight="1" thickBot="1" x14ac:dyDescent="0.25">
      <c r="A76" s="1848"/>
      <c r="B76" s="1857"/>
      <c r="C76" s="654" t="s">
        <v>539</v>
      </c>
      <c r="D76" s="936"/>
      <c r="E76" s="1832"/>
      <c r="F76" s="1225"/>
      <c r="G76" s="1767">
        <v>0</v>
      </c>
      <c r="H76" s="1767">
        <v>0</v>
      </c>
      <c r="I76" s="1767">
        <v>0</v>
      </c>
      <c r="J76" s="1767">
        <v>0</v>
      </c>
      <c r="K76" s="1767">
        <v>0</v>
      </c>
      <c r="L76" s="1767">
        <v>0</v>
      </c>
      <c r="M76" s="1767">
        <v>0</v>
      </c>
      <c r="N76" s="1767">
        <v>0</v>
      </c>
      <c r="O76" s="1767">
        <v>0</v>
      </c>
      <c r="P76" s="1767">
        <v>0</v>
      </c>
      <c r="Q76" s="1767">
        <v>0</v>
      </c>
      <c r="R76" s="1767">
        <v>0</v>
      </c>
      <c r="S76" s="1767">
        <v>0</v>
      </c>
      <c r="T76" s="1767">
        <v>0</v>
      </c>
      <c r="U76" s="1767">
        <v>0</v>
      </c>
      <c r="V76" s="1767">
        <v>0</v>
      </c>
      <c r="W76" s="1767">
        <v>0</v>
      </c>
      <c r="X76" s="1767">
        <v>0</v>
      </c>
      <c r="Y76" s="1767">
        <v>0</v>
      </c>
      <c r="Z76" s="1767">
        <v>0</v>
      </c>
      <c r="AA76" s="1767">
        <v>0</v>
      </c>
      <c r="AB76" s="1767">
        <v>0</v>
      </c>
      <c r="AC76" s="1767">
        <v>0</v>
      </c>
      <c r="AD76" s="1767">
        <v>0</v>
      </c>
      <c r="AE76" s="1767">
        <v>0</v>
      </c>
      <c r="AF76" s="1767">
        <v>0</v>
      </c>
      <c r="AG76" s="1767">
        <v>0</v>
      </c>
      <c r="AH76" s="1767">
        <v>0</v>
      </c>
      <c r="AI76" s="1767">
        <v>0</v>
      </c>
      <c r="AJ76" s="1767">
        <v>0</v>
      </c>
      <c r="AK76" s="1767">
        <v>0</v>
      </c>
      <c r="AL76" s="1767">
        <v>0</v>
      </c>
      <c r="AM76" s="1767">
        <v>0</v>
      </c>
      <c r="AN76" s="1767">
        <v>0</v>
      </c>
      <c r="AO76" s="1767">
        <v>0</v>
      </c>
      <c r="AP76" s="1767">
        <v>0</v>
      </c>
      <c r="AQ76" s="1767">
        <v>0</v>
      </c>
      <c r="AR76" s="1767">
        <v>0</v>
      </c>
      <c r="AS76" s="1767">
        <v>0</v>
      </c>
      <c r="AT76" s="1767">
        <v>0</v>
      </c>
      <c r="AU76" s="1767">
        <v>0</v>
      </c>
      <c r="AV76" s="1767">
        <v>0</v>
      </c>
      <c r="AW76" s="1767">
        <v>0</v>
      </c>
      <c r="AX76" s="1767">
        <v>0</v>
      </c>
      <c r="AY76" s="1767">
        <v>0</v>
      </c>
      <c r="AZ76" s="1767">
        <v>0</v>
      </c>
      <c r="BA76" s="1767">
        <v>0</v>
      </c>
      <c r="BB76" s="1767">
        <v>0</v>
      </c>
      <c r="BC76" s="1767">
        <v>0</v>
      </c>
      <c r="BD76" s="1767">
        <v>0</v>
      </c>
      <c r="BE76" s="1767">
        <v>0</v>
      </c>
      <c r="BF76" s="1767">
        <v>0</v>
      </c>
      <c r="BG76" s="1767">
        <v>0</v>
      </c>
      <c r="BH76" s="1767">
        <v>0</v>
      </c>
      <c r="BI76" s="1767">
        <v>0</v>
      </c>
      <c r="BJ76" s="1767">
        <v>0</v>
      </c>
      <c r="BK76" s="1767">
        <v>0</v>
      </c>
      <c r="BL76" s="1767">
        <v>0</v>
      </c>
      <c r="BM76" s="1767">
        <v>0</v>
      </c>
      <c r="BN76" s="1767">
        <v>0</v>
      </c>
      <c r="BO76" s="1767">
        <v>0</v>
      </c>
      <c r="BP76" s="1767">
        <v>0</v>
      </c>
      <c r="BQ76" s="1767">
        <v>0</v>
      </c>
      <c r="BR76" s="1767">
        <v>0</v>
      </c>
      <c r="BS76" s="1767">
        <v>0</v>
      </c>
      <c r="BT76" s="1767">
        <v>0</v>
      </c>
      <c r="BU76" s="1767">
        <v>0</v>
      </c>
      <c r="BV76" s="1767">
        <v>0</v>
      </c>
      <c r="BW76" s="1767">
        <v>0</v>
      </c>
      <c r="BX76" s="1767">
        <v>0</v>
      </c>
      <c r="BY76" s="1767">
        <v>0</v>
      </c>
      <c r="BZ76" s="1767">
        <v>0</v>
      </c>
      <c r="CA76" s="1767">
        <v>0</v>
      </c>
      <c r="CB76" s="1767">
        <v>0</v>
      </c>
      <c r="CC76" s="1767">
        <v>0</v>
      </c>
      <c r="CD76" s="1767">
        <v>0</v>
      </c>
      <c r="CE76" s="1767">
        <v>0</v>
      </c>
      <c r="CF76" s="1767">
        <v>0</v>
      </c>
      <c r="CG76" s="1767">
        <v>0</v>
      </c>
      <c r="CH76" s="1767">
        <v>0</v>
      </c>
      <c r="CI76" s="1767">
        <v>0</v>
      </c>
      <c r="CJ76" s="1767">
        <v>0</v>
      </c>
      <c r="CK76" s="1767">
        <v>0</v>
      </c>
      <c r="CL76" s="1767">
        <v>0</v>
      </c>
      <c r="CM76" s="1767">
        <v>0</v>
      </c>
      <c r="CN76" s="1767">
        <v>0</v>
      </c>
      <c r="CO76" s="1767">
        <v>0</v>
      </c>
      <c r="CP76" s="1767">
        <v>0</v>
      </c>
    </row>
    <row r="77" spans="1:94" ht="30" customHeight="1" thickBot="1" x14ac:dyDescent="0.25">
      <c r="A77" s="1849" t="s">
        <v>1289</v>
      </c>
      <c r="B77" s="1846" t="s">
        <v>431</v>
      </c>
      <c r="C77" s="1777" t="s">
        <v>2514</v>
      </c>
      <c r="D77" s="947"/>
      <c r="E77" s="1830" t="s">
        <v>2071</v>
      </c>
      <c r="F77" s="1225"/>
      <c r="G77" s="1742"/>
      <c r="H77" s="1742"/>
      <c r="I77" s="1742"/>
      <c r="J77" s="1742"/>
      <c r="K77" s="1742"/>
      <c r="L77" s="1742"/>
      <c r="M77" s="1742"/>
      <c r="N77" s="1742"/>
      <c r="O77" s="1742"/>
      <c r="P77" s="1742"/>
      <c r="Q77" s="1742"/>
      <c r="R77" s="1742"/>
      <c r="S77" s="1742"/>
      <c r="T77" s="1742"/>
      <c r="U77" s="1742"/>
      <c r="V77" s="1742"/>
      <c r="W77" s="1742"/>
      <c r="X77" s="1742"/>
      <c r="Y77" s="1742"/>
      <c r="Z77" s="1742"/>
      <c r="AA77" s="1742"/>
      <c r="AB77" s="1742"/>
      <c r="AC77" s="1742"/>
      <c r="AD77" s="1742"/>
      <c r="AE77" s="1742"/>
      <c r="AF77" s="1742"/>
      <c r="AG77" s="1742"/>
      <c r="AH77" s="1742"/>
      <c r="AI77" s="1742"/>
      <c r="AJ77" s="1742"/>
      <c r="AK77" s="1742"/>
      <c r="AL77" s="1742"/>
      <c r="AM77" s="1742"/>
      <c r="AN77" s="1742"/>
      <c r="AO77" s="1742"/>
      <c r="AP77" s="1742"/>
      <c r="AQ77" s="1742"/>
      <c r="AR77" s="1742"/>
      <c r="AS77" s="1742"/>
      <c r="AT77" s="1742"/>
      <c r="AU77" s="1742"/>
      <c r="AV77" s="1742"/>
      <c r="AW77" s="1742"/>
      <c r="AX77" s="1742"/>
      <c r="AY77" s="1742"/>
      <c r="AZ77" s="1742"/>
      <c r="BA77" s="1742"/>
      <c r="BB77" s="1742"/>
      <c r="BC77" s="1742"/>
      <c r="BD77" s="1742"/>
      <c r="BE77" s="1742"/>
      <c r="BF77" s="1742"/>
      <c r="BG77" s="1742"/>
      <c r="BH77" s="1742"/>
      <c r="BI77" s="1742"/>
      <c r="BJ77" s="1742"/>
      <c r="BK77" s="1742"/>
      <c r="BL77" s="1742"/>
      <c r="BM77" s="1742"/>
      <c r="BN77" s="1742"/>
      <c r="BO77" s="1742"/>
      <c r="BP77" s="1742"/>
      <c r="BQ77" s="1742"/>
      <c r="BR77" s="1742"/>
      <c r="BS77" s="1742"/>
      <c r="BT77" s="1742"/>
      <c r="BU77" s="1742"/>
      <c r="BV77" s="1742"/>
      <c r="BW77" s="1742"/>
      <c r="BX77" s="1742"/>
      <c r="BY77" s="1742"/>
      <c r="BZ77" s="1742"/>
      <c r="CA77" s="1742"/>
      <c r="CB77" s="1742"/>
      <c r="CC77" s="1742"/>
      <c r="CD77" s="1742"/>
      <c r="CE77" s="1742"/>
      <c r="CF77" s="1742"/>
      <c r="CG77" s="1742"/>
      <c r="CH77" s="1742"/>
      <c r="CI77" s="1742"/>
      <c r="CJ77" s="1742"/>
      <c r="CK77" s="1742"/>
      <c r="CL77" s="1742"/>
      <c r="CM77" s="1742"/>
      <c r="CN77" s="1742"/>
      <c r="CO77" s="1742"/>
      <c r="CP77" s="1742"/>
    </row>
    <row r="78" spans="1:94" ht="15" customHeight="1" x14ac:dyDescent="0.2">
      <c r="A78" s="1847"/>
      <c r="B78" s="1856"/>
      <c r="C78" s="652" t="s">
        <v>2097</v>
      </c>
      <c r="D78" s="936"/>
      <c r="E78" s="1831"/>
      <c r="F78" s="1225"/>
      <c r="G78" s="1767">
        <v>0</v>
      </c>
      <c r="H78" s="1767">
        <v>0</v>
      </c>
      <c r="I78" s="1767">
        <v>0</v>
      </c>
      <c r="J78" s="1767">
        <v>0</v>
      </c>
      <c r="K78" s="1767">
        <v>0</v>
      </c>
      <c r="L78" s="1767">
        <v>0</v>
      </c>
      <c r="M78" s="1767">
        <v>0</v>
      </c>
      <c r="N78" s="1767">
        <v>0</v>
      </c>
      <c r="O78" s="1767">
        <v>0</v>
      </c>
      <c r="P78" s="1767">
        <v>0</v>
      </c>
      <c r="Q78" s="1767">
        <v>0</v>
      </c>
      <c r="R78" s="1767">
        <v>0</v>
      </c>
      <c r="S78" s="1767">
        <v>0</v>
      </c>
      <c r="T78" s="1767">
        <v>0</v>
      </c>
      <c r="U78" s="1767">
        <v>0</v>
      </c>
      <c r="V78" s="1767">
        <v>0</v>
      </c>
      <c r="W78" s="1767">
        <v>0</v>
      </c>
      <c r="X78" s="1767">
        <v>0</v>
      </c>
      <c r="Y78" s="1767">
        <v>0</v>
      </c>
      <c r="Z78" s="1767">
        <v>0</v>
      </c>
      <c r="AA78" s="1767">
        <v>0</v>
      </c>
      <c r="AB78" s="1767">
        <v>0</v>
      </c>
      <c r="AC78" s="1767">
        <v>0</v>
      </c>
      <c r="AD78" s="1767">
        <v>0</v>
      </c>
      <c r="AE78" s="1767">
        <v>0</v>
      </c>
      <c r="AF78" s="1767">
        <v>0</v>
      </c>
      <c r="AG78" s="1767">
        <v>0</v>
      </c>
      <c r="AH78" s="1767">
        <v>0</v>
      </c>
      <c r="AI78" s="1767">
        <v>0</v>
      </c>
      <c r="AJ78" s="1767">
        <v>0</v>
      </c>
      <c r="AK78" s="1767">
        <v>0</v>
      </c>
      <c r="AL78" s="1767">
        <v>0</v>
      </c>
      <c r="AM78" s="1767">
        <v>0</v>
      </c>
      <c r="AN78" s="1767">
        <v>0</v>
      </c>
      <c r="AO78" s="1767">
        <v>0</v>
      </c>
      <c r="AP78" s="1767">
        <v>0</v>
      </c>
      <c r="AQ78" s="1767">
        <v>0</v>
      </c>
      <c r="AR78" s="1767">
        <v>0</v>
      </c>
      <c r="AS78" s="1767">
        <v>0</v>
      </c>
      <c r="AT78" s="1767">
        <v>0</v>
      </c>
      <c r="AU78" s="1767">
        <v>0</v>
      </c>
      <c r="AV78" s="1767">
        <v>0</v>
      </c>
      <c r="AW78" s="1767">
        <v>0</v>
      </c>
      <c r="AX78" s="1767">
        <v>0</v>
      </c>
      <c r="AY78" s="1767">
        <v>0</v>
      </c>
      <c r="AZ78" s="1767">
        <v>0</v>
      </c>
      <c r="BA78" s="1767">
        <v>0</v>
      </c>
      <c r="BB78" s="1767">
        <v>0</v>
      </c>
      <c r="BC78" s="1767">
        <v>0</v>
      </c>
      <c r="BD78" s="1767">
        <v>0</v>
      </c>
      <c r="BE78" s="1767">
        <v>0</v>
      </c>
      <c r="BF78" s="1767">
        <v>0</v>
      </c>
      <c r="BG78" s="1767">
        <v>0</v>
      </c>
      <c r="BH78" s="1767">
        <v>0</v>
      </c>
      <c r="BI78" s="1767">
        <v>0</v>
      </c>
      <c r="BJ78" s="1767">
        <v>0</v>
      </c>
      <c r="BK78" s="1767">
        <v>0</v>
      </c>
      <c r="BL78" s="1767">
        <v>0</v>
      </c>
      <c r="BM78" s="1767">
        <v>0</v>
      </c>
      <c r="BN78" s="1767">
        <v>0</v>
      </c>
      <c r="BO78" s="1767">
        <v>0</v>
      </c>
      <c r="BP78" s="1767">
        <v>0</v>
      </c>
      <c r="BQ78" s="1767">
        <v>0</v>
      </c>
      <c r="BR78" s="1767">
        <v>0</v>
      </c>
      <c r="BS78" s="1767">
        <v>0</v>
      </c>
      <c r="BT78" s="1767">
        <v>0</v>
      </c>
      <c r="BU78" s="1767">
        <v>0</v>
      </c>
      <c r="BV78" s="1767">
        <v>0</v>
      </c>
      <c r="BW78" s="1767">
        <v>0</v>
      </c>
      <c r="BX78" s="1767">
        <v>0</v>
      </c>
      <c r="BY78" s="1767">
        <v>0</v>
      </c>
      <c r="BZ78" s="1767">
        <v>0</v>
      </c>
      <c r="CA78" s="1767">
        <v>0</v>
      </c>
      <c r="CB78" s="1767">
        <v>0</v>
      </c>
      <c r="CC78" s="1767">
        <v>0</v>
      </c>
      <c r="CD78" s="1767">
        <v>0</v>
      </c>
      <c r="CE78" s="1767">
        <v>0</v>
      </c>
      <c r="CF78" s="1767">
        <v>0</v>
      </c>
      <c r="CG78" s="1767">
        <v>0</v>
      </c>
      <c r="CH78" s="1767">
        <v>0</v>
      </c>
      <c r="CI78" s="1767">
        <v>0</v>
      </c>
      <c r="CJ78" s="1767">
        <v>0</v>
      </c>
      <c r="CK78" s="1767">
        <v>0</v>
      </c>
      <c r="CL78" s="1767">
        <v>0</v>
      </c>
      <c r="CM78" s="1767">
        <v>0</v>
      </c>
      <c r="CN78" s="1767">
        <v>0</v>
      </c>
      <c r="CO78" s="1767">
        <v>0</v>
      </c>
      <c r="CP78" s="1767">
        <v>0</v>
      </c>
    </row>
    <row r="79" spans="1:94" ht="15" customHeight="1" x14ac:dyDescent="0.2">
      <c r="A79" s="1847"/>
      <c r="B79" s="1856"/>
      <c r="C79" s="653" t="s">
        <v>531</v>
      </c>
      <c r="D79" s="936"/>
      <c r="E79" s="1831"/>
      <c r="F79" s="1225"/>
      <c r="G79" s="1767">
        <v>0</v>
      </c>
      <c r="H79" s="1767">
        <v>0</v>
      </c>
      <c r="I79" s="1767">
        <v>0</v>
      </c>
      <c r="J79" s="1767">
        <v>0</v>
      </c>
      <c r="K79" s="1767">
        <v>0</v>
      </c>
      <c r="L79" s="1767">
        <v>0</v>
      </c>
      <c r="M79" s="1767">
        <v>0</v>
      </c>
      <c r="N79" s="1767">
        <v>0</v>
      </c>
      <c r="O79" s="1767">
        <v>0</v>
      </c>
      <c r="P79" s="1767">
        <v>0</v>
      </c>
      <c r="Q79" s="1767">
        <v>0</v>
      </c>
      <c r="R79" s="1767">
        <v>0</v>
      </c>
      <c r="S79" s="1767">
        <v>0</v>
      </c>
      <c r="T79" s="1767">
        <v>0</v>
      </c>
      <c r="U79" s="1767">
        <v>0</v>
      </c>
      <c r="V79" s="1767">
        <v>0</v>
      </c>
      <c r="W79" s="1767">
        <v>0</v>
      </c>
      <c r="X79" s="1767">
        <v>0</v>
      </c>
      <c r="Y79" s="1767">
        <v>0</v>
      </c>
      <c r="Z79" s="1767">
        <v>0</v>
      </c>
      <c r="AA79" s="1767">
        <v>0</v>
      </c>
      <c r="AB79" s="1767">
        <v>0</v>
      </c>
      <c r="AC79" s="1767">
        <v>0</v>
      </c>
      <c r="AD79" s="1767">
        <v>0</v>
      </c>
      <c r="AE79" s="1767">
        <v>0</v>
      </c>
      <c r="AF79" s="1767">
        <v>0</v>
      </c>
      <c r="AG79" s="1767">
        <v>0</v>
      </c>
      <c r="AH79" s="1767">
        <v>0</v>
      </c>
      <c r="AI79" s="1767">
        <v>0</v>
      </c>
      <c r="AJ79" s="1767">
        <v>0</v>
      </c>
      <c r="AK79" s="1767">
        <v>0</v>
      </c>
      <c r="AL79" s="1767">
        <v>0</v>
      </c>
      <c r="AM79" s="1767">
        <v>0</v>
      </c>
      <c r="AN79" s="1767">
        <v>0</v>
      </c>
      <c r="AO79" s="1767">
        <v>0</v>
      </c>
      <c r="AP79" s="1767">
        <v>0</v>
      </c>
      <c r="AQ79" s="1767">
        <v>0</v>
      </c>
      <c r="AR79" s="1767">
        <v>0</v>
      </c>
      <c r="AS79" s="1767">
        <v>0</v>
      </c>
      <c r="AT79" s="1767">
        <v>0</v>
      </c>
      <c r="AU79" s="1767">
        <v>0</v>
      </c>
      <c r="AV79" s="1767">
        <v>0</v>
      </c>
      <c r="AW79" s="1767">
        <v>0</v>
      </c>
      <c r="AX79" s="1767">
        <v>0</v>
      </c>
      <c r="AY79" s="1767">
        <v>0</v>
      </c>
      <c r="AZ79" s="1767">
        <v>0</v>
      </c>
      <c r="BA79" s="1767">
        <v>0</v>
      </c>
      <c r="BB79" s="1767">
        <v>0</v>
      </c>
      <c r="BC79" s="1767">
        <v>0</v>
      </c>
      <c r="BD79" s="1767">
        <v>0</v>
      </c>
      <c r="BE79" s="1767">
        <v>0</v>
      </c>
      <c r="BF79" s="1767">
        <v>0</v>
      </c>
      <c r="BG79" s="1767">
        <v>0</v>
      </c>
      <c r="BH79" s="1767">
        <v>0</v>
      </c>
      <c r="BI79" s="1767">
        <v>0</v>
      </c>
      <c r="BJ79" s="1767">
        <v>0</v>
      </c>
      <c r="BK79" s="1767">
        <v>0</v>
      </c>
      <c r="BL79" s="1767">
        <v>0</v>
      </c>
      <c r="BM79" s="1767">
        <v>0</v>
      </c>
      <c r="BN79" s="1767">
        <v>0</v>
      </c>
      <c r="BO79" s="1767">
        <v>0</v>
      </c>
      <c r="BP79" s="1767">
        <v>0</v>
      </c>
      <c r="BQ79" s="1767">
        <v>0</v>
      </c>
      <c r="BR79" s="1767">
        <v>0</v>
      </c>
      <c r="BS79" s="1767">
        <v>0</v>
      </c>
      <c r="BT79" s="1767">
        <v>0</v>
      </c>
      <c r="BU79" s="1767">
        <v>0</v>
      </c>
      <c r="BV79" s="1767">
        <v>0</v>
      </c>
      <c r="BW79" s="1767">
        <v>0</v>
      </c>
      <c r="BX79" s="1767">
        <v>0</v>
      </c>
      <c r="BY79" s="1767">
        <v>0</v>
      </c>
      <c r="BZ79" s="1767">
        <v>0</v>
      </c>
      <c r="CA79" s="1767">
        <v>0</v>
      </c>
      <c r="CB79" s="1767">
        <v>0</v>
      </c>
      <c r="CC79" s="1767">
        <v>0</v>
      </c>
      <c r="CD79" s="1767">
        <v>0</v>
      </c>
      <c r="CE79" s="1767">
        <v>0</v>
      </c>
      <c r="CF79" s="1767">
        <v>0</v>
      </c>
      <c r="CG79" s="1767">
        <v>0</v>
      </c>
      <c r="CH79" s="1767">
        <v>0</v>
      </c>
      <c r="CI79" s="1767">
        <v>0</v>
      </c>
      <c r="CJ79" s="1767">
        <v>0</v>
      </c>
      <c r="CK79" s="1767">
        <v>0</v>
      </c>
      <c r="CL79" s="1767">
        <v>0</v>
      </c>
      <c r="CM79" s="1767">
        <v>0</v>
      </c>
      <c r="CN79" s="1767">
        <v>0</v>
      </c>
      <c r="CO79" s="1767">
        <v>0</v>
      </c>
      <c r="CP79" s="1767">
        <v>0</v>
      </c>
    </row>
    <row r="80" spans="1:94" ht="15" customHeight="1" x14ac:dyDescent="0.2">
      <c r="A80" s="1847"/>
      <c r="B80" s="1856"/>
      <c r="C80" s="653" t="s">
        <v>2047</v>
      </c>
      <c r="D80" s="936"/>
      <c r="E80" s="1831"/>
      <c r="F80" s="1225"/>
      <c r="G80" s="1767">
        <v>0</v>
      </c>
      <c r="H80" s="1767">
        <v>0</v>
      </c>
      <c r="I80" s="1767">
        <v>0</v>
      </c>
      <c r="J80" s="1767">
        <v>0</v>
      </c>
      <c r="K80" s="1767">
        <v>0</v>
      </c>
      <c r="L80" s="1767">
        <v>0</v>
      </c>
      <c r="M80" s="1767">
        <v>0</v>
      </c>
      <c r="N80" s="1767">
        <v>0</v>
      </c>
      <c r="O80" s="1767">
        <v>0</v>
      </c>
      <c r="P80" s="1767">
        <v>0</v>
      </c>
      <c r="Q80" s="1767">
        <v>0</v>
      </c>
      <c r="R80" s="1767">
        <v>0</v>
      </c>
      <c r="S80" s="1767">
        <v>0</v>
      </c>
      <c r="T80" s="1767">
        <v>0</v>
      </c>
      <c r="U80" s="1767">
        <v>0</v>
      </c>
      <c r="V80" s="1767">
        <v>0</v>
      </c>
      <c r="W80" s="1767">
        <v>0</v>
      </c>
      <c r="X80" s="1767">
        <v>0</v>
      </c>
      <c r="Y80" s="1767">
        <v>0</v>
      </c>
      <c r="Z80" s="1767">
        <v>0</v>
      </c>
      <c r="AA80" s="1767">
        <v>0</v>
      </c>
      <c r="AB80" s="1767">
        <v>0</v>
      </c>
      <c r="AC80" s="1767">
        <v>0</v>
      </c>
      <c r="AD80" s="1767">
        <v>0</v>
      </c>
      <c r="AE80" s="1767">
        <v>0</v>
      </c>
      <c r="AF80" s="1767">
        <v>0</v>
      </c>
      <c r="AG80" s="1767">
        <v>0</v>
      </c>
      <c r="AH80" s="1767">
        <v>0</v>
      </c>
      <c r="AI80" s="1767">
        <v>0</v>
      </c>
      <c r="AJ80" s="1767">
        <v>0</v>
      </c>
      <c r="AK80" s="1767">
        <v>0</v>
      </c>
      <c r="AL80" s="1767">
        <v>0</v>
      </c>
      <c r="AM80" s="1767">
        <v>0</v>
      </c>
      <c r="AN80" s="1767">
        <v>0</v>
      </c>
      <c r="AO80" s="1767">
        <v>0</v>
      </c>
      <c r="AP80" s="1767">
        <v>0</v>
      </c>
      <c r="AQ80" s="1767">
        <v>0</v>
      </c>
      <c r="AR80" s="1767">
        <v>0</v>
      </c>
      <c r="AS80" s="1767">
        <v>0</v>
      </c>
      <c r="AT80" s="1767">
        <v>0</v>
      </c>
      <c r="AU80" s="1767">
        <v>0</v>
      </c>
      <c r="AV80" s="1767">
        <v>0</v>
      </c>
      <c r="AW80" s="1767">
        <v>0</v>
      </c>
      <c r="AX80" s="1767">
        <v>0</v>
      </c>
      <c r="AY80" s="1767">
        <v>0</v>
      </c>
      <c r="AZ80" s="1767">
        <v>0</v>
      </c>
      <c r="BA80" s="1767">
        <v>0</v>
      </c>
      <c r="BB80" s="1767">
        <v>0</v>
      </c>
      <c r="BC80" s="1767">
        <v>0</v>
      </c>
      <c r="BD80" s="1767">
        <v>0</v>
      </c>
      <c r="BE80" s="1767">
        <v>0</v>
      </c>
      <c r="BF80" s="1767">
        <v>0</v>
      </c>
      <c r="BG80" s="1767">
        <v>0</v>
      </c>
      <c r="BH80" s="1767">
        <v>0</v>
      </c>
      <c r="BI80" s="1767">
        <v>0</v>
      </c>
      <c r="BJ80" s="1767">
        <v>0</v>
      </c>
      <c r="BK80" s="1767">
        <v>0</v>
      </c>
      <c r="BL80" s="1767">
        <v>0</v>
      </c>
      <c r="BM80" s="1767">
        <v>0</v>
      </c>
      <c r="BN80" s="1767">
        <v>0</v>
      </c>
      <c r="BO80" s="1767">
        <v>0</v>
      </c>
      <c r="BP80" s="1767">
        <v>0</v>
      </c>
      <c r="BQ80" s="1767">
        <v>0</v>
      </c>
      <c r="BR80" s="1767">
        <v>0</v>
      </c>
      <c r="BS80" s="1767">
        <v>0</v>
      </c>
      <c r="BT80" s="1767">
        <v>0</v>
      </c>
      <c r="BU80" s="1767">
        <v>0</v>
      </c>
      <c r="BV80" s="1767">
        <v>0</v>
      </c>
      <c r="BW80" s="1767">
        <v>0</v>
      </c>
      <c r="BX80" s="1767">
        <v>0</v>
      </c>
      <c r="BY80" s="1767">
        <v>0</v>
      </c>
      <c r="BZ80" s="1767">
        <v>0</v>
      </c>
      <c r="CA80" s="1767">
        <v>0</v>
      </c>
      <c r="CB80" s="1767">
        <v>0</v>
      </c>
      <c r="CC80" s="1767">
        <v>0</v>
      </c>
      <c r="CD80" s="1767">
        <v>0</v>
      </c>
      <c r="CE80" s="1767">
        <v>0</v>
      </c>
      <c r="CF80" s="1767">
        <v>0</v>
      </c>
      <c r="CG80" s="1767">
        <v>0</v>
      </c>
      <c r="CH80" s="1767">
        <v>0</v>
      </c>
      <c r="CI80" s="1767">
        <v>0</v>
      </c>
      <c r="CJ80" s="1767">
        <v>0</v>
      </c>
      <c r="CK80" s="1767">
        <v>0</v>
      </c>
      <c r="CL80" s="1767">
        <v>0</v>
      </c>
      <c r="CM80" s="1767">
        <v>0</v>
      </c>
      <c r="CN80" s="1767">
        <v>0</v>
      </c>
      <c r="CO80" s="1767">
        <v>0</v>
      </c>
      <c r="CP80" s="1767">
        <v>0</v>
      </c>
    </row>
    <row r="81" spans="1:94" ht="15" customHeight="1" x14ac:dyDescent="0.2">
      <c r="A81" s="1847"/>
      <c r="B81" s="1856"/>
      <c r="C81" s="1472" t="s">
        <v>2098</v>
      </c>
      <c r="D81" s="958"/>
      <c r="E81" s="1831"/>
      <c r="F81" s="1225"/>
      <c r="G81" s="1767">
        <v>0</v>
      </c>
      <c r="H81" s="1767">
        <v>0</v>
      </c>
      <c r="I81" s="1767">
        <v>0</v>
      </c>
      <c r="J81" s="1767">
        <v>0</v>
      </c>
      <c r="K81" s="1767">
        <v>0</v>
      </c>
      <c r="L81" s="1767">
        <v>0</v>
      </c>
      <c r="M81" s="1767">
        <v>0</v>
      </c>
      <c r="N81" s="1767">
        <v>0</v>
      </c>
      <c r="O81" s="1767">
        <v>0</v>
      </c>
      <c r="P81" s="1767">
        <v>0</v>
      </c>
      <c r="Q81" s="1767">
        <v>0</v>
      </c>
      <c r="R81" s="1767">
        <v>0</v>
      </c>
      <c r="S81" s="1767">
        <v>0</v>
      </c>
      <c r="T81" s="1767">
        <v>0</v>
      </c>
      <c r="U81" s="1767">
        <v>0</v>
      </c>
      <c r="V81" s="1767">
        <v>0</v>
      </c>
      <c r="W81" s="1767">
        <v>0</v>
      </c>
      <c r="X81" s="1767">
        <v>0</v>
      </c>
      <c r="Y81" s="1767">
        <v>0</v>
      </c>
      <c r="Z81" s="1767">
        <v>0</v>
      </c>
      <c r="AA81" s="1767">
        <v>0</v>
      </c>
      <c r="AB81" s="1767">
        <v>0</v>
      </c>
      <c r="AC81" s="1767">
        <v>0</v>
      </c>
      <c r="AD81" s="1767">
        <v>0</v>
      </c>
      <c r="AE81" s="1767">
        <v>0</v>
      </c>
      <c r="AF81" s="1767">
        <v>0</v>
      </c>
      <c r="AG81" s="1767">
        <v>0</v>
      </c>
      <c r="AH81" s="1767">
        <v>0</v>
      </c>
      <c r="AI81" s="1767">
        <v>0</v>
      </c>
      <c r="AJ81" s="1767">
        <v>0</v>
      </c>
      <c r="AK81" s="1767">
        <v>0</v>
      </c>
      <c r="AL81" s="1767">
        <v>0</v>
      </c>
      <c r="AM81" s="1767">
        <v>0</v>
      </c>
      <c r="AN81" s="1767">
        <v>0</v>
      </c>
      <c r="AO81" s="1767">
        <v>0</v>
      </c>
      <c r="AP81" s="1767">
        <v>0</v>
      </c>
      <c r="AQ81" s="1767">
        <v>0</v>
      </c>
      <c r="AR81" s="1767">
        <v>0</v>
      </c>
      <c r="AS81" s="1767">
        <v>0</v>
      </c>
      <c r="AT81" s="1767">
        <v>0</v>
      </c>
      <c r="AU81" s="1767">
        <v>0</v>
      </c>
      <c r="AV81" s="1767">
        <v>0</v>
      </c>
      <c r="AW81" s="1767">
        <v>0</v>
      </c>
      <c r="AX81" s="1767">
        <v>0</v>
      </c>
      <c r="AY81" s="1767">
        <v>0</v>
      </c>
      <c r="AZ81" s="1767">
        <v>0</v>
      </c>
      <c r="BA81" s="1767">
        <v>0</v>
      </c>
      <c r="BB81" s="1767">
        <v>0</v>
      </c>
      <c r="BC81" s="1767">
        <v>0</v>
      </c>
      <c r="BD81" s="1767">
        <v>0</v>
      </c>
      <c r="BE81" s="1767">
        <v>0</v>
      </c>
      <c r="BF81" s="1767">
        <v>0</v>
      </c>
      <c r="BG81" s="1767">
        <v>0</v>
      </c>
      <c r="BH81" s="1767">
        <v>0</v>
      </c>
      <c r="BI81" s="1767">
        <v>0</v>
      </c>
      <c r="BJ81" s="1767">
        <v>0</v>
      </c>
      <c r="BK81" s="1767">
        <v>0</v>
      </c>
      <c r="BL81" s="1767">
        <v>0</v>
      </c>
      <c r="BM81" s="1767">
        <v>0</v>
      </c>
      <c r="BN81" s="1767">
        <v>0</v>
      </c>
      <c r="BO81" s="1767">
        <v>0</v>
      </c>
      <c r="BP81" s="1767">
        <v>0</v>
      </c>
      <c r="BQ81" s="1767">
        <v>0</v>
      </c>
      <c r="BR81" s="1767">
        <v>0</v>
      </c>
      <c r="BS81" s="1767">
        <v>0</v>
      </c>
      <c r="BT81" s="1767">
        <v>0</v>
      </c>
      <c r="BU81" s="1767">
        <v>0</v>
      </c>
      <c r="BV81" s="1767">
        <v>0</v>
      </c>
      <c r="BW81" s="1767">
        <v>0</v>
      </c>
      <c r="BX81" s="1767">
        <v>0</v>
      </c>
      <c r="BY81" s="1767">
        <v>0</v>
      </c>
      <c r="BZ81" s="1767">
        <v>0</v>
      </c>
      <c r="CA81" s="1767">
        <v>0</v>
      </c>
      <c r="CB81" s="1767">
        <v>0</v>
      </c>
      <c r="CC81" s="1767">
        <v>0</v>
      </c>
      <c r="CD81" s="1767">
        <v>0</v>
      </c>
      <c r="CE81" s="1767">
        <v>0</v>
      </c>
      <c r="CF81" s="1767">
        <v>0</v>
      </c>
      <c r="CG81" s="1767">
        <v>0</v>
      </c>
      <c r="CH81" s="1767">
        <v>0</v>
      </c>
      <c r="CI81" s="1767">
        <v>0</v>
      </c>
      <c r="CJ81" s="1767">
        <v>0</v>
      </c>
      <c r="CK81" s="1767">
        <v>0</v>
      </c>
      <c r="CL81" s="1767">
        <v>0</v>
      </c>
      <c r="CM81" s="1767">
        <v>0</v>
      </c>
      <c r="CN81" s="1767">
        <v>0</v>
      </c>
      <c r="CO81" s="1767">
        <v>0</v>
      </c>
      <c r="CP81" s="1767">
        <v>0</v>
      </c>
    </row>
    <row r="82" spans="1:94" ht="15" customHeight="1" x14ac:dyDescent="0.2">
      <c r="A82" s="1847"/>
      <c r="B82" s="1856"/>
      <c r="C82" s="1472" t="s">
        <v>2048</v>
      </c>
      <c r="D82" s="958"/>
      <c r="E82" s="1831"/>
      <c r="F82" s="1225"/>
      <c r="G82" s="1767">
        <v>0</v>
      </c>
      <c r="H82" s="1767">
        <v>0</v>
      </c>
      <c r="I82" s="1767">
        <v>0</v>
      </c>
      <c r="J82" s="1767">
        <v>0</v>
      </c>
      <c r="K82" s="1767">
        <v>0</v>
      </c>
      <c r="L82" s="1767">
        <v>0</v>
      </c>
      <c r="M82" s="1767">
        <v>0</v>
      </c>
      <c r="N82" s="1767">
        <v>0</v>
      </c>
      <c r="O82" s="1767">
        <v>0</v>
      </c>
      <c r="P82" s="1767">
        <v>0</v>
      </c>
      <c r="Q82" s="1767">
        <v>0</v>
      </c>
      <c r="R82" s="1767">
        <v>0</v>
      </c>
      <c r="S82" s="1767">
        <v>0</v>
      </c>
      <c r="T82" s="1767">
        <v>0</v>
      </c>
      <c r="U82" s="1767">
        <v>0</v>
      </c>
      <c r="V82" s="1767">
        <v>0</v>
      </c>
      <c r="W82" s="1767">
        <v>0</v>
      </c>
      <c r="X82" s="1767">
        <v>0</v>
      </c>
      <c r="Y82" s="1767">
        <v>0</v>
      </c>
      <c r="Z82" s="1767">
        <v>0</v>
      </c>
      <c r="AA82" s="1767">
        <v>0</v>
      </c>
      <c r="AB82" s="1767">
        <v>0</v>
      </c>
      <c r="AC82" s="1767">
        <v>0</v>
      </c>
      <c r="AD82" s="1767">
        <v>0</v>
      </c>
      <c r="AE82" s="1767">
        <v>0</v>
      </c>
      <c r="AF82" s="1767">
        <v>0</v>
      </c>
      <c r="AG82" s="1767">
        <v>0</v>
      </c>
      <c r="AH82" s="1767">
        <v>0</v>
      </c>
      <c r="AI82" s="1767">
        <v>0</v>
      </c>
      <c r="AJ82" s="1767">
        <v>0</v>
      </c>
      <c r="AK82" s="1767">
        <v>0</v>
      </c>
      <c r="AL82" s="1767">
        <v>0</v>
      </c>
      <c r="AM82" s="1767">
        <v>0</v>
      </c>
      <c r="AN82" s="1767">
        <v>0</v>
      </c>
      <c r="AO82" s="1767">
        <v>0</v>
      </c>
      <c r="AP82" s="1767">
        <v>0</v>
      </c>
      <c r="AQ82" s="1767">
        <v>0</v>
      </c>
      <c r="AR82" s="1767">
        <v>0</v>
      </c>
      <c r="AS82" s="1767">
        <v>0</v>
      </c>
      <c r="AT82" s="1767">
        <v>0</v>
      </c>
      <c r="AU82" s="1767">
        <v>0</v>
      </c>
      <c r="AV82" s="1767">
        <v>0</v>
      </c>
      <c r="AW82" s="1767">
        <v>0</v>
      </c>
      <c r="AX82" s="1767">
        <v>0</v>
      </c>
      <c r="AY82" s="1767">
        <v>0</v>
      </c>
      <c r="AZ82" s="1767">
        <v>0</v>
      </c>
      <c r="BA82" s="1767">
        <v>0</v>
      </c>
      <c r="BB82" s="1767">
        <v>0</v>
      </c>
      <c r="BC82" s="1767">
        <v>0</v>
      </c>
      <c r="BD82" s="1767">
        <v>0</v>
      </c>
      <c r="BE82" s="1767">
        <v>0</v>
      </c>
      <c r="BF82" s="1767">
        <v>0</v>
      </c>
      <c r="BG82" s="1767">
        <v>0</v>
      </c>
      <c r="BH82" s="1767">
        <v>0</v>
      </c>
      <c r="BI82" s="1767">
        <v>0</v>
      </c>
      <c r="BJ82" s="1767">
        <v>0</v>
      </c>
      <c r="BK82" s="1767">
        <v>0</v>
      </c>
      <c r="BL82" s="1767">
        <v>0</v>
      </c>
      <c r="BM82" s="1767">
        <v>0</v>
      </c>
      <c r="BN82" s="1767">
        <v>0</v>
      </c>
      <c r="BO82" s="1767">
        <v>0</v>
      </c>
      <c r="BP82" s="1767">
        <v>0</v>
      </c>
      <c r="BQ82" s="1767">
        <v>0</v>
      </c>
      <c r="BR82" s="1767">
        <v>0</v>
      </c>
      <c r="BS82" s="1767">
        <v>0</v>
      </c>
      <c r="BT82" s="1767">
        <v>0</v>
      </c>
      <c r="BU82" s="1767">
        <v>0</v>
      </c>
      <c r="BV82" s="1767">
        <v>0</v>
      </c>
      <c r="BW82" s="1767">
        <v>0</v>
      </c>
      <c r="BX82" s="1767">
        <v>0</v>
      </c>
      <c r="BY82" s="1767">
        <v>0</v>
      </c>
      <c r="BZ82" s="1767">
        <v>0</v>
      </c>
      <c r="CA82" s="1767">
        <v>0</v>
      </c>
      <c r="CB82" s="1767">
        <v>0</v>
      </c>
      <c r="CC82" s="1767">
        <v>0</v>
      </c>
      <c r="CD82" s="1767">
        <v>0</v>
      </c>
      <c r="CE82" s="1767">
        <v>0</v>
      </c>
      <c r="CF82" s="1767">
        <v>0</v>
      </c>
      <c r="CG82" s="1767">
        <v>0</v>
      </c>
      <c r="CH82" s="1767">
        <v>0</v>
      </c>
      <c r="CI82" s="1767">
        <v>0</v>
      </c>
      <c r="CJ82" s="1767">
        <v>0</v>
      </c>
      <c r="CK82" s="1767">
        <v>0</v>
      </c>
      <c r="CL82" s="1767">
        <v>0</v>
      </c>
      <c r="CM82" s="1767">
        <v>0</v>
      </c>
      <c r="CN82" s="1767">
        <v>0</v>
      </c>
      <c r="CO82" s="1767">
        <v>0</v>
      </c>
      <c r="CP82" s="1767">
        <v>0</v>
      </c>
    </row>
    <row r="83" spans="1:94" ht="15" customHeight="1" thickBot="1" x14ac:dyDescent="0.25">
      <c r="A83" s="1848"/>
      <c r="B83" s="1857"/>
      <c r="C83" s="654" t="s">
        <v>530</v>
      </c>
      <c r="D83" s="950"/>
      <c r="E83" s="1832"/>
      <c r="F83" s="1225"/>
      <c r="G83" s="1767">
        <v>0</v>
      </c>
      <c r="H83" s="1767">
        <v>0</v>
      </c>
      <c r="I83" s="1767">
        <v>0</v>
      </c>
      <c r="J83" s="1767">
        <v>0</v>
      </c>
      <c r="K83" s="1767">
        <v>0</v>
      </c>
      <c r="L83" s="1767">
        <v>0</v>
      </c>
      <c r="M83" s="1767">
        <v>0</v>
      </c>
      <c r="N83" s="1767">
        <v>0</v>
      </c>
      <c r="O83" s="1767">
        <v>0</v>
      </c>
      <c r="P83" s="1767">
        <v>0</v>
      </c>
      <c r="Q83" s="1767">
        <v>0</v>
      </c>
      <c r="R83" s="1767">
        <v>0</v>
      </c>
      <c r="S83" s="1767">
        <v>0</v>
      </c>
      <c r="T83" s="1767">
        <v>0</v>
      </c>
      <c r="U83" s="1767">
        <v>0</v>
      </c>
      <c r="V83" s="1767">
        <v>0</v>
      </c>
      <c r="W83" s="1767">
        <v>0</v>
      </c>
      <c r="X83" s="1767">
        <v>0</v>
      </c>
      <c r="Y83" s="1767">
        <v>0</v>
      </c>
      <c r="Z83" s="1767">
        <v>0</v>
      </c>
      <c r="AA83" s="1767">
        <v>0</v>
      </c>
      <c r="AB83" s="1767">
        <v>0</v>
      </c>
      <c r="AC83" s="1767">
        <v>0</v>
      </c>
      <c r="AD83" s="1767">
        <v>0</v>
      </c>
      <c r="AE83" s="1767">
        <v>0</v>
      </c>
      <c r="AF83" s="1767">
        <v>0</v>
      </c>
      <c r="AG83" s="1767">
        <v>0</v>
      </c>
      <c r="AH83" s="1767">
        <v>0</v>
      </c>
      <c r="AI83" s="1767">
        <v>0</v>
      </c>
      <c r="AJ83" s="1767">
        <v>0</v>
      </c>
      <c r="AK83" s="1767">
        <v>0</v>
      </c>
      <c r="AL83" s="1767">
        <v>0</v>
      </c>
      <c r="AM83" s="1767">
        <v>0</v>
      </c>
      <c r="AN83" s="1767">
        <v>0</v>
      </c>
      <c r="AO83" s="1767">
        <v>0</v>
      </c>
      <c r="AP83" s="1767">
        <v>0</v>
      </c>
      <c r="AQ83" s="1767">
        <v>0</v>
      </c>
      <c r="AR83" s="1767">
        <v>0</v>
      </c>
      <c r="AS83" s="1767">
        <v>0</v>
      </c>
      <c r="AT83" s="1767">
        <v>0</v>
      </c>
      <c r="AU83" s="1767">
        <v>0</v>
      </c>
      <c r="AV83" s="1767">
        <v>0</v>
      </c>
      <c r="AW83" s="1767">
        <v>0</v>
      </c>
      <c r="AX83" s="1767">
        <v>0</v>
      </c>
      <c r="AY83" s="1767">
        <v>0</v>
      </c>
      <c r="AZ83" s="1767">
        <v>0</v>
      </c>
      <c r="BA83" s="1767">
        <v>0</v>
      </c>
      <c r="BB83" s="1767">
        <v>0</v>
      </c>
      <c r="BC83" s="1767">
        <v>0</v>
      </c>
      <c r="BD83" s="1767">
        <v>0</v>
      </c>
      <c r="BE83" s="1767">
        <v>0</v>
      </c>
      <c r="BF83" s="1767">
        <v>0</v>
      </c>
      <c r="BG83" s="1767">
        <v>0</v>
      </c>
      <c r="BH83" s="1767">
        <v>0</v>
      </c>
      <c r="BI83" s="1767">
        <v>0</v>
      </c>
      <c r="BJ83" s="1767">
        <v>0</v>
      </c>
      <c r="BK83" s="1767">
        <v>0</v>
      </c>
      <c r="BL83" s="1767">
        <v>0</v>
      </c>
      <c r="BM83" s="1767">
        <v>0</v>
      </c>
      <c r="BN83" s="1767">
        <v>0</v>
      </c>
      <c r="BO83" s="1767">
        <v>0</v>
      </c>
      <c r="BP83" s="1767">
        <v>0</v>
      </c>
      <c r="BQ83" s="1767">
        <v>0</v>
      </c>
      <c r="BR83" s="1767">
        <v>0</v>
      </c>
      <c r="BS83" s="1767">
        <v>0</v>
      </c>
      <c r="BT83" s="1767">
        <v>0</v>
      </c>
      <c r="BU83" s="1767">
        <v>0</v>
      </c>
      <c r="BV83" s="1767">
        <v>0</v>
      </c>
      <c r="BW83" s="1767">
        <v>0</v>
      </c>
      <c r="BX83" s="1767">
        <v>0</v>
      </c>
      <c r="BY83" s="1767">
        <v>0</v>
      </c>
      <c r="BZ83" s="1767">
        <v>0</v>
      </c>
      <c r="CA83" s="1767">
        <v>0</v>
      </c>
      <c r="CB83" s="1767">
        <v>0</v>
      </c>
      <c r="CC83" s="1767">
        <v>0</v>
      </c>
      <c r="CD83" s="1767">
        <v>0</v>
      </c>
      <c r="CE83" s="1767">
        <v>0</v>
      </c>
      <c r="CF83" s="1767">
        <v>0</v>
      </c>
      <c r="CG83" s="1767">
        <v>0</v>
      </c>
      <c r="CH83" s="1767">
        <v>0</v>
      </c>
      <c r="CI83" s="1767">
        <v>0</v>
      </c>
      <c r="CJ83" s="1767">
        <v>0</v>
      </c>
      <c r="CK83" s="1767">
        <v>0</v>
      </c>
      <c r="CL83" s="1767">
        <v>0</v>
      </c>
      <c r="CM83" s="1767">
        <v>0</v>
      </c>
      <c r="CN83" s="1767">
        <v>0</v>
      </c>
      <c r="CO83" s="1767">
        <v>0</v>
      </c>
      <c r="CP83" s="1767">
        <v>0</v>
      </c>
    </row>
    <row r="84" spans="1:94" ht="42.75" customHeight="1" thickBot="1" x14ac:dyDescent="0.25">
      <c r="A84" s="1856" t="s">
        <v>1290</v>
      </c>
      <c r="B84" s="1856" t="s">
        <v>1</v>
      </c>
      <c r="C84" s="1775" t="s">
        <v>2099</v>
      </c>
      <c r="D84" s="946"/>
      <c r="E84" s="1831" t="s">
        <v>2072</v>
      </c>
      <c r="F84" s="1225"/>
      <c r="G84" s="1742"/>
      <c r="H84" s="1742"/>
      <c r="I84" s="1742"/>
      <c r="J84" s="1742"/>
      <c r="K84" s="1742"/>
      <c r="L84" s="1742"/>
      <c r="M84" s="1742"/>
      <c r="N84" s="1742"/>
      <c r="O84" s="1742"/>
      <c r="P84" s="1742"/>
      <c r="Q84" s="1742"/>
      <c r="R84" s="1742"/>
      <c r="S84" s="1742"/>
      <c r="T84" s="1742"/>
      <c r="U84" s="1742"/>
      <c r="V84" s="1742"/>
      <c r="W84" s="1742"/>
      <c r="X84" s="1742"/>
      <c r="Y84" s="1742"/>
      <c r="Z84" s="1742"/>
      <c r="AA84" s="1742"/>
      <c r="AB84" s="1742"/>
      <c r="AC84" s="1742"/>
      <c r="AD84" s="1742"/>
      <c r="AE84" s="1742"/>
      <c r="AF84" s="1742"/>
      <c r="AG84" s="1742"/>
      <c r="AH84" s="1742"/>
      <c r="AI84" s="1742"/>
      <c r="AJ84" s="1742"/>
      <c r="AK84" s="1742"/>
      <c r="AL84" s="1742"/>
      <c r="AM84" s="1742"/>
      <c r="AN84" s="1742"/>
      <c r="AO84" s="1742"/>
      <c r="AP84" s="1742"/>
      <c r="AQ84" s="1742"/>
      <c r="AR84" s="1742"/>
      <c r="AS84" s="1742"/>
      <c r="AT84" s="1742"/>
      <c r="AU84" s="1742"/>
      <c r="AV84" s="1742"/>
      <c r="AW84" s="1742"/>
      <c r="AX84" s="1742"/>
      <c r="AY84" s="1742"/>
      <c r="AZ84" s="1742"/>
      <c r="BA84" s="1742"/>
      <c r="BB84" s="1742"/>
      <c r="BC84" s="1742"/>
      <c r="BD84" s="1742"/>
      <c r="BE84" s="1742"/>
      <c r="BF84" s="1742"/>
      <c r="BG84" s="1742"/>
      <c r="BH84" s="1742"/>
      <c r="BI84" s="1742"/>
      <c r="BJ84" s="1742"/>
      <c r="BK84" s="1742"/>
      <c r="BL84" s="1742"/>
      <c r="BM84" s="1742"/>
      <c r="BN84" s="1742"/>
      <c r="BO84" s="1742"/>
      <c r="BP84" s="1742"/>
      <c r="BQ84" s="1742"/>
      <c r="BR84" s="1742"/>
      <c r="BS84" s="1742"/>
      <c r="BT84" s="1742"/>
      <c r="BU84" s="1742"/>
      <c r="BV84" s="1742"/>
      <c r="BW84" s="1742"/>
      <c r="BX84" s="1742"/>
      <c r="BY84" s="1742"/>
      <c r="BZ84" s="1742"/>
      <c r="CA84" s="1742"/>
      <c r="CB84" s="1742"/>
      <c r="CC84" s="1742"/>
      <c r="CD84" s="1742"/>
      <c r="CE84" s="1742"/>
      <c r="CF84" s="1742"/>
      <c r="CG84" s="1742"/>
      <c r="CH84" s="1742"/>
      <c r="CI84" s="1742"/>
      <c r="CJ84" s="1742"/>
      <c r="CK84" s="1742"/>
      <c r="CL84" s="1742"/>
      <c r="CM84" s="1742"/>
      <c r="CN84" s="1742"/>
      <c r="CO84" s="1742"/>
      <c r="CP84" s="1742"/>
    </row>
    <row r="85" spans="1:94" ht="15" customHeight="1" x14ac:dyDescent="0.2">
      <c r="A85" s="1856"/>
      <c r="B85" s="1856"/>
      <c r="C85" s="660" t="s">
        <v>577</v>
      </c>
      <c r="D85" s="936"/>
      <c r="E85" s="1831"/>
      <c r="F85" s="1225"/>
      <c r="G85" s="1767">
        <v>0</v>
      </c>
      <c r="H85" s="1767">
        <v>0</v>
      </c>
      <c r="I85" s="1767">
        <v>0</v>
      </c>
      <c r="J85" s="1767">
        <v>0</v>
      </c>
      <c r="K85" s="1767">
        <v>0</v>
      </c>
      <c r="L85" s="1767">
        <v>0</v>
      </c>
      <c r="M85" s="1767">
        <v>0</v>
      </c>
      <c r="N85" s="1767">
        <v>0</v>
      </c>
      <c r="O85" s="1767">
        <v>0</v>
      </c>
      <c r="P85" s="1767">
        <v>0</v>
      </c>
      <c r="Q85" s="1767">
        <v>0</v>
      </c>
      <c r="R85" s="1767">
        <v>0</v>
      </c>
      <c r="S85" s="1767">
        <v>0</v>
      </c>
      <c r="T85" s="1767">
        <v>0</v>
      </c>
      <c r="U85" s="1767">
        <v>0</v>
      </c>
      <c r="V85" s="1767">
        <v>0</v>
      </c>
      <c r="W85" s="1767">
        <v>0</v>
      </c>
      <c r="X85" s="1767">
        <v>0</v>
      </c>
      <c r="Y85" s="1767">
        <v>0</v>
      </c>
      <c r="Z85" s="1767">
        <v>0</v>
      </c>
      <c r="AA85" s="1767">
        <v>0</v>
      </c>
      <c r="AB85" s="1767">
        <v>0</v>
      </c>
      <c r="AC85" s="1767">
        <v>0</v>
      </c>
      <c r="AD85" s="1767">
        <v>0</v>
      </c>
      <c r="AE85" s="1767">
        <v>0</v>
      </c>
      <c r="AF85" s="1767">
        <v>0</v>
      </c>
      <c r="AG85" s="1767">
        <v>0</v>
      </c>
      <c r="AH85" s="1767">
        <v>0</v>
      </c>
      <c r="AI85" s="1767">
        <v>0</v>
      </c>
      <c r="AJ85" s="1767">
        <v>0</v>
      </c>
      <c r="AK85" s="1767">
        <v>0</v>
      </c>
      <c r="AL85" s="1767">
        <v>0</v>
      </c>
      <c r="AM85" s="1767">
        <v>0</v>
      </c>
      <c r="AN85" s="1767">
        <v>0</v>
      </c>
      <c r="AO85" s="1767">
        <v>0</v>
      </c>
      <c r="AP85" s="1767">
        <v>0</v>
      </c>
      <c r="AQ85" s="1767">
        <v>0</v>
      </c>
      <c r="AR85" s="1767">
        <v>0</v>
      </c>
      <c r="AS85" s="1767">
        <v>0</v>
      </c>
      <c r="AT85" s="1767">
        <v>0</v>
      </c>
      <c r="AU85" s="1767">
        <v>0</v>
      </c>
      <c r="AV85" s="1767">
        <v>0</v>
      </c>
      <c r="AW85" s="1767">
        <v>0</v>
      </c>
      <c r="AX85" s="1767">
        <v>0</v>
      </c>
      <c r="AY85" s="1767">
        <v>0</v>
      </c>
      <c r="AZ85" s="1767">
        <v>0</v>
      </c>
      <c r="BA85" s="1767">
        <v>0</v>
      </c>
      <c r="BB85" s="1767">
        <v>0</v>
      </c>
      <c r="BC85" s="1767">
        <v>0</v>
      </c>
      <c r="BD85" s="1767">
        <v>0</v>
      </c>
      <c r="BE85" s="1767">
        <v>0</v>
      </c>
      <c r="BF85" s="1767">
        <v>0</v>
      </c>
      <c r="BG85" s="1767">
        <v>0</v>
      </c>
      <c r="BH85" s="1767">
        <v>0</v>
      </c>
      <c r="BI85" s="1767">
        <v>0</v>
      </c>
      <c r="BJ85" s="1767">
        <v>0</v>
      </c>
      <c r="BK85" s="1767">
        <v>0</v>
      </c>
      <c r="BL85" s="1767">
        <v>0</v>
      </c>
      <c r="BM85" s="1767">
        <v>0</v>
      </c>
      <c r="BN85" s="1767">
        <v>0</v>
      </c>
      <c r="BO85" s="1767">
        <v>0</v>
      </c>
      <c r="BP85" s="1767">
        <v>0</v>
      </c>
      <c r="BQ85" s="1767">
        <v>0</v>
      </c>
      <c r="BR85" s="1767">
        <v>0</v>
      </c>
      <c r="BS85" s="1767">
        <v>0</v>
      </c>
      <c r="BT85" s="1767">
        <v>0</v>
      </c>
      <c r="BU85" s="1767">
        <v>0</v>
      </c>
      <c r="BV85" s="1767">
        <v>0</v>
      </c>
      <c r="BW85" s="1767">
        <v>0</v>
      </c>
      <c r="BX85" s="1767">
        <v>0</v>
      </c>
      <c r="BY85" s="1767">
        <v>0</v>
      </c>
      <c r="BZ85" s="1767">
        <v>0</v>
      </c>
      <c r="CA85" s="1767">
        <v>0</v>
      </c>
      <c r="CB85" s="1767">
        <v>0</v>
      </c>
      <c r="CC85" s="1767">
        <v>0</v>
      </c>
      <c r="CD85" s="1767">
        <v>0</v>
      </c>
      <c r="CE85" s="1767">
        <v>0</v>
      </c>
      <c r="CF85" s="1767">
        <v>0</v>
      </c>
      <c r="CG85" s="1767">
        <v>0</v>
      </c>
      <c r="CH85" s="1767">
        <v>0</v>
      </c>
      <c r="CI85" s="1767">
        <v>0</v>
      </c>
      <c r="CJ85" s="1767">
        <v>0</v>
      </c>
      <c r="CK85" s="1767">
        <v>0</v>
      </c>
      <c r="CL85" s="1767">
        <v>0</v>
      </c>
      <c r="CM85" s="1767">
        <v>0</v>
      </c>
      <c r="CN85" s="1767">
        <v>0</v>
      </c>
      <c r="CO85" s="1767">
        <v>0</v>
      </c>
      <c r="CP85" s="1767">
        <v>0</v>
      </c>
    </row>
    <row r="86" spans="1:94" ht="15" customHeight="1" x14ac:dyDescent="0.2">
      <c r="A86" s="1856"/>
      <c r="B86" s="1856"/>
      <c r="C86" s="653" t="s">
        <v>579</v>
      </c>
      <c r="D86" s="936"/>
      <c r="E86" s="1831"/>
      <c r="F86" s="1225"/>
      <c r="G86" s="1767">
        <v>0</v>
      </c>
      <c r="H86" s="1767">
        <v>0</v>
      </c>
      <c r="I86" s="1767">
        <v>0</v>
      </c>
      <c r="J86" s="1767">
        <v>0</v>
      </c>
      <c r="K86" s="1767">
        <v>0</v>
      </c>
      <c r="L86" s="1767">
        <v>0</v>
      </c>
      <c r="M86" s="1767">
        <v>0</v>
      </c>
      <c r="N86" s="1767">
        <v>0</v>
      </c>
      <c r="O86" s="1767">
        <v>0</v>
      </c>
      <c r="P86" s="1767">
        <v>0</v>
      </c>
      <c r="Q86" s="1767">
        <v>0</v>
      </c>
      <c r="R86" s="1767">
        <v>0</v>
      </c>
      <c r="S86" s="1767">
        <v>0</v>
      </c>
      <c r="T86" s="1767">
        <v>0</v>
      </c>
      <c r="U86" s="1767">
        <v>0</v>
      </c>
      <c r="V86" s="1767">
        <v>0</v>
      </c>
      <c r="W86" s="1767">
        <v>0</v>
      </c>
      <c r="X86" s="1767">
        <v>0</v>
      </c>
      <c r="Y86" s="1767">
        <v>0</v>
      </c>
      <c r="Z86" s="1767">
        <v>0</v>
      </c>
      <c r="AA86" s="1767">
        <v>0</v>
      </c>
      <c r="AB86" s="1767">
        <v>0</v>
      </c>
      <c r="AC86" s="1767">
        <v>0</v>
      </c>
      <c r="AD86" s="1767">
        <v>0</v>
      </c>
      <c r="AE86" s="1767">
        <v>0</v>
      </c>
      <c r="AF86" s="1767">
        <v>0</v>
      </c>
      <c r="AG86" s="1767">
        <v>0</v>
      </c>
      <c r="AH86" s="1767">
        <v>0</v>
      </c>
      <c r="AI86" s="1767">
        <v>0</v>
      </c>
      <c r="AJ86" s="1767">
        <v>0</v>
      </c>
      <c r="AK86" s="1767">
        <v>0</v>
      </c>
      <c r="AL86" s="1767">
        <v>0</v>
      </c>
      <c r="AM86" s="1767">
        <v>0</v>
      </c>
      <c r="AN86" s="1767">
        <v>0</v>
      </c>
      <c r="AO86" s="1767">
        <v>0</v>
      </c>
      <c r="AP86" s="1767">
        <v>0</v>
      </c>
      <c r="AQ86" s="1767">
        <v>0</v>
      </c>
      <c r="AR86" s="1767">
        <v>0</v>
      </c>
      <c r="AS86" s="1767">
        <v>0</v>
      </c>
      <c r="AT86" s="1767">
        <v>0</v>
      </c>
      <c r="AU86" s="1767">
        <v>0</v>
      </c>
      <c r="AV86" s="1767">
        <v>0</v>
      </c>
      <c r="AW86" s="1767">
        <v>0</v>
      </c>
      <c r="AX86" s="1767">
        <v>0</v>
      </c>
      <c r="AY86" s="1767">
        <v>0</v>
      </c>
      <c r="AZ86" s="1767">
        <v>0</v>
      </c>
      <c r="BA86" s="1767">
        <v>0</v>
      </c>
      <c r="BB86" s="1767">
        <v>0</v>
      </c>
      <c r="BC86" s="1767">
        <v>0</v>
      </c>
      <c r="BD86" s="1767">
        <v>0</v>
      </c>
      <c r="BE86" s="1767">
        <v>0</v>
      </c>
      <c r="BF86" s="1767">
        <v>0</v>
      </c>
      <c r="BG86" s="1767">
        <v>0</v>
      </c>
      <c r="BH86" s="1767">
        <v>0</v>
      </c>
      <c r="BI86" s="1767">
        <v>0</v>
      </c>
      <c r="BJ86" s="1767">
        <v>0</v>
      </c>
      <c r="BK86" s="1767">
        <v>0</v>
      </c>
      <c r="BL86" s="1767">
        <v>0</v>
      </c>
      <c r="BM86" s="1767">
        <v>0</v>
      </c>
      <c r="BN86" s="1767">
        <v>0</v>
      </c>
      <c r="BO86" s="1767">
        <v>0</v>
      </c>
      <c r="BP86" s="1767">
        <v>0</v>
      </c>
      <c r="BQ86" s="1767">
        <v>0</v>
      </c>
      <c r="BR86" s="1767">
        <v>0</v>
      </c>
      <c r="BS86" s="1767">
        <v>0</v>
      </c>
      <c r="BT86" s="1767">
        <v>0</v>
      </c>
      <c r="BU86" s="1767">
        <v>0</v>
      </c>
      <c r="BV86" s="1767">
        <v>0</v>
      </c>
      <c r="BW86" s="1767">
        <v>0</v>
      </c>
      <c r="BX86" s="1767">
        <v>0</v>
      </c>
      <c r="BY86" s="1767">
        <v>0</v>
      </c>
      <c r="BZ86" s="1767">
        <v>0</v>
      </c>
      <c r="CA86" s="1767">
        <v>0</v>
      </c>
      <c r="CB86" s="1767">
        <v>0</v>
      </c>
      <c r="CC86" s="1767">
        <v>0</v>
      </c>
      <c r="CD86" s="1767">
        <v>0</v>
      </c>
      <c r="CE86" s="1767">
        <v>0</v>
      </c>
      <c r="CF86" s="1767">
        <v>0</v>
      </c>
      <c r="CG86" s="1767">
        <v>0</v>
      </c>
      <c r="CH86" s="1767">
        <v>0</v>
      </c>
      <c r="CI86" s="1767">
        <v>0</v>
      </c>
      <c r="CJ86" s="1767">
        <v>0</v>
      </c>
      <c r="CK86" s="1767">
        <v>0</v>
      </c>
      <c r="CL86" s="1767">
        <v>0</v>
      </c>
      <c r="CM86" s="1767">
        <v>0</v>
      </c>
      <c r="CN86" s="1767">
        <v>0</v>
      </c>
      <c r="CO86" s="1767">
        <v>0</v>
      </c>
      <c r="CP86" s="1767">
        <v>0</v>
      </c>
    </row>
    <row r="87" spans="1:94" ht="15" customHeight="1" x14ac:dyDescent="0.2">
      <c r="A87" s="1856"/>
      <c r="B87" s="1856"/>
      <c r="C87" s="653" t="s">
        <v>578</v>
      </c>
      <c r="D87" s="936"/>
      <c r="E87" s="1831"/>
      <c r="F87" s="1225"/>
      <c r="G87" s="1767">
        <v>0</v>
      </c>
      <c r="H87" s="1767">
        <v>0</v>
      </c>
      <c r="I87" s="1767">
        <v>0</v>
      </c>
      <c r="J87" s="1767">
        <v>0</v>
      </c>
      <c r="K87" s="1767">
        <v>0</v>
      </c>
      <c r="L87" s="1767">
        <v>0</v>
      </c>
      <c r="M87" s="1767">
        <v>0</v>
      </c>
      <c r="N87" s="1767">
        <v>0</v>
      </c>
      <c r="O87" s="1767">
        <v>0</v>
      </c>
      <c r="P87" s="1767">
        <v>0</v>
      </c>
      <c r="Q87" s="1767">
        <v>0</v>
      </c>
      <c r="R87" s="1767">
        <v>0</v>
      </c>
      <c r="S87" s="1767">
        <v>0</v>
      </c>
      <c r="T87" s="1767">
        <v>0</v>
      </c>
      <c r="U87" s="1767">
        <v>0</v>
      </c>
      <c r="V87" s="1767">
        <v>0</v>
      </c>
      <c r="W87" s="1767">
        <v>0</v>
      </c>
      <c r="X87" s="1767">
        <v>0</v>
      </c>
      <c r="Y87" s="1767">
        <v>0</v>
      </c>
      <c r="Z87" s="1767">
        <v>0</v>
      </c>
      <c r="AA87" s="1767">
        <v>0</v>
      </c>
      <c r="AB87" s="1767">
        <v>0</v>
      </c>
      <c r="AC87" s="1767">
        <v>0</v>
      </c>
      <c r="AD87" s="1767">
        <v>0</v>
      </c>
      <c r="AE87" s="1767">
        <v>0</v>
      </c>
      <c r="AF87" s="1767">
        <v>0</v>
      </c>
      <c r="AG87" s="1767">
        <v>0</v>
      </c>
      <c r="AH87" s="1767">
        <v>0</v>
      </c>
      <c r="AI87" s="1767">
        <v>0</v>
      </c>
      <c r="AJ87" s="1767">
        <v>0</v>
      </c>
      <c r="AK87" s="1767">
        <v>0</v>
      </c>
      <c r="AL87" s="1767">
        <v>0</v>
      </c>
      <c r="AM87" s="1767">
        <v>0</v>
      </c>
      <c r="AN87" s="1767">
        <v>0</v>
      </c>
      <c r="AO87" s="1767">
        <v>0</v>
      </c>
      <c r="AP87" s="1767">
        <v>0</v>
      </c>
      <c r="AQ87" s="1767">
        <v>0</v>
      </c>
      <c r="AR87" s="1767">
        <v>0</v>
      </c>
      <c r="AS87" s="1767">
        <v>0</v>
      </c>
      <c r="AT87" s="1767">
        <v>0</v>
      </c>
      <c r="AU87" s="1767">
        <v>0</v>
      </c>
      <c r="AV87" s="1767">
        <v>0</v>
      </c>
      <c r="AW87" s="1767">
        <v>0</v>
      </c>
      <c r="AX87" s="1767">
        <v>0</v>
      </c>
      <c r="AY87" s="1767">
        <v>0</v>
      </c>
      <c r="AZ87" s="1767">
        <v>0</v>
      </c>
      <c r="BA87" s="1767">
        <v>0</v>
      </c>
      <c r="BB87" s="1767">
        <v>0</v>
      </c>
      <c r="BC87" s="1767">
        <v>0</v>
      </c>
      <c r="BD87" s="1767">
        <v>0</v>
      </c>
      <c r="BE87" s="1767">
        <v>0</v>
      </c>
      <c r="BF87" s="1767">
        <v>0</v>
      </c>
      <c r="BG87" s="1767">
        <v>0</v>
      </c>
      <c r="BH87" s="1767">
        <v>0</v>
      </c>
      <c r="BI87" s="1767">
        <v>0</v>
      </c>
      <c r="BJ87" s="1767">
        <v>0</v>
      </c>
      <c r="BK87" s="1767">
        <v>0</v>
      </c>
      <c r="BL87" s="1767">
        <v>0</v>
      </c>
      <c r="BM87" s="1767">
        <v>0</v>
      </c>
      <c r="BN87" s="1767">
        <v>0</v>
      </c>
      <c r="BO87" s="1767">
        <v>0</v>
      </c>
      <c r="BP87" s="1767">
        <v>0</v>
      </c>
      <c r="BQ87" s="1767">
        <v>0</v>
      </c>
      <c r="BR87" s="1767">
        <v>0</v>
      </c>
      <c r="BS87" s="1767">
        <v>0</v>
      </c>
      <c r="BT87" s="1767">
        <v>0</v>
      </c>
      <c r="BU87" s="1767">
        <v>0</v>
      </c>
      <c r="BV87" s="1767">
        <v>0</v>
      </c>
      <c r="BW87" s="1767">
        <v>0</v>
      </c>
      <c r="BX87" s="1767">
        <v>0</v>
      </c>
      <c r="BY87" s="1767">
        <v>0</v>
      </c>
      <c r="BZ87" s="1767">
        <v>0</v>
      </c>
      <c r="CA87" s="1767">
        <v>0</v>
      </c>
      <c r="CB87" s="1767">
        <v>0</v>
      </c>
      <c r="CC87" s="1767">
        <v>0</v>
      </c>
      <c r="CD87" s="1767">
        <v>0</v>
      </c>
      <c r="CE87" s="1767">
        <v>0</v>
      </c>
      <c r="CF87" s="1767">
        <v>0</v>
      </c>
      <c r="CG87" s="1767">
        <v>0</v>
      </c>
      <c r="CH87" s="1767">
        <v>0</v>
      </c>
      <c r="CI87" s="1767">
        <v>0</v>
      </c>
      <c r="CJ87" s="1767">
        <v>0</v>
      </c>
      <c r="CK87" s="1767">
        <v>0</v>
      </c>
      <c r="CL87" s="1767">
        <v>0</v>
      </c>
      <c r="CM87" s="1767">
        <v>0</v>
      </c>
      <c r="CN87" s="1767">
        <v>0</v>
      </c>
      <c r="CO87" s="1767">
        <v>0</v>
      </c>
      <c r="CP87" s="1767">
        <v>0</v>
      </c>
    </row>
    <row r="88" spans="1:94" ht="15" customHeight="1" thickBot="1" x14ac:dyDescent="0.25">
      <c r="A88" s="1857"/>
      <c r="B88" s="1857"/>
      <c r="C88" s="658" t="s">
        <v>580</v>
      </c>
      <c r="D88" s="936"/>
      <c r="E88" s="1831"/>
      <c r="F88" s="1225"/>
      <c r="G88" s="1767">
        <v>0</v>
      </c>
      <c r="H88" s="1767">
        <v>0</v>
      </c>
      <c r="I88" s="1767">
        <v>0</v>
      </c>
      <c r="J88" s="1767">
        <v>0</v>
      </c>
      <c r="K88" s="1767">
        <v>0</v>
      </c>
      <c r="L88" s="1767">
        <v>0</v>
      </c>
      <c r="M88" s="1767">
        <v>0</v>
      </c>
      <c r="N88" s="1767">
        <v>0</v>
      </c>
      <c r="O88" s="1767">
        <v>0</v>
      </c>
      <c r="P88" s="1767">
        <v>0</v>
      </c>
      <c r="Q88" s="1767">
        <v>0</v>
      </c>
      <c r="R88" s="1767">
        <v>0</v>
      </c>
      <c r="S88" s="1767">
        <v>0</v>
      </c>
      <c r="T88" s="1767">
        <v>0</v>
      </c>
      <c r="U88" s="1767">
        <v>0</v>
      </c>
      <c r="V88" s="1767">
        <v>0</v>
      </c>
      <c r="W88" s="1767">
        <v>0</v>
      </c>
      <c r="X88" s="1767">
        <v>0</v>
      </c>
      <c r="Y88" s="1767">
        <v>0</v>
      </c>
      <c r="Z88" s="1767">
        <v>0</v>
      </c>
      <c r="AA88" s="1767">
        <v>0</v>
      </c>
      <c r="AB88" s="1767">
        <v>0</v>
      </c>
      <c r="AC88" s="1767">
        <v>0</v>
      </c>
      <c r="AD88" s="1767">
        <v>0</v>
      </c>
      <c r="AE88" s="1767">
        <v>0</v>
      </c>
      <c r="AF88" s="1767">
        <v>0</v>
      </c>
      <c r="AG88" s="1767">
        <v>0</v>
      </c>
      <c r="AH88" s="1767">
        <v>0</v>
      </c>
      <c r="AI88" s="1767">
        <v>0</v>
      </c>
      <c r="AJ88" s="1767">
        <v>0</v>
      </c>
      <c r="AK88" s="1767">
        <v>0</v>
      </c>
      <c r="AL88" s="1767">
        <v>0</v>
      </c>
      <c r="AM88" s="1767">
        <v>0</v>
      </c>
      <c r="AN88" s="1767">
        <v>0</v>
      </c>
      <c r="AO88" s="1767">
        <v>0</v>
      </c>
      <c r="AP88" s="1767">
        <v>0</v>
      </c>
      <c r="AQ88" s="1767">
        <v>0</v>
      </c>
      <c r="AR88" s="1767">
        <v>0</v>
      </c>
      <c r="AS88" s="1767">
        <v>0</v>
      </c>
      <c r="AT88" s="1767">
        <v>0</v>
      </c>
      <c r="AU88" s="1767">
        <v>0</v>
      </c>
      <c r="AV88" s="1767">
        <v>0</v>
      </c>
      <c r="AW88" s="1767">
        <v>0</v>
      </c>
      <c r="AX88" s="1767">
        <v>0</v>
      </c>
      <c r="AY88" s="1767">
        <v>0</v>
      </c>
      <c r="AZ88" s="1767">
        <v>0</v>
      </c>
      <c r="BA88" s="1767">
        <v>0</v>
      </c>
      <c r="BB88" s="1767">
        <v>0</v>
      </c>
      <c r="BC88" s="1767">
        <v>0</v>
      </c>
      <c r="BD88" s="1767">
        <v>0</v>
      </c>
      <c r="BE88" s="1767">
        <v>0</v>
      </c>
      <c r="BF88" s="1767">
        <v>0</v>
      </c>
      <c r="BG88" s="1767">
        <v>0</v>
      </c>
      <c r="BH88" s="1767">
        <v>0</v>
      </c>
      <c r="BI88" s="1767">
        <v>0</v>
      </c>
      <c r="BJ88" s="1767">
        <v>0</v>
      </c>
      <c r="BK88" s="1767">
        <v>0</v>
      </c>
      <c r="BL88" s="1767">
        <v>0</v>
      </c>
      <c r="BM88" s="1767">
        <v>0</v>
      </c>
      <c r="BN88" s="1767">
        <v>0</v>
      </c>
      <c r="BO88" s="1767">
        <v>0</v>
      </c>
      <c r="BP88" s="1767">
        <v>0</v>
      </c>
      <c r="BQ88" s="1767">
        <v>0</v>
      </c>
      <c r="BR88" s="1767">
        <v>0</v>
      </c>
      <c r="BS88" s="1767">
        <v>0</v>
      </c>
      <c r="BT88" s="1767">
        <v>0</v>
      </c>
      <c r="BU88" s="1767">
        <v>0</v>
      </c>
      <c r="BV88" s="1767">
        <v>0</v>
      </c>
      <c r="BW88" s="1767">
        <v>0</v>
      </c>
      <c r="BX88" s="1767">
        <v>0</v>
      </c>
      <c r="BY88" s="1767">
        <v>0</v>
      </c>
      <c r="BZ88" s="1767">
        <v>0</v>
      </c>
      <c r="CA88" s="1767">
        <v>0</v>
      </c>
      <c r="CB88" s="1767">
        <v>0</v>
      </c>
      <c r="CC88" s="1767">
        <v>0</v>
      </c>
      <c r="CD88" s="1767">
        <v>0</v>
      </c>
      <c r="CE88" s="1767">
        <v>0</v>
      </c>
      <c r="CF88" s="1767">
        <v>0</v>
      </c>
      <c r="CG88" s="1767">
        <v>0</v>
      </c>
      <c r="CH88" s="1767">
        <v>0</v>
      </c>
      <c r="CI88" s="1767">
        <v>0</v>
      </c>
      <c r="CJ88" s="1767">
        <v>0</v>
      </c>
      <c r="CK88" s="1767">
        <v>0</v>
      </c>
      <c r="CL88" s="1767">
        <v>0</v>
      </c>
      <c r="CM88" s="1767">
        <v>0</v>
      </c>
      <c r="CN88" s="1767">
        <v>0</v>
      </c>
      <c r="CO88" s="1767">
        <v>0</v>
      </c>
      <c r="CP88" s="1767">
        <v>0</v>
      </c>
    </row>
    <row r="89" spans="1:94" ht="27" customHeight="1" thickBot="1" x14ac:dyDescent="0.25">
      <c r="A89" s="1849" t="s">
        <v>1291</v>
      </c>
      <c r="B89" s="1833" t="s">
        <v>633</v>
      </c>
      <c r="C89" s="1779" t="s">
        <v>2356</v>
      </c>
      <c r="D89" s="947"/>
      <c r="E89" s="1836" t="s">
        <v>2314</v>
      </c>
      <c r="F89" s="1225"/>
      <c r="G89" s="1742"/>
      <c r="H89" s="1742"/>
      <c r="I89" s="1742"/>
      <c r="J89" s="1742"/>
      <c r="K89" s="1742"/>
      <c r="L89" s="1742"/>
      <c r="M89" s="1742"/>
      <c r="N89" s="1742"/>
      <c r="O89" s="1742"/>
      <c r="P89" s="1742"/>
      <c r="Q89" s="1742"/>
      <c r="R89" s="1742"/>
      <c r="S89" s="1742"/>
      <c r="T89" s="1742"/>
      <c r="U89" s="1742"/>
      <c r="V89" s="1742"/>
      <c r="W89" s="1742"/>
      <c r="X89" s="1742"/>
      <c r="Y89" s="1742"/>
      <c r="Z89" s="1742"/>
      <c r="AA89" s="1742"/>
      <c r="AB89" s="1742"/>
      <c r="AC89" s="1742"/>
      <c r="AD89" s="1742"/>
      <c r="AE89" s="1742"/>
      <c r="AF89" s="1742"/>
      <c r="AG89" s="1742"/>
      <c r="AH89" s="1742"/>
      <c r="AI89" s="1742"/>
      <c r="AJ89" s="1742"/>
      <c r="AK89" s="1742"/>
      <c r="AL89" s="1742"/>
      <c r="AM89" s="1742"/>
      <c r="AN89" s="1742"/>
      <c r="AO89" s="1742"/>
      <c r="AP89" s="1742"/>
      <c r="AQ89" s="1742"/>
      <c r="AR89" s="1742"/>
      <c r="AS89" s="1742"/>
      <c r="AT89" s="1742"/>
      <c r="AU89" s="1742"/>
      <c r="AV89" s="1742"/>
      <c r="AW89" s="1742"/>
      <c r="AX89" s="1742"/>
      <c r="AY89" s="1742"/>
      <c r="AZ89" s="1742"/>
      <c r="BA89" s="1742"/>
      <c r="BB89" s="1742"/>
      <c r="BC89" s="1742"/>
      <c r="BD89" s="1742"/>
      <c r="BE89" s="1742"/>
      <c r="BF89" s="1742"/>
      <c r="BG89" s="1742"/>
      <c r="BH89" s="1742"/>
      <c r="BI89" s="1742"/>
      <c r="BJ89" s="1742"/>
      <c r="BK89" s="1742"/>
      <c r="BL89" s="1742"/>
      <c r="BM89" s="1742"/>
      <c r="BN89" s="1742"/>
      <c r="BO89" s="1742"/>
      <c r="BP89" s="1742"/>
      <c r="BQ89" s="1742"/>
      <c r="BR89" s="1742"/>
      <c r="BS89" s="1742"/>
      <c r="BT89" s="1742"/>
      <c r="BU89" s="1742"/>
      <c r="BV89" s="1742"/>
      <c r="BW89" s="1742"/>
      <c r="BX89" s="1742"/>
      <c r="BY89" s="1742"/>
      <c r="BZ89" s="1742"/>
      <c r="CA89" s="1742"/>
      <c r="CB89" s="1742"/>
      <c r="CC89" s="1742"/>
      <c r="CD89" s="1742"/>
      <c r="CE89" s="1742"/>
      <c r="CF89" s="1742"/>
      <c r="CG89" s="1742"/>
      <c r="CH89" s="1742"/>
      <c r="CI89" s="1742"/>
      <c r="CJ89" s="1742"/>
      <c r="CK89" s="1742"/>
      <c r="CL89" s="1742"/>
      <c r="CM89" s="1742"/>
      <c r="CN89" s="1742"/>
      <c r="CO89" s="1742"/>
      <c r="CP89" s="1742"/>
    </row>
    <row r="90" spans="1:94" ht="30.75" customHeight="1" x14ac:dyDescent="0.2">
      <c r="A90" s="1847"/>
      <c r="B90" s="1834"/>
      <c r="C90" s="662" t="s">
        <v>2357</v>
      </c>
      <c r="D90" s="936"/>
      <c r="E90" s="1837"/>
      <c r="F90" s="1225"/>
      <c r="G90" s="1767">
        <v>0</v>
      </c>
      <c r="H90" s="1767">
        <v>0</v>
      </c>
      <c r="I90" s="1767">
        <v>0</v>
      </c>
      <c r="J90" s="1767">
        <v>0</v>
      </c>
      <c r="K90" s="1767">
        <v>0</v>
      </c>
      <c r="L90" s="1767">
        <v>0</v>
      </c>
      <c r="M90" s="1767">
        <v>0</v>
      </c>
      <c r="N90" s="1767">
        <v>0</v>
      </c>
      <c r="O90" s="1767">
        <v>0</v>
      </c>
      <c r="P90" s="1767">
        <v>0</v>
      </c>
      <c r="Q90" s="1767">
        <v>0</v>
      </c>
      <c r="R90" s="1767">
        <v>0</v>
      </c>
      <c r="S90" s="1767">
        <v>0</v>
      </c>
      <c r="T90" s="1767">
        <v>0</v>
      </c>
      <c r="U90" s="1767">
        <v>0</v>
      </c>
      <c r="V90" s="1767">
        <v>0</v>
      </c>
      <c r="W90" s="1767">
        <v>0</v>
      </c>
      <c r="X90" s="1767">
        <v>0</v>
      </c>
      <c r="Y90" s="1767">
        <v>0</v>
      </c>
      <c r="Z90" s="1767">
        <v>0</v>
      </c>
      <c r="AA90" s="1767">
        <v>0</v>
      </c>
      <c r="AB90" s="1767">
        <v>0</v>
      </c>
      <c r="AC90" s="1767">
        <v>0</v>
      </c>
      <c r="AD90" s="1767">
        <v>0</v>
      </c>
      <c r="AE90" s="1767">
        <v>0</v>
      </c>
      <c r="AF90" s="1767">
        <v>0</v>
      </c>
      <c r="AG90" s="1767">
        <v>0</v>
      </c>
      <c r="AH90" s="1767">
        <v>0</v>
      </c>
      <c r="AI90" s="1767">
        <v>0</v>
      </c>
      <c r="AJ90" s="1767">
        <v>0</v>
      </c>
      <c r="AK90" s="1767">
        <v>0</v>
      </c>
      <c r="AL90" s="1767">
        <v>0</v>
      </c>
      <c r="AM90" s="1767">
        <v>0</v>
      </c>
      <c r="AN90" s="1767">
        <v>0</v>
      </c>
      <c r="AO90" s="1767">
        <v>0</v>
      </c>
      <c r="AP90" s="1767">
        <v>0</v>
      </c>
      <c r="AQ90" s="1767">
        <v>0</v>
      </c>
      <c r="AR90" s="1767">
        <v>0</v>
      </c>
      <c r="AS90" s="1767">
        <v>0</v>
      </c>
      <c r="AT90" s="1767">
        <v>0</v>
      </c>
      <c r="AU90" s="1767">
        <v>0</v>
      </c>
      <c r="AV90" s="1767">
        <v>0</v>
      </c>
      <c r="AW90" s="1767">
        <v>0</v>
      </c>
      <c r="AX90" s="1767">
        <v>0</v>
      </c>
      <c r="AY90" s="1767">
        <v>0</v>
      </c>
      <c r="AZ90" s="1767">
        <v>0</v>
      </c>
      <c r="BA90" s="1767">
        <v>0</v>
      </c>
      <c r="BB90" s="1767">
        <v>0</v>
      </c>
      <c r="BC90" s="1767">
        <v>0</v>
      </c>
      <c r="BD90" s="1767">
        <v>0</v>
      </c>
      <c r="BE90" s="1767">
        <v>0</v>
      </c>
      <c r="BF90" s="1767">
        <v>0</v>
      </c>
      <c r="BG90" s="1767">
        <v>0</v>
      </c>
      <c r="BH90" s="1767">
        <v>0</v>
      </c>
      <c r="BI90" s="1767">
        <v>0</v>
      </c>
      <c r="BJ90" s="1767">
        <v>0</v>
      </c>
      <c r="BK90" s="1767">
        <v>0</v>
      </c>
      <c r="BL90" s="1767">
        <v>0</v>
      </c>
      <c r="BM90" s="1767">
        <v>0</v>
      </c>
      <c r="BN90" s="1767">
        <v>0</v>
      </c>
      <c r="BO90" s="1767">
        <v>0</v>
      </c>
      <c r="BP90" s="1767">
        <v>0</v>
      </c>
      <c r="BQ90" s="1767">
        <v>0</v>
      </c>
      <c r="BR90" s="1767">
        <v>0</v>
      </c>
      <c r="BS90" s="1767">
        <v>0</v>
      </c>
      <c r="BT90" s="1767">
        <v>0</v>
      </c>
      <c r="BU90" s="1767">
        <v>0</v>
      </c>
      <c r="BV90" s="1767">
        <v>0</v>
      </c>
      <c r="BW90" s="1767">
        <v>0</v>
      </c>
      <c r="BX90" s="1767">
        <v>0</v>
      </c>
      <c r="BY90" s="1767">
        <v>0</v>
      </c>
      <c r="BZ90" s="1767">
        <v>0</v>
      </c>
      <c r="CA90" s="1767">
        <v>0</v>
      </c>
      <c r="CB90" s="1767">
        <v>0</v>
      </c>
      <c r="CC90" s="1767">
        <v>0</v>
      </c>
      <c r="CD90" s="1767">
        <v>0</v>
      </c>
      <c r="CE90" s="1767">
        <v>0</v>
      </c>
      <c r="CF90" s="1767">
        <v>0</v>
      </c>
      <c r="CG90" s="1767">
        <v>0</v>
      </c>
      <c r="CH90" s="1767">
        <v>0</v>
      </c>
      <c r="CI90" s="1767">
        <v>0</v>
      </c>
      <c r="CJ90" s="1767">
        <v>0</v>
      </c>
      <c r="CK90" s="1767">
        <v>0</v>
      </c>
      <c r="CL90" s="1767">
        <v>0</v>
      </c>
      <c r="CM90" s="1767">
        <v>0</v>
      </c>
      <c r="CN90" s="1767">
        <v>0</v>
      </c>
      <c r="CO90" s="1767">
        <v>0</v>
      </c>
      <c r="CP90" s="1767">
        <v>0</v>
      </c>
    </row>
    <row r="91" spans="1:94" ht="15" customHeight="1" x14ac:dyDescent="0.2">
      <c r="A91" s="1847"/>
      <c r="B91" s="1834"/>
      <c r="C91" s="663" t="s">
        <v>634</v>
      </c>
      <c r="D91" s="936"/>
      <c r="E91" s="1837"/>
      <c r="F91" s="1225"/>
      <c r="G91" s="1767">
        <v>0</v>
      </c>
      <c r="H91" s="1767">
        <v>0</v>
      </c>
      <c r="I91" s="1767">
        <v>0</v>
      </c>
      <c r="J91" s="1767">
        <v>0</v>
      </c>
      <c r="K91" s="1767">
        <v>0</v>
      </c>
      <c r="L91" s="1767">
        <v>0</v>
      </c>
      <c r="M91" s="1767">
        <v>0</v>
      </c>
      <c r="N91" s="1767">
        <v>0</v>
      </c>
      <c r="O91" s="1767">
        <v>0</v>
      </c>
      <c r="P91" s="1767">
        <v>0</v>
      </c>
      <c r="Q91" s="1767">
        <v>0</v>
      </c>
      <c r="R91" s="1767">
        <v>0</v>
      </c>
      <c r="S91" s="1767">
        <v>0</v>
      </c>
      <c r="T91" s="1767">
        <v>0</v>
      </c>
      <c r="U91" s="1767">
        <v>0</v>
      </c>
      <c r="V91" s="1767">
        <v>0</v>
      </c>
      <c r="W91" s="1767">
        <v>0</v>
      </c>
      <c r="X91" s="1767">
        <v>0</v>
      </c>
      <c r="Y91" s="1767">
        <v>0</v>
      </c>
      <c r="Z91" s="1767">
        <v>0</v>
      </c>
      <c r="AA91" s="1767">
        <v>0</v>
      </c>
      <c r="AB91" s="1767">
        <v>0</v>
      </c>
      <c r="AC91" s="1767">
        <v>0</v>
      </c>
      <c r="AD91" s="1767">
        <v>0</v>
      </c>
      <c r="AE91" s="1767">
        <v>0</v>
      </c>
      <c r="AF91" s="1767">
        <v>0</v>
      </c>
      <c r="AG91" s="1767">
        <v>0</v>
      </c>
      <c r="AH91" s="1767">
        <v>0</v>
      </c>
      <c r="AI91" s="1767">
        <v>0</v>
      </c>
      <c r="AJ91" s="1767">
        <v>0</v>
      </c>
      <c r="AK91" s="1767">
        <v>0</v>
      </c>
      <c r="AL91" s="1767">
        <v>0</v>
      </c>
      <c r="AM91" s="1767">
        <v>0</v>
      </c>
      <c r="AN91" s="1767">
        <v>0</v>
      </c>
      <c r="AO91" s="1767">
        <v>0</v>
      </c>
      <c r="AP91" s="1767">
        <v>0</v>
      </c>
      <c r="AQ91" s="1767">
        <v>0</v>
      </c>
      <c r="AR91" s="1767">
        <v>0</v>
      </c>
      <c r="AS91" s="1767">
        <v>0</v>
      </c>
      <c r="AT91" s="1767">
        <v>0</v>
      </c>
      <c r="AU91" s="1767">
        <v>0</v>
      </c>
      <c r="AV91" s="1767">
        <v>0</v>
      </c>
      <c r="AW91" s="1767">
        <v>0</v>
      </c>
      <c r="AX91" s="1767">
        <v>0</v>
      </c>
      <c r="AY91" s="1767">
        <v>0</v>
      </c>
      <c r="AZ91" s="1767">
        <v>0</v>
      </c>
      <c r="BA91" s="1767">
        <v>0</v>
      </c>
      <c r="BB91" s="1767">
        <v>0</v>
      </c>
      <c r="BC91" s="1767">
        <v>0</v>
      </c>
      <c r="BD91" s="1767">
        <v>0</v>
      </c>
      <c r="BE91" s="1767">
        <v>0</v>
      </c>
      <c r="BF91" s="1767">
        <v>0</v>
      </c>
      <c r="BG91" s="1767">
        <v>0</v>
      </c>
      <c r="BH91" s="1767">
        <v>0</v>
      </c>
      <c r="BI91" s="1767">
        <v>0</v>
      </c>
      <c r="BJ91" s="1767">
        <v>0</v>
      </c>
      <c r="BK91" s="1767">
        <v>0</v>
      </c>
      <c r="BL91" s="1767">
        <v>0</v>
      </c>
      <c r="BM91" s="1767">
        <v>0</v>
      </c>
      <c r="BN91" s="1767">
        <v>0</v>
      </c>
      <c r="BO91" s="1767">
        <v>0</v>
      </c>
      <c r="BP91" s="1767">
        <v>0</v>
      </c>
      <c r="BQ91" s="1767">
        <v>0</v>
      </c>
      <c r="BR91" s="1767">
        <v>0</v>
      </c>
      <c r="BS91" s="1767">
        <v>0</v>
      </c>
      <c r="BT91" s="1767">
        <v>0</v>
      </c>
      <c r="BU91" s="1767">
        <v>0</v>
      </c>
      <c r="BV91" s="1767">
        <v>0</v>
      </c>
      <c r="BW91" s="1767">
        <v>0</v>
      </c>
      <c r="BX91" s="1767">
        <v>0</v>
      </c>
      <c r="BY91" s="1767">
        <v>0</v>
      </c>
      <c r="BZ91" s="1767">
        <v>0</v>
      </c>
      <c r="CA91" s="1767">
        <v>0</v>
      </c>
      <c r="CB91" s="1767">
        <v>0</v>
      </c>
      <c r="CC91" s="1767">
        <v>0</v>
      </c>
      <c r="CD91" s="1767">
        <v>0</v>
      </c>
      <c r="CE91" s="1767">
        <v>0</v>
      </c>
      <c r="CF91" s="1767">
        <v>0</v>
      </c>
      <c r="CG91" s="1767">
        <v>0</v>
      </c>
      <c r="CH91" s="1767">
        <v>0</v>
      </c>
      <c r="CI91" s="1767">
        <v>0</v>
      </c>
      <c r="CJ91" s="1767">
        <v>0</v>
      </c>
      <c r="CK91" s="1767">
        <v>0</v>
      </c>
      <c r="CL91" s="1767">
        <v>0</v>
      </c>
      <c r="CM91" s="1767">
        <v>0</v>
      </c>
      <c r="CN91" s="1767">
        <v>0</v>
      </c>
      <c r="CO91" s="1767">
        <v>0</v>
      </c>
      <c r="CP91" s="1767">
        <v>0</v>
      </c>
    </row>
    <row r="92" spans="1:94" ht="15" customHeight="1" x14ac:dyDescent="0.2">
      <c r="A92" s="1847"/>
      <c r="B92" s="1834"/>
      <c r="C92" s="663" t="s">
        <v>635</v>
      </c>
      <c r="D92" s="936"/>
      <c r="E92" s="1837"/>
      <c r="F92" s="1225"/>
      <c r="G92" s="1767">
        <v>0</v>
      </c>
      <c r="H92" s="1767">
        <v>0</v>
      </c>
      <c r="I92" s="1767">
        <v>0</v>
      </c>
      <c r="J92" s="1767">
        <v>0</v>
      </c>
      <c r="K92" s="1767">
        <v>0</v>
      </c>
      <c r="L92" s="1767">
        <v>0</v>
      </c>
      <c r="M92" s="1767">
        <v>0</v>
      </c>
      <c r="N92" s="1767">
        <v>0</v>
      </c>
      <c r="O92" s="1767">
        <v>0</v>
      </c>
      <c r="P92" s="1767">
        <v>0</v>
      </c>
      <c r="Q92" s="1767">
        <v>0</v>
      </c>
      <c r="R92" s="1767">
        <v>0</v>
      </c>
      <c r="S92" s="1767">
        <v>0</v>
      </c>
      <c r="T92" s="1767">
        <v>0</v>
      </c>
      <c r="U92" s="1767">
        <v>0</v>
      </c>
      <c r="V92" s="1767">
        <v>0</v>
      </c>
      <c r="W92" s="1767">
        <v>0</v>
      </c>
      <c r="X92" s="1767">
        <v>0</v>
      </c>
      <c r="Y92" s="1767">
        <v>0</v>
      </c>
      <c r="Z92" s="1767">
        <v>0</v>
      </c>
      <c r="AA92" s="1767">
        <v>0</v>
      </c>
      <c r="AB92" s="1767">
        <v>0</v>
      </c>
      <c r="AC92" s="1767">
        <v>0</v>
      </c>
      <c r="AD92" s="1767">
        <v>0</v>
      </c>
      <c r="AE92" s="1767">
        <v>0</v>
      </c>
      <c r="AF92" s="1767">
        <v>0</v>
      </c>
      <c r="AG92" s="1767">
        <v>0</v>
      </c>
      <c r="AH92" s="1767">
        <v>0</v>
      </c>
      <c r="AI92" s="1767">
        <v>0</v>
      </c>
      <c r="AJ92" s="1767">
        <v>0</v>
      </c>
      <c r="AK92" s="1767">
        <v>0</v>
      </c>
      <c r="AL92" s="1767">
        <v>0</v>
      </c>
      <c r="AM92" s="1767">
        <v>0</v>
      </c>
      <c r="AN92" s="1767">
        <v>0</v>
      </c>
      <c r="AO92" s="1767">
        <v>0</v>
      </c>
      <c r="AP92" s="1767">
        <v>0</v>
      </c>
      <c r="AQ92" s="1767">
        <v>0</v>
      </c>
      <c r="AR92" s="1767">
        <v>0</v>
      </c>
      <c r="AS92" s="1767">
        <v>0</v>
      </c>
      <c r="AT92" s="1767">
        <v>0</v>
      </c>
      <c r="AU92" s="1767">
        <v>0</v>
      </c>
      <c r="AV92" s="1767">
        <v>0</v>
      </c>
      <c r="AW92" s="1767">
        <v>0</v>
      </c>
      <c r="AX92" s="1767">
        <v>0</v>
      </c>
      <c r="AY92" s="1767">
        <v>0</v>
      </c>
      <c r="AZ92" s="1767">
        <v>0</v>
      </c>
      <c r="BA92" s="1767">
        <v>0</v>
      </c>
      <c r="BB92" s="1767">
        <v>0</v>
      </c>
      <c r="BC92" s="1767">
        <v>0</v>
      </c>
      <c r="BD92" s="1767">
        <v>0</v>
      </c>
      <c r="BE92" s="1767">
        <v>0</v>
      </c>
      <c r="BF92" s="1767">
        <v>0</v>
      </c>
      <c r="BG92" s="1767">
        <v>0</v>
      </c>
      <c r="BH92" s="1767">
        <v>0</v>
      </c>
      <c r="BI92" s="1767">
        <v>0</v>
      </c>
      <c r="BJ92" s="1767">
        <v>0</v>
      </c>
      <c r="BK92" s="1767">
        <v>0</v>
      </c>
      <c r="BL92" s="1767">
        <v>0</v>
      </c>
      <c r="BM92" s="1767">
        <v>0</v>
      </c>
      <c r="BN92" s="1767">
        <v>0</v>
      </c>
      <c r="BO92" s="1767">
        <v>0</v>
      </c>
      <c r="BP92" s="1767">
        <v>0</v>
      </c>
      <c r="BQ92" s="1767">
        <v>0</v>
      </c>
      <c r="BR92" s="1767">
        <v>0</v>
      </c>
      <c r="BS92" s="1767">
        <v>0</v>
      </c>
      <c r="BT92" s="1767">
        <v>0</v>
      </c>
      <c r="BU92" s="1767">
        <v>0</v>
      </c>
      <c r="BV92" s="1767">
        <v>0</v>
      </c>
      <c r="BW92" s="1767">
        <v>0</v>
      </c>
      <c r="BX92" s="1767">
        <v>0</v>
      </c>
      <c r="BY92" s="1767">
        <v>0</v>
      </c>
      <c r="BZ92" s="1767">
        <v>0</v>
      </c>
      <c r="CA92" s="1767">
        <v>0</v>
      </c>
      <c r="CB92" s="1767">
        <v>0</v>
      </c>
      <c r="CC92" s="1767">
        <v>0</v>
      </c>
      <c r="CD92" s="1767">
        <v>0</v>
      </c>
      <c r="CE92" s="1767">
        <v>0</v>
      </c>
      <c r="CF92" s="1767">
        <v>0</v>
      </c>
      <c r="CG92" s="1767">
        <v>0</v>
      </c>
      <c r="CH92" s="1767">
        <v>0</v>
      </c>
      <c r="CI92" s="1767">
        <v>0</v>
      </c>
      <c r="CJ92" s="1767">
        <v>0</v>
      </c>
      <c r="CK92" s="1767">
        <v>0</v>
      </c>
      <c r="CL92" s="1767">
        <v>0</v>
      </c>
      <c r="CM92" s="1767">
        <v>0</v>
      </c>
      <c r="CN92" s="1767">
        <v>0</v>
      </c>
      <c r="CO92" s="1767">
        <v>0</v>
      </c>
      <c r="CP92" s="1767">
        <v>0</v>
      </c>
    </row>
    <row r="93" spans="1:94" ht="15" customHeight="1" x14ac:dyDescent="0.2">
      <c r="A93" s="1847"/>
      <c r="B93" s="1834"/>
      <c r="C93" s="663" t="s">
        <v>636</v>
      </c>
      <c r="D93" s="936"/>
      <c r="E93" s="1837"/>
      <c r="F93" s="1225"/>
      <c r="G93" s="1767">
        <v>0</v>
      </c>
      <c r="H93" s="1767">
        <v>0</v>
      </c>
      <c r="I93" s="1767">
        <v>0</v>
      </c>
      <c r="J93" s="1767">
        <v>0</v>
      </c>
      <c r="K93" s="1767">
        <v>0</v>
      </c>
      <c r="L93" s="1767">
        <v>0</v>
      </c>
      <c r="M93" s="1767">
        <v>0</v>
      </c>
      <c r="N93" s="1767">
        <v>0</v>
      </c>
      <c r="O93" s="1767">
        <v>0</v>
      </c>
      <c r="P93" s="1767">
        <v>0</v>
      </c>
      <c r="Q93" s="1767">
        <v>0</v>
      </c>
      <c r="R93" s="1767">
        <v>0</v>
      </c>
      <c r="S93" s="1767">
        <v>0</v>
      </c>
      <c r="T93" s="1767">
        <v>0</v>
      </c>
      <c r="U93" s="1767">
        <v>0</v>
      </c>
      <c r="V93" s="1767">
        <v>0</v>
      </c>
      <c r="W93" s="1767">
        <v>0</v>
      </c>
      <c r="X93" s="1767">
        <v>0</v>
      </c>
      <c r="Y93" s="1767">
        <v>0</v>
      </c>
      <c r="Z93" s="1767">
        <v>0</v>
      </c>
      <c r="AA93" s="1767">
        <v>0</v>
      </c>
      <c r="AB93" s="1767">
        <v>0</v>
      </c>
      <c r="AC93" s="1767">
        <v>0</v>
      </c>
      <c r="AD93" s="1767">
        <v>0</v>
      </c>
      <c r="AE93" s="1767">
        <v>0</v>
      </c>
      <c r="AF93" s="1767">
        <v>0</v>
      </c>
      <c r="AG93" s="1767">
        <v>0</v>
      </c>
      <c r="AH93" s="1767">
        <v>0</v>
      </c>
      <c r="AI93" s="1767">
        <v>0</v>
      </c>
      <c r="AJ93" s="1767">
        <v>0</v>
      </c>
      <c r="AK93" s="1767">
        <v>0</v>
      </c>
      <c r="AL93" s="1767">
        <v>0</v>
      </c>
      <c r="AM93" s="1767">
        <v>0</v>
      </c>
      <c r="AN93" s="1767">
        <v>0</v>
      </c>
      <c r="AO93" s="1767">
        <v>0</v>
      </c>
      <c r="AP93" s="1767">
        <v>0</v>
      </c>
      <c r="AQ93" s="1767">
        <v>0</v>
      </c>
      <c r="AR93" s="1767">
        <v>0</v>
      </c>
      <c r="AS93" s="1767">
        <v>0</v>
      </c>
      <c r="AT93" s="1767">
        <v>0</v>
      </c>
      <c r="AU93" s="1767">
        <v>0</v>
      </c>
      <c r="AV93" s="1767">
        <v>0</v>
      </c>
      <c r="AW93" s="1767">
        <v>0</v>
      </c>
      <c r="AX93" s="1767">
        <v>0</v>
      </c>
      <c r="AY93" s="1767">
        <v>0</v>
      </c>
      <c r="AZ93" s="1767">
        <v>0</v>
      </c>
      <c r="BA93" s="1767">
        <v>0</v>
      </c>
      <c r="BB93" s="1767">
        <v>0</v>
      </c>
      <c r="BC93" s="1767">
        <v>0</v>
      </c>
      <c r="BD93" s="1767">
        <v>0</v>
      </c>
      <c r="BE93" s="1767">
        <v>0</v>
      </c>
      <c r="BF93" s="1767">
        <v>0</v>
      </c>
      <c r="BG93" s="1767">
        <v>0</v>
      </c>
      <c r="BH93" s="1767">
        <v>0</v>
      </c>
      <c r="BI93" s="1767">
        <v>0</v>
      </c>
      <c r="BJ93" s="1767">
        <v>0</v>
      </c>
      <c r="BK93" s="1767">
        <v>0</v>
      </c>
      <c r="BL93" s="1767">
        <v>0</v>
      </c>
      <c r="BM93" s="1767">
        <v>0</v>
      </c>
      <c r="BN93" s="1767">
        <v>0</v>
      </c>
      <c r="BO93" s="1767">
        <v>0</v>
      </c>
      <c r="BP93" s="1767">
        <v>0</v>
      </c>
      <c r="BQ93" s="1767">
        <v>0</v>
      </c>
      <c r="BR93" s="1767">
        <v>0</v>
      </c>
      <c r="BS93" s="1767">
        <v>0</v>
      </c>
      <c r="BT93" s="1767">
        <v>0</v>
      </c>
      <c r="BU93" s="1767">
        <v>0</v>
      </c>
      <c r="BV93" s="1767">
        <v>0</v>
      </c>
      <c r="BW93" s="1767">
        <v>0</v>
      </c>
      <c r="BX93" s="1767">
        <v>0</v>
      </c>
      <c r="BY93" s="1767">
        <v>0</v>
      </c>
      <c r="BZ93" s="1767">
        <v>0</v>
      </c>
      <c r="CA93" s="1767">
        <v>0</v>
      </c>
      <c r="CB93" s="1767">
        <v>0</v>
      </c>
      <c r="CC93" s="1767">
        <v>0</v>
      </c>
      <c r="CD93" s="1767">
        <v>0</v>
      </c>
      <c r="CE93" s="1767">
        <v>0</v>
      </c>
      <c r="CF93" s="1767">
        <v>0</v>
      </c>
      <c r="CG93" s="1767">
        <v>0</v>
      </c>
      <c r="CH93" s="1767">
        <v>0</v>
      </c>
      <c r="CI93" s="1767">
        <v>0</v>
      </c>
      <c r="CJ93" s="1767">
        <v>0</v>
      </c>
      <c r="CK93" s="1767">
        <v>0</v>
      </c>
      <c r="CL93" s="1767">
        <v>0</v>
      </c>
      <c r="CM93" s="1767">
        <v>0</v>
      </c>
      <c r="CN93" s="1767">
        <v>0</v>
      </c>
      <c r="CO93" s="1767">
        <v>0</v>
      </c>
      <c r="CP93" s="1767">
        <v>0</v>
      </c>
    </row>
    <row r="94" spans="1:94" ht="15" customHeight="1" thickBot="1" x14ac:dyDescent="0.25">
      <c r="A94" s="1848"/>
      <c r="B94" s="1835"/>
      <c r="C94" s="650" t="s">
        <v>637</v>
      </c>
      <c r="D94" s="950"/>
      <c r="E94" s="1838"/>
      <c r="F94" s="1225"/>
      <c r="G94" s="1767">
        <v>0</v>
      </c>
      <c r="H94" s="1767">
        <v>0</v>
      </c>
      <c r="I94" s="1767">
        <v>0</v>
      </c>
      <c r="J94" s="1767">
        <v>0</v>
      </c>
      <c r="K94" s="1767">
        <v>0</v>
      </c>
      <c r="L94" s="1767">
        <v>0</v>
      </c>
      <c r="M94" s="1767">
        <v>0</v>
      </c>
      <c r="N94" s="1767">
        <v>0</v>
      </c>
      <c r="O94" s="1767">
        <v>0</v>
      </c>
      <c r="P94" s="1767">
        <v>0</v>
      </c>
      <c r="Q94" s="1767">
        <v>0</v>
      </c>
      <c r="R94" s="1767">
        <v>0</v>
      </c>
      <c r="S94" s="1767">
        <v>0</v>
      </c>
      <c r="T94" s="1767">
        <v>0</v>
      </c>
      <c r="U94" s="1767">
        <v>0</v>
      </c>
      <c r="V94" s="1767">
        <v>0</v>
      </c>
      <c r="W94" s="1767">
        <v>0</v>
      </c>
      <c r="X94" s="1767">
        <v>0</v>
      </c>
      <c r="Y94" s="1767">
        <v>0</v>
      </c>
      <c r="Z94" s="1767">
        <v>0</v>
      </c>
      <c r="AA94" s="1767">
        <v>0</v>
      </c>
      <c r="AB94" s="1767">
        <v>0</v>
      </c>
      <c r="AC94" s="1767">
        <v>0</v>
      </c>
      <c r="AD94" s="1767">
        <v>0</v>
      </c>
      <c r="AE94" s="1767">
        <v>0</v>
      </c>
      <c r="AF94" s="1767">
        <v>0</v>
      </c>
      <c r="AG94" s="1767">
        <v>0</v>
      </c>
      <c r="AH94" s="1767">
        <v>0</v>
      </c>
      <c r="AI94" s="1767">
        <v>0</v>
      </c>
      <c r="AJ94" s="1767">
        <v>0</v>
      </c>
      <c r="AK94" s="1767">
        <v>0</v>
      </c>
      <c r="AL94" s="1767">
        <v>0</v>
      </c>
      <c r="AM94" s="1767">
        <v>0</v>
      </c>
      <c r="AN94" s="1767">
        <v>0</v>
      </c>
      <c r="AO94" s="1767">
        <v>0</v>
      </c>
      <c r="AP94" s="1767">
        <v>0</v>
      </c>
      <c r="AQ94" s="1767">
        <v>0</v>
      </c>
      <c r="AR94" s="1767">
        <v>0</v>
      </c>
      <c r="AS94" s="1767">
        <v>0</v>
      </c>
      <c r="AT94" s="1767">
        <v>0</v>
      </c>
      <c r="AU94" s="1767">
        <v>0</v>
      </c>
      <c r="AV94" s="1767">
        <v>0</v>
      </c>
      <c r="AW94" s="1767">
        <v>0</v>
      </c>
      <c r="AX94" s="1767">
        <v>0</v>
      </c>
      <c r="AY94" s="1767">
        <v>0</v>
      </c>
      <c r="AZ94" s="1767">
        <v>0</v>
      </c>
      <c r="BA94" s="1767">
        <v>0</v>
      </c>
      <c r="BB94" s="1767">
        <v>0</v>
      </c>
      <c r="BC94" s="1767">
        <v>0</v>
      </c>
      <c r="BD94" s="1767">
        <v>0</v>
      </c>
      <c r="BE94" s="1767">
        <v>0</v>
      </c>
      <c r="BF94" s="1767">
        <v>0</v>
      </c>
      <c r="BG94" s="1767">
        <v>0</v>
      </c>
      <c r="BH94" s="1767">
        <v>0</v>
      </c>
      <c r="BI94" s="1767">
        <v>0</v>
      </c>
      <c r="BJ94" s="1767">
        <v>0</v>
      </c>
      <c r="BK94" s="1767">
        <v>0</v>
      </c>
      <c r="BL94" s="1767">
        <v>0</v>
      </c>
      <c r="BM94" s="1767">
        <v>0</v>
      </c>
      <c r="BN94" s="1767">
        <v>0</v>
      </c>
      <c r="BO94" s="1767">
        <v>0</v>
      </c>
      <c r="BP94" s="1767">
        <v>0</v>
      </c>
      <c r="BQ94" s="1767">
        <v>0</v>
      </c>
      <c r="BR94" s="1767">
        <v>0</v>
      </c>
      <c r="BS94" s="1767">
        <v>0</v>
      </c>
      <c r="BT94" s="1767">
        <v>0</v>
      </c>
      <c r="BU94" s="1767">
        <v>0</v>
      </c>
      <c r="BV94" s="1767">
        <v>0</v>
      </c>
      <c r="BW94" s="1767">
        <v>0</v>
      </c>
      <c r="BX94" s="1767">
        <v>0</v>
      </c>
      <c r="BY94" s="1767">
        <v>0</v>
      </c>
      <c r="BZ94" s="1767">
        <v>0</v>
      </c>
      <c r="CA94" s="1767">
        <v>0</v>
      </c>
      <c r="CB94" s="1767">
        <v>0</v>
      </c>
      <c r="CC94" s="1767">
        <v>0</v>
      </c>
      <c r="CD94" s="1767">
        <v>0</v>
      </c>
      <c r="CE94" s="1767">
        <v>0</v>
      </c>
      <c r="CF94" s="1767">
        <v>0</v>
      </c>
      <c r="CG94" s="1767">
        <v>0</v>
      </c>
      <c r="CH94" s="1767">
        <v>0</v>
      </c>
      <c r="CI94" s="1767">
        <v>0</v>
      </c>
      <c r="CJ94" s="1767">
        <v>0</v>
      </c>
      <c r="CK94" s="1767">
        <v>0</v>
      </c>
      <c r="CL94" s="1767">
        <v>0</v>
      </c>
      <c r="CM94" s="1767">
        <v>0</v>
      </c>
      <c r="CN94" s="1767">
        <v>0</v>
      </c>
      <c r="CO94" s="1767">
        <v>0</v>
      </c>
      <c r="CP94" s="1767">
        <v>0</v>
      </c>
    </row>
    <row r="95" spans="1:94" ht="21" customHeight="1" thickBot="1" x14ac:dyDescent="0.25">
      <c r="A95" s="1856" t="s">
        <v>1292</v>
      </c>
      <c r="B95" s="1856" t="s">
        <v>430</v>
      </c>
      <c r="C95" s="1778" t="s">
        <v>2515</v>
      </c>
      <c r="D95" s="946"/>
      <c r="E95" s="1870" t="s">
        <v>2315</v>
      </c>
      <c r="F95" s="1225"/>
      <c r="G95" s="1742"/>
      <c r="H95" s="1742"/>
      <c r="I95" s="1742"/>
      <c r="J95" s="1742"/>
      <c r="K95" s="1742"/>
      <c r="L95" s="1742"/>
      <c r="M95" s="1742"/>
      <c r="N95" s="1742"/>
      <c r="O95" s="1742"/>
      <c r="P95" s="1742"/>
      <c r="Q95" s="1742"/>
      <c r="R95" s="1742"/>
      <c r="S95" s="1742"/>
      <c r="T95" s="1742"/>
      <c r="U95" s="1742"/>
      <c r="V95" s="1742"/>
      <c r="W95" s="1742"/>
      <c r="X95" s="1742"/>
      <c r="Y95" s="1742"/>
      <c r="Z95" s="1742"/>
      <c r="AA95" s="1742"/>
      <c r="AB95" s="1742"/>
      <c r="AC95" s="1742"/>
      <c r="AD95" s="1742"/>
      <c r="AE95" s="1742"/>
      <c r="AF95" s="1742"/>
      <c r="AG95" s="1742"/>
      <c r="AH95" s="1742"/>
      <c r="AI95" s="1742"/>
      <c r="AJ95" s="1742"/>
      <c r="AK95" s="1742"/>
      <c r="AL95" s="1742"/>
      <c r="AM95" s="1742"/>
      <c r="AN95" s="1742"/>
      <c r="AO95" s="1742"/>
      <c r="AP95" s="1742"/>
      <c r="AQ95" s="1742"/>
      <c r="AR95" s="1742"/>
      <c r="AS95" s="1742"/>
      <c r="AT95" s="1742"/>
      <c r="AU95" s="1742"/>
      <c r="AV95" s="1742"/>
      <c r="AW95" s="1742"/>
      <c r="AX95" s="1742"/>
      <c r="AY95" s="1742"/>
      <c r="AZ95" s="1742"/>
      <c r="BA95" s="1742"/>
      <c r="BB95" s="1742"/>
      <c r="BC95" s="1742"/>
      <c r="BD95" s="1742"/>
      <c r="BE95" s="1742"/>
      <c r="BF95" s="1742"/>
      <c r="BG95" s="1742"/>
      <c r="BH95" s="1742"/>
      <c r="BI95" s="1742"/>
      <c r="BJ95" s="1742"/>
      <c r="BK95" s="1742"/>
      <c r="BL95" s="1742"/>
      <c r="BM95" s="1742"/>
      <c r="BN95" s="1742"/>
      <c r="BO95" s="1742"/>
      <c r="BP95" s="1742"/>
      <c r="BQ95" s="1742"/>
      <c r="BR95" s="1742"/>
      <c r="BS95" s="1742"/>
      <c r="BT95" s="1742"/>
      <c r="BU95" s="1742"/>
      <c r="BV95" s="1742"/>
      <c r="BW95" s="1742"/>
      <c r="BX95" s="1742"/>
      <c r="BY95" s="1742"/>
      <c r="BZ95" s="1742"/>
      <c r="CA95" s="1742"/>
      <c r="CB95" s="1742"/>
      <c r="CC95" s="1742"/>
      <c r="CD95" s="1742"/>
      <c r="CE95" s="1742"/>
      <c r="CF95" s="1742"/>
      <c r="CG95" s="1742"/>
      <c r="CH95" s="1742"/>
      <c r="CI95" s="1742"/>
      <c r="CJ95" s="1742"/>
      <c r="CK95" s="1742"/>
      <c r="CL95" s="1742"/>
      <c r="CM95" s="1742"/>
      <c r="CN95" s="1742"/>
      <c r="CO95" s="1742"/>
      <c r="CP95" s="1742"/>
    </row>
    <row r="96" spans="1:94" ht="15" customHeight="1" x14ac:dyDescent="0.2">
      <c r="A96" s="1856"/>
      <c r="B96" s="1856"/>
      <c r="C96" s="660" t="s">
        <v>2100</v>
      </c>
      <c r="D96" s="936"/>
      <c r="E96" s="1874"/>
      <c r="F96" s="1225"/>
      <c r="G96" s="1767">
        <v>0</v>
      </c>
      <c r="H96" s="1767">
        <v>0</v>
      </c>
      <c r="I96" s="1767">
        <v>0</v>
      </c>
      <c r="J96" s="1767">
        <v>0</v>
      </c>
      <c r="K96" s="1767">
        <v>0</v>
      </c>
      <c r="L96" s="1767">
        <v>0</v>
      </c>
      <c r="M96" s="1767">
        <v>0</v>
      </c>
      <c r="N96" s="1767">
        <v>0</v>
      </c>
      <c r="O96" s="1767">
        <v>0</v>
      </c>
      <c r="P96" s="1767">
        <v>0</v>
      </c>
      <c r="Q96" s="1767">
        <v>0</v>
      </c>
      <c r="R96" s="1767">
        <v>0</v>
      </c>
      <c r="S96" s="1767">
        <v>0</v>
      </c>
      <c r="T96" s="1767">
        <v>0</v>
      </c>
      <c r="U96" s="1767">
        <v>0</v>
      </c>
      <c r="V96" s="1767">
        <v>0</v>
      </c>
      <c r="W96" s="1767">
        <v>0</v>
      </c>
      <c r="X96" s="1767">
        <v>0</v>
      </c>
      <c r="Y96" s="1767">
        <v>0</v>
      </c>
      <c r="Z96" s="1767">
        <v>0</v>
      </c>
      <c r="AA96" s="1767">
        <v>0</v>
      </c>
      <c r="AB96" s="1767">
        <v>0</v>
      </c>
      <c r="AC96" s="1767">
        <v>0</v>
      </c>
      <c r="AD96" s="1767">
        <v>0</v>
      </c>
      <c r="AE96" s="1767">
        <v>0</v>
      </c>
      <c r="AF96" s="1767">
        <v>0</v>
      </c>
      <c r="AG96" s="1767">
        <v>0</v>
      </c>
      <c r="AH96" s="1767">
        <v>0</v>
      </c>
      <c r="AI96" s="1767">
        <v>0</v>
      </c>
      <c r="AJ96" s="1767">
        <v>0</v>
      </c>
      <c r="AK96" s="1767">
        <v>0</v>
      </c>
      <c r="AL96" s="1767">
        <v>0</v>
      </c>
      <c r="AM96" s="1767">
        <v>0</v>
      </c>
      <c r="AN96" s="1767">
        <v>0</v>
      </c>
      <c r="AO96" s="1767">
        <v>0</v>
      </c>
      <c r="AP96" s="1767">
        <v>0</v>
      </c>
      <c r="AQ96" s="1767">
        <v>0</v>
      </c>
      <c r="AR96" s="1767">
        <v>0</v>
      </c>
      <c r="AS96" s="1767">
        <v>0</v>
      </c>
      <c r="AT96" s="1767">
        <v>0</v>
      </c>
      <c r="AU96" s="1767">
        <v>0</v>
      </c>
      <c r="AV96" s="1767">
        <v>0</v>
      </c>
      <c r="AW96" s="1767">
        <v>0</v>
      </c>
      <c r="AX96" s="1767">
        <v>0</v>
      </c>
      <c r="AY96" s="1767">
        <v>0</v>
      </c>
      <c r="AZ96" s="1767">
        <v>0</v>
      </c>
      <c r="BA96" s="1767">
        <v>0</v>
      </c>
      <c r="BB96" s="1767">
        <v>0</v>
      </c>
      <c r="BC96" s="1767">
        <v>0</v>
      </c>
      <c r="BD96" s="1767">
        <v>0</v>
      </c>
      <c r="BE96" s="1767">
        <v>0</v>
      </c>
      <c r="BF96" s="1767">
        <v>0</v>
      </c>
      <c r="BG96" s="1767">
        <v>0</v>
      </c>
      <c r="BH96" s="1767">
        <v>0</v>
      </c>
      <c r="BI96" s="1767">
        <v>0</v>
      </c>
      <c r="BJ96" s="1767">
        <v>0</v>
      </c>
      <c r="BK96" s="1767">
        <v>0</v>
      </c>
      <c r="BL96" s="1767">
        <v>0</v>
      </c>
      <c r="BM96" s="1767">
        <v>0</v>
      </c>
      <c r="BN96" s="1767">
        <v>0</v>
      </c>
      <c r="BO96" s="1767">
        <v>0</v>
      </c>
      <c r="BP96" s="1767">
        <v>0</v>
      </c>
      <c r="BQ96" s="1767">
        <v>0</v>
      </c>
      <c r="BR96" s="1767">
        <v>0</v>
      </c>
      <c r="BS96" s="1767">
        <v>0</v>
      </c>
      <c r="BT96" s="1767">
        <v>0</v>
      </c>
      <c r="BU96" s="1767">
        <v>0</v>
      </c>
      <c r="BV96" s="1767">
        <v>0</v>
      </c>
      <c r="BW96" s="1767">
        <v>0</v>
      </c>
      <c r="BX96" s="1767">
        <v>0</v>
      </c>
      <c r="BY96" s="1767">
        <v>0</v>
      </c>
      <c r="BZ96" s="1767">
        <v>0</v>
      </c>
      <c r="CA96" s="1767">
        <v>0</v>
      </c>
      <c r="CB96" s="1767">
        <v>0</v>
      </c>
      <c r="CC96" s="1767">
        <v>0</v>
      </c>
      <c r="CD96" s="1767">
        <v>0</v>
      </c>
      <c r="CE96" s="1767">
        <v>0</v>
      </c>
      <c r="CF96" s="1767">
        <v>0</v>
      </c>
      <c r="CG96" s="1767">
        <v>0</v>
      </c>
      <c r="CH96" s="1767">
        <v>0</v>
      </c>
      <c r="CI96" s="1767">
        <v>0</v>
      </c>
      <c r="CJ96" s="1767">
        <v>0</v>
      </c>
      <c r="CK96" s="1767">
        <v>0</v>
      </c>
      <c r="CL96" s="1767">
        <v>0</v>
      </c>
      <c r="CM96" s="1767">
        <v>0</v>
      </c>
      <c r="CN96" s="1767">
        <v>0</v>
      </c>
      <c r="CO96" s="1767">
        <v>0</v>
      </c>
      <c r="CP96" s="1767">
        <v>0</v>
      </c>
    </row>
    <row r="97" spans="1:94" ht="15" customHeight="1" x14ac:dyDescent="0.2">
      <c r="A97" s="1856"/>
      <c r="B97" s="1856"/>
      <c r="C97" s="653" t="s">
        <v>634</v>
      </c>
      <c r="D97" s="936"/>
      <c r="E97" s="1874"/>
      <c r="F97" s="1225"/>
      <c r="G97" s="1767">
        <v>0</v>
      </c>
      <c r="H97" s="1767">
        <v>0</v>
      </c>
      <c r="I97" s="1767">
        <v>0</v>
      </c>
      <c r="J97" s="1767">
        <v>0</v>
      </c>
      <c r="K97" s="1767">
        <v>0</v>
      </c>
      <c r="L97" s="1767">
        <v>0</v>
      </c>
      <c r="M97" s="1767">
        <v>0</v>
      </c>
      <c r="N97" s="1767">
        <v>0</v>
      </c>
      <c r="O97" s="1767">
        <v>0</v>
      </c>
      <c r="P97" s="1767">
        <v>0</v>
      </c>
      <c r="Q97" s="1767">
        <v>0</v>
      </c>
      <c r="R97" s="1767">
        <v>0</v>
      </c>
      <c r="S97" s="1767">
        <v>0</v>
      </c>
      <c r="T97" s="1767">
        <v>0</v>
      </c>
      <c r="U97" s="1767">
        <v>0</v>
      </c>
      <c r="V97" s="1767">
        <v>0</v>
      </c>
      <c r="W97" s="1767">
        <v>0</v>
      </c>
      <c r="X97" s="1767">
        <v>0</v>
      </c>
      <c r="Y97" s="1767">
        <v>0</v>
      </c>
      <c r="Z97" s="1767">
        <v>0</v>
      </c>
      <c r="AA97" s="1767">
        <v>0</v>
      </c>
      <c r="AB97" s="1767">
        <v>0</v>
      </c>
      <c r="AC97" s="1767">
        <v>0</v>
      </c>
      <c r="AD97" s="1767">
        <v>0</v>
      </c>
      <c r="AE97" s="1767">
        <v>0</v>
      </c>
      <c r="AF97" s="1767">
        <v>0</v>
      </c>
      <c r="AG97" s="1767">
        <v>0</v>
      </c>
      <c r="AH97" s="1767">
        <v>0</v>
      </c>
      <c r="AI97" s="1767">
        <v>0</v>
      </c>
      <c r="AJ97" s="1767">
        <v>0</v>
      </c>
      <c r="AK97" s="1767">
        <v>0</v>
      </c>
      <c r="AL97" s="1767">
        <v>0</v>
      </c>
      <c r="AM97" s="1767">
        <v>0</v>
      </c>
      <c r="AN97" s="1767">
        <v>0</v>
      </c>
      <c r="AO97" s="1767">
        <v>0</v>
      </c>
      <c r="AP97" s="1767">
        <v>0</v>
      </c>
      <c r="AQ97" s="1767">
        <v>0</v>
      </c>
      <c r="AR97" s="1767">
        <v>0</v>
      </c>
      <c r="AS97" s="1767">
        <v>0</v>
      </c>
      <c r="AT97" s="1767">
        <v>0</v>
      </c>
      <c r="AU97" s="1767">
        <v>0</v>
      </c>
      <c r="AV97" s="1767">
        <v>0</v>
      </c>
      <c r="AW97" s="1767">
        <v>0</v>
      </c>
      <c r="AX97" s="1767">
        <v>0</v>
      </c>
      <c r="AY97" s="1767">
        <v>0</v>
      </c>
      <c r="AZ97" s="1767">
        <v>0</v>
      </c>
      <c r="BA97" s="1767">
        <v>0</v>
      </c>
      <c r="BB97" s="1767">
        <v>0</v>
      </c>
      <c r="BC97" s="1767">
        <v>0</v>
      </c>
      <c r="BD97" s="1767">
        <v>0</v>
      </c>
      <c r="BE97" s="1767">
        <v>0</v>
      </c>
      <c r="BF97" s="1767">
        <v>0</v>
      </c>
      <c r="BG97" s="1767">
        <v>0</v>
      </c>
      <c r="BH97" s="1767">
        <v>0</v>
      </c>
      <c r="BI97" s="1767">
        <v>0</v>
      </c>
      <c r="BJ97" s="1767">
        <v>0</v>
      </c>
      <c r="BK97" s="1767">
        <v>0</v>
      </c>
      <c r="BL97" s="1767">
        <v>0</v>
      </c>
      <c r="BM97" s="1767">
        <v>0</v>
      </c>
      <c r="BN97" s="1767">
        <v>0</v>
      </c>
      <c r="BO97" s="1767">
        <v>0</v>
      </c>
      <c r="BP97" s="1767">
        <v>0</v>
      </c>
      <c r="BQ97" s="1767">
        <v>0</v>
      </c>
      <c r="BR97" s="1767">
        <v>0</v>
      </c>
      <c r="BS97" s="1767">
        <v>0</v>
      </c>
      <c r="BT97" s="1767">
        <v>0</v>
      </c>
      <c r="BU97" s="1767">
        <v>0</v>
      </c>
      <c r="BV97" s="1767">
        <v>0</v>
      </c>
      <c r="BW97" s="1767">
        <v>0</v>
      </c>
      <c r="BX97" s="1767">
        <v>0</v>
      </c>
      <c r="BY97" s="1767">
        <v>0</v>
      </c>
      <c r="BZ97" s="1767">
        <v>0</v>
      </c>
      <c r="CA97" s="1767">
        <v>0</v>
      </c>
      <c r="CB97" s="1767">
        <v>0</v>
      </c>
      <c r="CC97" s="1767">
        <v>0</v>
      </c>
      <c r="CD97" s="1767">
        <v>0</v>
      </c>
      <c r="CE97" s="1767">
        <v>0</v>
      </c>
      <c r="CF97" s="1767">
        <v>0</v>
      </c>
      <c r="CG97" s="1767">
        <v>0</v>
      </c>
      <c r="CH97" s="1767">
        <v>0</v>
      </c>
      <c r="CI97" s="1767">
        <v>0</v>
      </c>
      <c r="CJ97" s="1767">
        <v>0</v>
      </c>
      <c r="CK97" s="1767">
        <v>0</v>
      </c>
      <c r="CL97" s="1767">
        <v>0</v>
      </c>
      <c r="CM97" s="1767">
        <v>0</v>
      </c>
      <c r="CN97" s="1767">
        <v>0</v>
      </c>
      <c r="CO97" s="1767">
        <v>0</v>
      </c>
      <c r="CP97" s="1767">
        <v>0</v>
      </c>
    </row>
    <row r="98" spans="1:94" ht="15" customHeight="1" x14ac:dyDescent="0.2">
      <c r="A98" s="1856"/>
      <c r="B98" s="1856"/>
      <c r="C98" s="653" t="s">
        <v>635</v>
      </c>
      <c r="D98" s="936"/>
      <c r="E98" s="1874"/>
      <c r="F98" s="1225"/>
      <c r="G98" s="1767">
        <v>0</v>
      </c>
      <c r="H98" s="1767">
        <v>0</v>
      </c>
      <c r="I98" s="1767">
        <v>0</v>
      </c>
      <c r="J98" s="1767">
        <v>0</v>
      </c>
      <c r="K98" s="1767">
        <v>0</v>
      </c>
      <c r="L98" s="1767">
        <v>0</v>
      </c>
      <c r="M98" s="1767">
        <v>0</v>
      </c>
      <c r="N98" s="1767">
        <v>0</v>
      </c>
      <c r="O98" s="1767">
        <v>0</v>
      </c>
      <c r="P98" s="1767">
        <v>0</v>
      </c>
      <c r="Q98" s="1767">
        <v>0</v>
      </c>
      <c r="R98" s="1767">
        <v>0</v>
      </c>
      <c r="S98" s="1767">
        <v>0</v>
      </c>
      <c r="T98" s="1767">
        <v>0</v>
      </c>
      <c r="U98" s="1767">
        <v>0</v>
      </c>
      <c r="V98" s="1767">
        <v>0</v>
      </c>
      <c r="W98" s="1767">
        <v>0</v>
      </c>
      <c r="X98" s="1767">
        <v>0</v>
      </c>
      <c r="Y98" s="1767">
        <v>0</v>
      </c>
      <c r="Z98" s="1767">
        <v>0</v>
      </c>
      <c r="AA98" s="1767">
        <v>0</v>
      </c>
      <c r="AB98" s="1767">
        <v>0</v>
      </c>
      <c r="AC98" s="1767">
        <v>0</v>
      </c>
      <c r="AD98" s="1767">
        <v>0</v>
      </c>
      <c r="AE98" s="1767">
        <v>0</v>
      </c>
      <c r="AF98" s="1767">
        <v>0</v>
      </c>
      <c r="AG98" s="1767">
        <v>0</v>
      </c>
      <c r="AH98" s="1767">
        <v>0</v>
      </c>
      <c r="AI98" s="1767">
        <v>0</v>
      </c>
      <c r="AJ98" s="1767">
        <v>0</v>
      </c>
      <c r="AK98" s="1767">
        <v>0</v>
      </c>
      <c r="AL98" s="1767">
        <v>0</v>
      </c>
      <c r="AM98" s="1767">
        <v>0</v>
      </c>
      <c r="AN98" s="1767">
        <v>0</v>
      </c>
      <c r="AO98" s="1767">
        <v>0</v>
      </c>
      <c r="AP98" s="1767">
        <v>0</v>
      </c>
      <c r="AQ98" s="1767">
        <v>0</v>
      </c>
      <c r="AR98" s="1767">
        <v>0</v>
      </c>
      <c r="AS98" s="1767">
        <v>0</v>
      </c>
      <c r="AT98" s="1767">
        <v>0</v>
      </c>
      <c r="AU98" s="1767">
        <v>0</v>
      </c>
      <c r="AV98" s="1767">
        <v>0</v>
      </c>
      <c r="AW98" s="1767">
        <v>0</v>
      </c>
      <c r="AX98" s="1767">
        <v>0</v>
      </c>
      <c r="AY98" s="1767">
        <v>0</v>
      </c>
      <c r="AZ98" s="1767">
        <v>0</v>
      </c>
      <c r="BA98" s="1767">
        <v>0</v>
      </c>
      <c r="BB98" s="1767">
        <v>0</v>
      </c>
      <c r="BC98" s="1767">
        <v>0</v>
      </c>
      <c r="BD98" s="1767">
        <v>0</v>
      </c>
      <c r="BE98" s="1767">
        <v>0</v>
      </c>
      <c r="BF98" s="1767">
        <v>0</v>
      </c>
      <c r="BG98" s="1767">
        <v>0</v>
      </c>
      <c r="BH98" s="1767">
        <v>0</v>
      </c>
      <c r="BI98" s="1767">
        <v>0</v>
      </c>
      <c r="BJ98" s="1767">
        <v>0</v>
      </c>
      <c r="BK98" s="1767">
        <v>0</v>
      </c>
      <c r="BL98" s="1767">
        <v>0</v>
      </c>
      <c r="BM98" s="1767">
        <v>0</v>
      </c>
      <c r="BN98" s="1767">
        <v>0</v>
      </c>
      <c r="BO98" s="1767">
        <v>0</v>
      </c>
      <c r="BP98" s="1767">
        <v>0</v>
      </c>
      <c r="BQ98" s="1767">
        <v>0</v>
      </c>
      <c r="BR98" s="1767">
        <v>0</v>
      </c>
      <c r="BS98" s="1767">
        <v>0</v>
      </c>
      <c r="BT98" s="1767">
        <v>0</v>
      </c>
      <c r="BU98" s="1767">
        <v>0</v>
      </c>
      <c r="BV98" s="1767">
        <v>0</v>
      </c>
      <c r="BW98" s="1767">
        <v>0</v>
      </c>
      <c r="BX98" s="1767">
        <v>0</v>
      </c>
      <c r="BY98" s="1767">
        <v>0</v>
      </c>
      <c r="BZ98" s="1767">
        <v>0</v>
      </c>
      <c r="CA98" s="1767">
        <v>0</v>
      </c>
      <c r="CB98" s="1767">
        <v>0</v>
      </c>
      <c r="CC98" s="1767">
        <v>0</v>
      </c>
      <c r="CD98" s="1767">
        <v>0</v>
      </c>
      <c r="CE98" s="1767">
        <v>0</v>
      </c>
      <c r="CF98" s="1767">
        <v>0</v>
      </c>
      <c r="CG98" s="1767">
        <v>0</v>
      </c>
      <c r="CH98" s="1767">
        <v>0</v>
      </c>
      <c r="CI98" s="1767">
        <v>0</v>
      </c>
      <c r="CJ98" s="1767">
        <v>0</v>
      </c>
      <c r="CK98" s="1767">
        <v>0</v>
      </c>
      <c r="CL98" s="1767">
        <v>0</v>
      </c>
      <c r="CM98" s="1767">
        <v>0</v>
      </c>
      <c r="CN98" s="1767">
        <v>0</v>
      </c>
      <c r="CO98" s="1767">
        <v>0</v>
      </c>
      <c r="CP98" s="1767">
        <v>0</v>
      </c>
    </row>
    <row r="99" spans="1:94" ht="15" customHeight="1" x14ac:dyDescent="0.2">
      <c r="A99" s="1856"/>
      <c r="B99" s="1856"/>
      <c r="C99" s="653" t="s">
        <v>636</v>
      </c>
      <c r="D99" s="936"/>
      <c r="E99" s="1874"/>
      <c r="F99" s="1225"/>
      <c r="G99" s="1767">
        <v>0</v>
      </c>
      <c r="H99" s="1767">
        <v>0</v>
      </c>
      <c r="I99" s="1767">
        <v>0</v>
      </c>
      <c r="J99" s="1767">
        <v>0</v>
      </c>
      <c r="K99" s="1767">
        <v>0</v>
      </c>
      <c r="L99" s="1767">
        <v>0</v>
      </c>
      <c r="M99" s="1767">
        <v>0</v>
      </c>
      <c r="N99" s="1767">
        <v>0</v>
      </c>
      <c r="O99" s="1767">
        <v>0</v>
      </c>
      <c r="P99" s="1767">
        <v>0</v>
      </c>
      <c r="Q99" s="1767">
        <v>0</v>
      </c>
      <c r="R99" s="1767">
        <v>0</v>
      </c>
      <c r="S99" s="1767">
        <v>0</v>
      </c>
      <c r="T99" s="1767">
        <v>0</v>
      </c>
      <c r="U99" s="1767">
        <v>0</v>
      </c>
      <c r="V99" s="1767">
        <v>0</v>
      </c>
      <c r="W99" s="1767">
        <v>0</v>
      </c>
      <c r="X99" s="1767">
        <v>0</v>
      </c>
      <c r="Y99" s="1767">
        <v>0</v>
      </c>
      <c r="Z99" s="1767">
        <v>0</v>
      </c>
      <c r="AA99" s="1767">
        <v>0</v>
      </c>
      <c r="AB99" s="1767">
        <v>0</v>
      </c>
      <c r="AC99" s="1767">
        <v>0</v>
      </c>
      <c r="AD99" s="1767">
        <v>0</v>
      </c>
      <c r="AE99" s="1767">
        <v>0</v>
      </c>
      <c r="AF99" s="1767">
        <v>0</v>
      </c>
      <c r="AG99" s="1767">
        <v>0</v>
      </c>
      <c r="AH99" s="1767">
        <v>0</v>
      </c>
      <c r="AI99" s="1767">
        <v>0</v>
      </c>
      <c r="AJ99" s="1767">
        <v>0</v>
      </c>
      <c r="AK99" s="1767">
        <v>0</v>
      </c>
      <c r="AL99" s="1767">
        <v>0</v>
      </c>
      <c r="AM99" s="1767">
        <v>0</v>
      </c>
      <c r="AN99" s="1767">
        <v>0</v>
      </c>
      <c r="AO99" s="1767">
        <v>0</v>
      </c>
      <c r="AP99" s="1767">
        <v>0</v>
      </c>
      <c r="AQ99" s="1767">
        <v>0</v>
      </c>
      <c r="AR99" s="1767">
        <v>0</v>
      </c>
      <c r="AS99" s="1767">
        <v>0</v>
      </c>
      <c r="AT99" s="1767">
        <v>0</v>
      </c>
      <c r="AU99" s="1767">
        <v>0</v>
      </c>
      <c r="AV99" s="1767">
        <v>0</v>
      </c>
      <c r="AW99" s="1767">
        <v>0</v>
      </c>
      <c r="AX99" s="1767">
        <v>0</v>
      </c>
      <c r="AY99" s="1767">
        <v>0</v>
      </c>
      <c r="AZ99" s="1767">
        <v>0</v>
      </c>
      <c r="BA99" s="1767">
        <v>0</v>
      </c>
      <c r="BB99" s="1767">
        <v>0</v>
      </c>
      <c r="BC99" s="1767">
        <v>0</v>
      </c>
      <c r="BD99" s="1767">
        <v>0</v>
      </c>
      <c r="BE99" s="1767">
        <v>0</v>
      </c>
      <c r="BF99" s="1767">
        <v>0</v>
      </c>
      <c r="BG99" s="1767">
        <v>0</v>
      </c>
      <c r="BH99" s="1767">
        <v>0</v>
      </c>
      <c r="BI99" s="1767">
        <v>0</v>
      </c>
      <c r="BJ99" s="1767">
        <v>0</v>
      </c>
      <c r="BK99" s="1767">
        <v>0</v>
      </c>
      <c r="BL99" s="1767">
        <v>0</v>
      </c>
      <c r="BM99" s="1767">
        <v>0</v>
      </c>
      <c r="BN99" s="1767">
        <v>0</v>
      </c>
      <c r="BO99" s="1767">
        <v>0</v>
      </c>
      <c r="BP99" s="1767">
        <v>0</v>
      </c>
      <c r="BQ99" s="1767">
        <v>0</v>
      </c>
      <c r="BR99" s="1767">
        <v>0</v>
      </c>
      <c r="BS99" s="1767">
        <v>0</v>
      </c>
      <c r="BT99" s="1767">
        <v>0</v>
      </c>
      <c r="BU99" s="1767">
        <v>0</v>
      </c>
      <c r="BV99" s="1767">
        <v>0</v>
      </c>
      <c r="BW99" s="1767">
        <v>0</v>
      </c>
      <c r="BX99" s="1767">
        <v>0</v>
      </c>
      <c r="BY99" s="1767">
        <v>0</v>
      </c>
      <c r="BZ99" s="1767">
        <v>0</v>
      </c>
      <c r="CA99" s="1767">
        <v>0</v>
      </c>
      <c r="CB99" s="1767">
        <v>0</v>
      </c>
      <c r="CC99" s="1767">
        <v>0</v>
      </c>
      <c r="CD99" s="1767">
        <v>0</v>
      </c>
      <c r="CE99" s="1767">
        <v>0</v>
      </c>
      <c r="CF99" s="1767">
        <v>0</v>
      </c>
      <c r="CG99" s="1767">
        <v>0</v>
      </c>
      <c r="CH99" s="1767">
        <v>0</v>
      </c>
      <c r="CI99" s="1767">
        <v>0</v>
      </c>
      <c r="CJ99" s="1767">
        <v>0</v>
      </c>
      <c r="CK99" s="1767">
        <v>0</v>
      </c>
      <c r="CL99" s="1767">
        <v>0</v>
      </c>
      <c r="CM99" s="1767">
        <v>0</v>
      </c>
      <c r="CN99" s="1767">
        <v>0</v>
      </c>
      <c r="CO99" s="1767">
        <v>0</v>
      </c>
      <c r="CP99" s="1767">
        <v>0</v>
      </c>
    </row>
    <row r="100" spans="1:94" ht="15" customHeight="1" thickBot="1" x14ac:dyDescent="0.25">
      <c r="A100" s="1856"/>
      <c r="B100" s="1856"/>
      <c r="C100" s="800" t="s">
        <v>2358</v>
      </c>
      <c r="D100" s="949"/>
      <c r="E100" s="1886"/>
      <c r="F100" s="1225"/>
      <c r="G100" s="1767">
        <v>0</v>
      </c>
      <c r="H100" s="1767">
        <v>0</v>
      </c>
      <c r="I100" s="1767">
        <v>0</v>
      </c>
      <c r="J100" s="1767">
        <v>0</v>
      </c>
      <c r="K100" s="1767">
        <v>0</v>
      </c>
      <c r="L100" s="1767">
        <v>0</v>
      </c>
      <c r="M100" s="1767">
        <v>0</v>
      </c>
      <c r="N100" s="1767">
        <v>0</v>
      </c>
      <c r="O100" s="1767">
        <v>0</v>
      </c>
      <c r="P100" s="1767">
        <v>0</v>
      </c>
      <c r="Q100" s="1767">
        <v>0</v>
      </c>
      <c r="R100" s="1767">
        <v>0</v>
      </c>
      <c r="S100" s="1767">
        <v>0</v>
      </c>
      <c r="T100" s="1767">
        <v>0</v>
      </c>
      <c r="U100" s="1767">
        <v>0</v>
      </c>
      <c r="V100" s="1767">
        <v>0</v>
      </c>
      <c r="W100" s="1767">
        <v>0</v>
      </c>
      <c r="X100" s="1767">
        <v>0</v>
      </c>
      <c r="Y100" s="1767">
        <v>0</v>
      </c>
      <c r="Z100" s="1767">
        <v>0</v>
      </c>
      <c r="AA100" s="1767">
        <v>0</v>
      </c>
      <c r="AB100" s="1767">
        <v>0</v>
      </c>
      <c r="AC100" s="1767">
        <v>0</v>
      </c>
      <c r="AD100" s="1767">
        <v>0</v>
      </c>
      <c r="AE100" s="1767">
        <v>0</v>
      </c>
      <c r="AF100" s="1767">
        <v>0</v>
      </c>
      <c r="AG100" s="1767">
        <v>0</v>
      </c>
      <c r="AH100" s="1767">
        <v>0</v>
      </c>
      <c r="AI100" s="1767">
        <v>0</v>
      </c>
      <c r="AJ100" s="1767">
        <v>0</v>
      </c>
      <c r="AK100" s="1767">
        <v>0</v>
      </c>
      <c r="AL100" s="1767">
        <v>0</v>
      </c>
      <c r="AM100" s="1767">
        <v>0</v>
      </c>
      <c r="AN100" s="1767">
        <v>0</v>
      </c>
      <c r="AO100" s="1767">
        <v>0</v>
      </c>
      <c r="AP100" s="1767">
        <v>0</v>
      </c>
      <c r="AQ100" s="1767">
        <v>0</v>
      </c>
      <c r="AR100" s="1767">
        <v>0</v>
      </c>
      <c r="AS100" s="1767">
        <v>0</v>
      </c>
      <c r="AT100" s="1767">
        <v>0</v>
      </c>
      <c r="AU100" s="1767">
        <v>0</v>
      </c>
      <c r="AV100" s="1767">
        <v>0</v>
      </c>
      <c r="AW100" s="1767">
        <v>0</v>
      </c>
      <c r="AX100" s="1767">
        <v>0</v>
      </c>
      <c r="AY100" s="1767">
        <v>0</v>
      </c>
      <c r="AZ100" s="1767">
        <v>0</v>
      </c>
      <c r="BA100" s="1767">
        <v>0</v>
      </c>
      <c r="BB100" s="1767">
        <v>0</v>
      </c>
      <c r="BC100" s="1767">
        <v>0</v>
      </c>
      <c r="BD100" s="1767">
        <v>0</v>
      </c>
      <c r="BE100" s="1767">
        <v>0</v>
      </c>
      <c r="BF100" s="1767">
        <v>0</v>
      </c>
      <c r="BG100" s="1767">
        <v>0</v>
      </c>
      <c r="BH100" s="1767">
        <v>0</v>
      </c>
      <c r="BI100" s="1767">
        <v>0</v>
      </c>
      <c r="BJ100" s="1767">
        <v>0</v>
      </c>
      <c r="BK100" s="1767">
        <v>0</v>
      </c>
      <c r="BL100" s="1767">
        <v>0</v>
      </c>
      <c r="BM100" s="1767">
        <v>0</v>
      </c>
      <c r="BN100" s="1767">
        <v>0</v>
      </c>
      <c r="BO100" s="1767">
        <v>0</v>
      </c>
      <c r="BP100" s="1767">
        <v>0</v>
      </c>
      <c r="BQ100" s="1767">
        <v>0</v>
      </c>
      <c r="BR100" s="1767">
        <v>0</v>
      </c>
      <c r="BS100" s="1767">
        <v>0</v>
      </c>
      <c r="BT100" s="1767">
        <v>0</v>
      </c>
      <c r="BU100" s="1767">
        <v>0</v>
      </c>
      <c r="BV100" s="1767">
        <v>0</v>
      </c>
      <c r="BW100" s="1767">
        <v>0</v>
      </c>
      <c r="BX100" s="1767">
        <v>0</v>
      </c>
      <c r="BY100" s="1767">
        <v>0</v>
      </c>
      <c r="BZ100" s="1767">
        <v>0</v>
      </c>
      <c r="CA100" s="1767">
        <v>0</v>
      </c>
      <c r="CB100" s="1767">
        <v>0</v>
      </c>
      <c r="CC100" s="1767">
        <v>0</v>
      </c>
      <c r="CD100" s="1767">
        <v>0</v>
      </c>
      <c r="CE100" s="1767">
        <v>0</v>
      </c>
      <c r="CF100" s="1767">
        <v>0</v>
      </c>
      <c r="CG100" s="1767">
        <v>0</v>
      </c>
      <c r="CH100" s="1767">
        <v>0</v>
      </c>
      <c r="CI100" s="1767">
        <v>0</v>
      </c>
      <c r="CJ100" s="1767">
        <v>0</v>
      </c>
      <c r="CK100" s="1767">
        <v>0</v>
      </c>
      <c r="CL100" s="1767">
        <v>0</v>
      </c>
      <c r="CM100" s="1767">
        <v>0</v>
      </c>
      <c r="CN100" s="1767">
        <v>0</v>
      </c>
      <c r="CO100" s="1767">
        <v>0</v>
      </c>
      <c r="CP100" s="1767">
        <v>0</v>
      </c>
    </row>
    <row r="101" spans="1:94" s="58" customFormat="1" ht="21" customHeight="1" thickBot="1" x14ac:dyDescent="0.25">
      <c r="A101" s="1846" t="s">
        <v>1293</v>
      </c>
      <c r="B101" s="1846" t="s">
        <v>443</v>
      </c>
      <c r="C101" s="1780" t="s">
        <v>2516</v>
      </c>
      <c r="D101" s="947"/>
      <c r="E101" s="1873" t="s">
        <v>1830</v>
      </c>
      <c r="F101" s="1225"/>
      <c r="G101" s="1742"/>
      <c r="H101" s="1742"/>
      <c r="I101" s="1742"/>
      <c r="J101" s="1742"/>
      <c r="K101" s="1742"/>
      <c r="L101" s="1742"/>
      <c r="M101" s="1742"/>
      <c r="N101" s="1742"/>
      <c r="O101" s="1742"/>
      <c r="P101" s="1742"/>
      <c r="Q101" s="1742"/>
      <c r="R101" s="1742"/>
      <c r="S101" s="1742"/>
      <c r="T101" s="1742"/>
      <c r="U101" s="1742"/>
      <c r="V101" s="1742"/>
      <c r="W101" s="1742"/>
      <c r="X101" s="1742"/>
      <c r="Y101" s="1742"/>
      <c r="Z101" s="1742"/>
      <c r="AA101" s="1742"/>
      <c r="AB101" s="1742"/>
      <c r="AC101" s="1742"/>
      <c r="AD101" s="1742"/>
      <c r="AE101" s="1742"/>
      <c r="AF101" s="1742"/>
      <c r="AG101" s="1742"/>
      <c r="AH101" s="1742"/>
      <c r="AI101" s="1742"/>
      <c r="AJ101" s="1742"/>
      <c r="AK101" s="1742"/>
      <c r="AL101" s="1742"/>
      <c r="AM101" s="1742"/>
      <c r="AN101" s="1742"/>
      <c r="AO101" s="1742"/>
      <c r="AP101" s="1742"/>
      <c r="AQ101" s="1742"/>
      <c r="AR101" s="1742"/>
      <c r="AS101" s="1742"/>
      <c r="AT101" s="1742"/>
      <c r="AU101" s="1742"/>
      <c r="AV101" s="1742"/>
      <c r="AW101" s="1742"/>
      <c r="AX101" s="1742"/>
      <c r="AY101" s="1742"/>
      <c r="AZ101" s="1742"/>
      <c r="BA101" s="1742"/>
      <c r="BB101" s="1742"/>
      <c r="BC101" s="1742"/>
      <c r="BD101" s="1742"/>
      <c r="BE101" s="1742"/>
      <c r="BF101" s="1742"/>
      <c r="BG101" s="1742"/>
      <c r="BH101" s="1742"/>
      <c r="BI101" s="1742"/>
      <c r="BJ101" s="1742"/>
      <c r="BK101" s="1742"/>
      <c r="BL101" s="1742"/>
      <c r="BM101" s="1742"/>
      <c r="BN101" s="1742"/>
      <c r="BO101" s="1742"/>
      <c r="BP101" s="1742"/>
      <c r="BQ101" s="1742"/>
      <c r="BR101" s="1742"/>
      <c r="BS101" s="1742"/>
      <c r="BT101" s="1742"/>
      <c r="BU101" s="1742"/>
      <c r="BV101" s="1742"/>
      <c r="BW101" s="1742"/>
      <c r="BX101" s="1742"/>
      <c r="BY101" s="1742"/>
      <c r="BZ101" s="1742"/>
      <c r="CA101" s="1742"/>
      <c r="CB101" s="1742"/>
      <c r="CC101" s="1742"/>
      <c r="CD101" s="1742"/>
      <c r="CE101" s="1742"/>
      <c r="CF101" s="1742"/>
      <c r="CG101" s="1742"/>
      <c r="CH101" s="1742"/>
      <c r="CI101" s="1742"/>
      <c r="CJ101" s="1742"/>
      <c r="CK101" s="1742"/>
      <c r="CL101" s="1742"/>
      <c r="CM101" s="1742"/>
      <c r="CN101" s="1742"/>
      <c r="CO101" s="1742"/>
      <c r="CP101" s="1742"/>
    </row>
    <row r="102" spans="1:94" s="58" customFormat="1" ht="15" customHeight="1" x14ac:dyDescent="0.2">
      <c r="A102" s="1847"/>
      <c r="B102" s="1856"/>
      <c r="C102" s="652" t="s">
        <v>2101</v>
      </c>
      <c r="D102" s="936"/>
      <c r="E102" s="1874"/>
      <c r="F102" s="1225"/>
      <c r="G102" s="1767">
        <v>0</v>
      </c>
      <c r="H102" s="1767">
        <v>0</v>
      </c>
      <c r="I102" s="1767">
        <v>0</v>
      </c>
      <c r="J102" s="1767">
        <v>0</v>
      </c>
      <c r="K102" s="1767">
        <v>0</v>
      </c>
      <c r="L102" s="1767">
        <v>0</v>
      </c>
      <c r="M102" s="1767">
        <v>0</v>
      </c>
      <c r="N102" s="1767">
        <v>0</v>
      </c>
      <c r="O102" s="1767">
        <v>0</v>
      </c>
      <c r="P102" s="1767">
        <v>0</v>
      </c>
      <c r="Q102" s="1767">
        <v>0</v>
      </c>
      <c r="R102" s="1767">
        <v>0</v>
      </c>
      <c r="S102" s="1767">
        <v>0</v>
      </c>
      <c r="T102" s="1767">
        <v>0</v>
      </c>
      <c r="U102" s="1767">
        <v>0</v>
      </c>
      <c r="V102" s="1767">
        <v>0</v>
      </c>
      <c r="W102" s="1767">
        <v>0</v>
      </c>
      <c r="X102" s="1767">
        <v>0</v>
      </c>
      <c r="Y102" s="1767">
        <v>0</v>
      </c>
      <c r="Z102" s="1767">
        <v>0</v>
      </c>
      <c r="AA102" s="1767">
        <v>0</v>
      </c>
      <c r="AB102" s="1767">
        <v>0</v>
      </c>
      <c r="AC102" s="1767">
        <v>0</v>
      </c>
      <c r="AD102" s="1767">
        <v>0</v>
      </c>
      <c r="AE102" s="1767">
        <v>0</v>
      </c>
      <c r="AF102" s="1767">
        <v>0</v>
      </c>
      <c r="AG102" s="1767">
        <v>0</v>
      </c>
      <c r="AH102" s="1767">
        <v>0</v>
      </c>
      <c r="AI102" s="1767">
        <v>0</v>
      </c>
      <c r="AJ102" s="1767">
        <v>0</v>
      </c>
      <c r="AK102" s="1767">
        <v>0</v>
      </c>
      <c r="AL102" s="1767">
        <v>0</v>
      </c>
      <c r="AM102" s="1767">
        <v>0</v>
      </c>
      <c r="AN102" s="1767">
        <v>0</v>
      </c>
      <c r="AO102" s="1767">
        <v>0</v>
      </c>
      <c r="AP102" s="1767">
        <v>0</v>
      </c>
      <c r="AQ102" s="1767">
        <v>0</v>
      </c>
      <c r="AR102" s="1767">
        <v>0</v>
      </c>
      <c r="AS102" s="1767">
        <v>0</v>
      </c>
      <c r="AT102" s="1767">
        <v>0</v>
      </c>
      <c r="AU102" s="1767">
        <v>0</v>
      </c>
      <c r="AV102" s="1767">
        <v>0</v>
      </c>
      <c r="AW102" s="1767">
        <v>0</v>
      </c>
      <c r="AX102" s="1767">
        <v>0</v>
      </c>
      <c r="AY102" s="1767">
        <v>0</v>
      </c>
      <c r="AZ102" s="1767">
        <v>0</v>
      </c>
      <c r="BA102" s="1767">
        <v>0</v>
      </c>
      <c r="BB102" s="1767">
        <v>0</v>
      </c>
      <c r="BC102" s="1767">
        <v>0</v>
      </c>
      <c r="BD102" s="1767">
        <v>0</v>
      </c>
      <c r="BE102" s="1767">
        <v>0</v>
      </c>
      <c r="BF102" s="1767">
        <v>0</v>
      </c>
      <c r="BG102" s="1767">
        <v>0</v>
      </c>
      <c r="BH102" s="1767">
        <v>0</v>
      </c>
      <c r="BI102" s="1767">
        <v>0</v>
      </c>
      <c r="BJ102" s="1767">
        <v>0</v>
      </c>
      <c r="BK102" s="1767">
        <v>0</v>
      </c>
      <c r="BL102" s="1767">
        <v>0</v>
      </c>
      <c r="BM102" s="1767">
        <v>0</v>
      </c>
      <c r="BN102" s="1767">
        <v>0</v>
      </c>
      <c r="BO102" s="1767">
        <v>0</v>
      </c>
      <c r="BP102" s="1767">
        <v>0</v>
      </c>
      <c r="BQ102" s="1767">
        <v>0</v>
      </c>
      <c r="BR102" s="1767">
        <v>0</v>
      </c>
      <c r="BS102" s="1767">
        <v>0</v>
      </c>
      <c r="BT102" s="1767">
        <v>0</v>
      </c>
      <c r="BU102" s="1767">
        <v>0</v>
      </c>
      <c r="BV102" s="1767">
        <v>0</v>
      </c>
      <c r="BW102" s="1767">
        <v>0</v>
      </c>
      <c r="BX102" s="1767">
        <v>0</v>
      </c>
      <c r="BY102" s="1767">
        <v>0</v>
      </c>
      <c r="BZ102" s="1767">
        <v>0</v>
      </c>
      <c r="CA102" s="1767">
        <v>0</v>
      </c>
      <c r="CB102" s="1767">
        <v>0</v>
      </c>
      <c r="CC102" s="1767">
        <v>0</v>
      </c>
      <c r="CD102" s="1767">
        <v>0</v>
      </c>
      <c r="CE102" s="1767">
        <v>0</v>
      </c>
      <c r="CF102" s="1767">
        <v>0</v>
      </c>
      <c r="CG102" s="1767">
        <v>0</v>
      </c>
      <c r="CH102" s="1767">
        <v>0</v>
      </c>
      <c r="CI102" s="1767">
        <v>0</v>
      </c>
      <c r="CJ102" s="1767">
        <v>0</v>
      </c>
      <c r="CK102" s="1767">
        <v>0</v>
      </c>
      <c r="CL102" s="1767">
        <v>0</v>
      </c>
      <c r="CM102" s="1767">
        <v>0</v>
      </c>
      <c r="CN102" s="1767">
        <v>0</v>
      </c>
      <c r="CO102" s="1767">
        <v>0</v>
      </c>
      <c r="CP102" s="1767">
        <v>0</v>
      </c>
    </row>
    <row r="103" spans="1:94" s="58" customFormat="1" ht="15" customHeight="1" x14ac:dyDescent="0.2">
      <c r="A103" s="1847"/>
      <c r="B103" s="1856"/>
      <c r="C103" s="653" t="s">
        <v>2102</v>
      </c>
      <c r="D103" s="936"/>
      <c r="E103" s="1874"/>
      <c r="F103" s="1225"/>
      <c r="G103" s="1767">
        <v>0</v>
      </c>
      <c r="H103" s="1767">
        <v>0</v>
      </c>
      <c r="I103" s="1767">
        <v>0</v>
      </c>
      <c r="J103" s="1767">
        <v>0</v>
      </c>
      <c r="K103" s="1767">
        <v>0</v>
      </c>
      <c r="L103" s="1767">
        <v>0</v>
      </c>
      <c r="M103" s="1767">
        <v>0</v>
      </c>
      <c r="N103" s="1767">
        <v>0</v>
      </c>
      <c r="O103" s="1767">
        <v>0</v>
      </c>
      <c r="P103" s="1767">
        <v>0</v>
      </c>
      <c r="Q103" s="1767">
        <v>0</v>
      </c>
      <c r="R103" s="1767">
        <v>0</v>
      </c>
      <c r="S103" s="1767">
        <v>0</v>
      </c>
      <c r="T103" s="1767">
        <v>0</v>
      </c>
      <c r="U103" s="1767">
        <v>0</v>
      </c>
      <c r="V103" s="1767">
        <v>0</v>
      </c>
      <c r="W103" s="1767">
        <v>0</v>
      </c>
      <c r="X103" s="1767">
        <v>0</v>
      </c>
      <c r="Y103" s="1767">
        <v>0</v>
      </c>
      <c r="Z103" s="1767">
        <v>0</v>
      </c>
      <c r="AA103" s="1767">
        <v>0</v>
      </c>
      <c r="AB103" s="1767">
        <v>0</v>
      </c>
      <c r="AC103" s="1767">
        <v>0</v>
      </c>
      <c r="AD103" s="1767">
        <v>0</v>
      </c>
      <c r="AE103" s="1767">
        <v>0</v>
      </c>
      <c r="AF103" s="1767">
        <v>0</v>
      </c>
      <c r="AG103" s="1767">
        <v>0</v>
      </c>
      <c r="AH103" s="1767">
        <v>0</v>
      </c>
      <c r="AI103" s="1767">
        <v>0</v>
      </c>
      <c r="AJ103" s="1767">
        <v>0</v>
      </c>
      <c r="AK103" s="1767">
        <v>0</v>
      </c>
      <c r="AL103" s="1767">
        <v>0</v>
      </c>
      <c r="AM103" s="1767">
        <v>0</v>
      </c>
      <c r="AN103" s="1767">
        <v>0</v>
      </c>
      <c r="AO103" s="1767">
        <v>0</v>
      </c>
      <c r="AP103" s="1767">
        <v>0</v>
      </c>
      <c r="AQ103" s="1767">
        <v>0</v>
      </c>
      <c r="AR103" s="1767">
        <v>0</v>
      </c>
      <c r="AS103" s="1767">
        <v>0</v>
      </c>
      <c r="AT103" s="1767">
        <v>0</v>
      </c>
      <c r="AU103" s="1767">
        <v>0</v>
      </c>
      <c r="AV103" s="1767">
        <v>0</v>
      </c>
      <c r="AW103" s="1767">
        <v>0</v>
      </c>
      <c r="AX103" s="1767">
        <v>0</v>
      </c>
      <c r="AY103" s="1767">
        <v>0</v>
      </c>
      <c r="AZ103" s="1767">
        <v>0</v>
      </c>
      <c r="BA103" s="1767">
        <v>0</v>
      </c>
      <c r="BB103" s="1767">
        <v>0</v>
      </c>
      <c r="BC103" s="1767">
        <v>0</v>
      </c>
      <c r="BD103" s="1767">
        <v>0</v>
      </c>
      <c r="BE103" s="1767">
        <v>0</v>
      </c>
      <c r="BF103" s="1767">
        <v>0</v>
      </c>
      <c r="BG103" s="1767">
        <v>0</v>
      </c>
      <c r="BH103" s="1767">
        <v>0</v>
      </c>
      <c r="BI103" s="1767">
        <v>0</v>
      </c>
      <c r="BJ103" s="1767">
        <v>0</v>
      </c>
      <c r="BK103" s="1767">
        <v>0</v>
      </c>
      <c r="BL103" s="1767">
        <v>0</v>
      </c>
      <c r="BM103" s="1767">
        <v>0</v>
      </c>
      <c r="BN103" s="1767">
        <v>0</v>
      </c>
      <c r="BO103" s="1767">
        <v>0</v>
      </c>
      <c r="BP103" s="1767">
        <v>0</v>
      </c>
      <c r="BQ103" s="1767">
        <v>0</v>
      </c>
      <c r="BR103" s="1767">
        <v>0</v>
      </c>
      <c r="BS103" s="1767">
        <v>0</v>
      </c>
      <c r="BT103" s="1767">
        <v>0</v>
      </c>
      <c r="BU103" s="1767">
        <v>0</v>
      </c>
      <c r="BV103" s="1767">
        <v>0</v>
      </c>
      <c r="BW103" s="1767">
        <v>0</v>
      </c>
      <c r="BX103" s="1767">
        <v>0</v>
      </c>
      <c r="BY103" s="1767">
        <v>0</v>
      </c>
      <c r="BZ103" s="1767">
        <v>0</v>
      </c>
      <c r="CA103" s="1767">
        <v>0</v>
      </c>
      <c r="CB103" s="1767">
        <v>0</v>
      </c>
      <c r="CC103" s="1767">
        <v>0</v>
      </c>
      <c r="CD103" s="1767">
        <v>0</v>
      </c>
      <c r="CE103" s="1767">
        <v>0</v>
      </c>
      <c r="CF103" s="1767">
        <v>0</v>
      </c>
      <c r="CG103" s="1767">
        <v>0</v>
      </c>
      <c r="CH103" s="1767">
        <v>0</v>
      </c>
      <c r="CI103" s="1767">
        <v>0</v>
      </c>
      <c r="CJ103" s="1767">
        <v>0</v>
      </c>
      <c r="CK103" s="1767">
        <v>0</v>
      </c>
      <c r="CL103" s="1767">
        <v>0</v>
      </c>
      <c r="CM103" s="1767">
        <v>0</v>
      </c>
      <c r="CN103" s="1767">
        <v>0</v>
      </c>
      <c r="CO103" s="1767">
        <v>0</v>
      </c>
      <c r="CP103" s="1767">
        <v>0</v>
      </c>
    </row>
    <row r="104" spans="1:94" s="58" customFormat="1" ht="15" customHeight="1" x14ac:dyDescent="0.2">
      <c r="A104" s="1847"/>
      <c r="B104" s="1856"/>
      <c r="C104" s="653" t="s">
        <v>2103</v>
      </c>
      <c r="D104" s="936"/>
      <c r="E104" s="1874"/>
      <c r="F104" s="1225"/>
      <c r="G104" s="1767">
        <v>0</v>
      </c>
      <c r="H104" s="1767">
        <v>0</v>
      </c>
      <c r="I104" s="1767">
        <v>0</v>
      </c>
      <c r="J104" s="1767">
        <v>0</v>
      </c>
      <c r="K104" s="1767">
        <v>0</v>
      </c>
      <c r="L104" s="1767">
        <v>0</v>
      </c>
      <c r="M104" s="1767">
        <v>0</v>
      </c>
      <c r="N104" s="1767">
        <v>0</v>
      </c>
      <c r="O104" s="1767">
        <v>0</v>
      </c>
      <c r="P104" s="1767">
        <v>0</v>
      </c>
      <c r="Q104" s="1767">
        <v>0</v>
      </c>
      <c r="R104" s="1767">
        <v>0</v>
      </c>
      <c r="S104" s="1767">
        <v>0</v>
      </c>
      <c r="T104" s="1767">
        <v>0</v>
      </c>
      <c r="U104" s="1767">
        <v>0</v>
      </c>
      <c r="V104" s="1767">
        <v>0</v>
      </c>
      <c r="W104" s="1767">
        <v>0</v>
      </c>
      <c r="X104" s="1767">
        <v>0</v>
      </c>
      <c r="Y104" s="1767">
        <v>0</v>
      </c>
      <c r="Z104" s="1767">
        <v>0</v>
      </c>
      <c r="AA104" s="1767">
        <v>0</v>
      </c>
      <c r="AB104" s="1767">
        <v>0</v>
      </c>
      <c r="AC104" s="1767">
        <v>0</v>
      </c>
      <c r="AD104" s="1767">
        <v>0</v>
      </c>
      <c r="AE104" s="1767">
        <v>0</v>
      </c>
      <c r="AF104" s="1767">
        <v>0</v>
      </c>
      <c r="AG104" s="1767">
        <v>0</v>
      </c>
      <c r="AH104" s="1767">
        <v>0</v>
      </c>
      <c r="AI104" s="1767">
        <v>0</v>
      </c>
      <c r="AJ104" s="1767">
        <v>0</v>
      </c>
      <c r="AK104" s="1767">
        <v>0</v>
      </c>
      <c r="AL104" s="1767">
        <v>0</v>
      </c>
      <c r="AM104" s="1767">
        <v>0</v>
      </c>
      <c r="AN104" s="1767">
        <v>0</v>
      </c>
      <c r="AO104" s="1767">
        <v>0</v>
      </c>
      <c r="AP104" s="1767">
        <v>0</v>
      </c>
      <c r="AQ104" s="1767">
        <v>0</v>
      </c>
      <c r="AR104" s="1767">
        <v>0</v>
      </c>
      <c r="AS104" s="1767">
        <v>0</v>
      </c>
      <c r="AT104" s="1767">
        <v>0</v>
      </c>
      <c r="AU104" s="1767">
        <v>0</v>
      </c>
      <c r="AV104" s="1767">
        <v>0</v>
      </c>
      <c r="AW104" s="1767">
        <v>0</v>
      </c>
      <c r="AX104" s="1767">
        <v>0</v>
      </c>
      <c r="AY104" s="1767">
        <v>0</v>
      </c>
      <c r="AZ104" s="1767">
        <v>0</v>
      </c>
      <c r="BA104" s="1767">
        <v>0</v>
      </c>
      <c r="BB104" s="1767">
        <v>0</v>
      </c>
      <c r="BC104" s="1767">
        <v>0</v>
      </c>
      <c r="BD104" s="1767">
        <v>0</v>
      </c>
      <c r="BE104" s="1767">
        <v>0</v>
      </c>
      <c r="BF104" s="1767">
        <v>0</v>
      </c>
      <c r="BG104" s="1767">
        <v>0</v>
      </c>
      <c r="BH104" s="1767">
        <v>0</v>
      </c>
      <c r="BI104" s="1767">
        <v>0</v>
      </c>
      <c r="BJ104" s="1767">
        <v>0</v>
      </c>
      <c r="BK104" s="1767">
        <v>0</v>
      </c>
      <c r="BL104" s="1767">
        <v>0</v>
      </c>
      <c r="BM104" s="1767">
        <v>0</v>
      </c>
      <c r="BN104" s="1767">
        <v>0</v>
      </c>
      <c r="BO104" s="1767">
        <v>0</v>
      </c>
      <c r="BP104" s="1767">
        <v>0</v>
      </c>
      <c r="BQ104" s="1767">
        <v>0</v>
      </c>
      <c r="BR104" s="1767">
        <v>0</v>
      </c>
      <c r="BS104" s="1767">
        <v>0</v>
      </c>
      <c r="BT104" s="1767">
        <v>0</v>
      </c>
      <c r="BU104" s="1767">
        <v>0</v>
      </c>
      <c r="BV104" s="1767">
        <v>0</v>
      </c>
      <c r="BW104" s="1767">
        <v>0</v>
      </c>
      <c r="BX104" s="1767">
        <v>0</v>
      </c>
      <c r="BY104" s="1767">
        <v>0</v>
      </c>
      <c r="BZ104" s="1767">
        <v>0</v>
      </c>
      <c r="CA104" s="1767">
        <v>0</v>
      </c>
      <c r="CB104" s="1767">
        <v>0</v>
      </c>
      <c r="CC104" s="1767">
        <v>0</v>
      </c>
      <c r="CD104" s="1767">
        <v>0</v>
      </c>
      <c r="CE104" s="1767">
        <v>0</v>
      </c>
      <c r="CF104" s="1767">
        <v>0</v>
      </c>
      <c r="CG104" s="1767">
        <v>0</v>
      </c>
      <c r="CH104" s="1767">
        <v>0</v>
      </c>
      <c r="CI104" s="1767">
        <v>0</v>
      </c>
      <c r="CJ104" s="1767">
        <v>0</v>
      </c>
      <c r="CK104" s="1767">
        <v>0</v>
      </c>
      <c r="CL104" s="1767">
        <v>0</v>
      </c>
      <c r="CM104" s="1767">
        <v>0</v>
      </c>
      <c r="CN104" s="1767">
        <v>0</v>
      </c>
      <c r="CO104" s="1767">
        <v>0</v>
      </c>
      <c r="CP104" s="1767">
        <v>0</v>
      </c>
    </row>
    <row r="105" spans="1:94" s="58" customFormat="1" ht="15" customHeight="1" x14ac:dyDescent="0.2">
      <c r="A105" s="1847"/>
      <c r="B105" s="1856"/>
      <c r="C105" s="653" t="s">
        <v>2104</v>
      </c>
      <c r="D105" s="936"/>
      <c r="E105" s="1874"/>
      <c r="F105" s="1225"/>
      <c r="G105" s="1767">
        <v>0</v>
      </c>
      <c r="H105" s="1767">
        <v>0</v>
      </c>
      <c r="I105" s="1767">
        <v>0</v>
      </c>
      <c r="J105" s="1767">
        <v>0</v>
      </c>
      <c r="K105" s="1767">
        <v>0</v>
      </c>
      <c r="L105" s="1767">
        <v>0</v>
      </c>
      <c r="M105" s="1767">
        <v>0</v>
      </c>
      <c r="N105" s="1767">
        <v>0</v>
      </c>
      <c r="O105" s="1767">
        <v>0</v>
      </c>
      <c r="P105" s="1767">
        <v>0</v>
      </c>
      <c r="Q105" s="1767">
        <v>0</v>
      </c>
      <c r="R105" s="1767">
        <v>0</v>
      </c>
      <c r="S105" s="1767">
        <v>0</v>
      </c>
      <c r="T105" s="1767">
        <v>0</v>
      </c>
      <c r="U105" s="1767">
        <v>0</v>
      </c>
      <c r="V105" s="1767">
        <v>0</v>
      </c>
      <c r="W105" s="1767">
        <v>0</v>
      </c>
      <c r="X105" s="1767">
        <v>0</v>
      </c>
      <c r="Y105" s="1767">
        <v>0</v>
      </c>
      <c r="Z105" s="1767">
        <v>0</v>
      </c>
      <c r="AA105" s="1767">
        <v>0</v>
      </c>
      <c r="AB105" s="1767">
        <v>0</v>
      </c>
      <c r="AC105" s="1767">
        <v>0</v>
      </c>
      <c r="AD105" s="1767">
        <v>0</v>
      </c>
      <c r="AE105" s="1767">
        <v>0</v>
      </c>
      <c r="AF105" s="1767">
        <v>0</v>
      </c>
      <c r="AG105" s="1767">
        <v>0</v>
      </c>
      <c r="AH105" s="1767">
        <v>0</v>
      </c>
      <c r="AI105" s="1767">
        <v>0</v>
      </c>
      <c r="AJ105" s="1767">
        <v>0</v>
      </c>
      <c r="AK105" s="1767">
        <v>0</v>
      </c>
      <c r="AL105" s="1767">
        <v>0</v>
      </c>
      <c r="AM105" s="1767">
        <v>0</v>
      </c>
      <c r="AN105" s="1767">
        <v>0</v>
      </c>
      <c r="AO105" s="1767">
        <v>0</v>
      </c>
      <c r="AP105" s="1767">
        <v>0</v>
      </c>
      <c r="AQ105" s="1767">
        <v>0</v>
      </c>
      <c r="AR105" s="1767">
        <v>0</v>
      </c>
      <c r="AS105" s="1767">
        <v>0</v>
      </c>
      <c r="AT105" s="1767">
        <v>0</v>
      </c>
      <c r="AU105" s="1767">
        <v>0</v>
      </c>
      <c r="AV105" s="1767">
        <v>0</v>
      </c>
      <c r="AW105" s="1767">
        <v>0</v>
      </c>
      <c r="AX105" s="1767">
        <v>0</v>
      </c>
      <c r="AY105" s="1767">
        <v>0</v>
      </c>
      <c r="AZ105" s="1767">
        <v>0</v>
      </c>
      <c r="BA105" s="1767">
        <v>0</v>
      </c>
      <c r="BB105" s="1767">
        <v>0</v>
      </c>
      <c r="BC105" s="1767">
        <v>0</v>
      </c>
      <c r="BD105" s="1767">
        <v>0</v>
      </c>
      <c r="BE105" s="1767">
        <v>0</v>
      </c>
      <c r="BF105" s="1767">
        <v>0</v>
      </c>
      <c r="BG105" s="1767">
        <v>0</v>
      </c>
      <c r="BH105" s="1767">
        <v>0</v>
      </c>
      <c r="BI105" s="1767">
        <v>0</v>
      </c>
      <c r="BJ105" s="1767">
        <v>0</v>
      </c>
      <c r="BK105" s="1767">
        <v>0</v>
      </c>
      <c r="BL105" s="1767">
        <v>0</v>
      </c>
      <c r="BM105" s="1767">
        <v>0</v>
      </c>
      <c r="BN105" s="1767">
        <v>0</v>
      </c>
      <c r="BO105" s="1767">
        <v>0</v>
      </c>
      <c r="BP105" s="1767">
        <v>0</v>
      </c>
      <c r="BQ105" s="1767">
        <v>0</v>
      </c>
      <c r="BR105" s="1767">
        <v>0</v>
      </c>
      <c r="BS105" s="1767">
        <v>0</v>
      </c>
      <c r="BT105" s="1767">
        <v>0</v>
      </c>
      <c r="BU105" s="1767">
        <v>0</v>
      </c>
      <c r="BV105" s="1767">
        <v>0</v>
      </c>
      <c r="BW105" s="1767">
        <v>0</v>
      </c>
      <c r="BX105" s="1767">
        <v>0</v>
      </c>
      <c r="BY105" s="1767">
        <v>0</v>
      </c>
      <c r="BZ105" s="1767">
        <v>0</v>
      </c>
      <c r="CA105" s="1767">
        <v>0</v>
      </c>
      <c r="CB105" s="1767">
        <v>0</v>
      </c>
      <c r="CC105" s="1767">
        <v>0</v>
      </c>
      <c r="CD105" s="1767">
        <v>0</v>
      </c>
      <c r="CE105" s="1767">
        <v>0</v>
      </c>
      <c r="CF105" s="1767">
        <v>0</v>
      </c>
      <c r="CG105" s="1767">
        <v>0</v>
      </c>
      <c r="CH105" s="1767">
        <v>0</v>
      </c>
      <c r="CI105" s="1767">
        <v>0</v>
      </c>
      <c r="CJ105" s="1767">
        <v>0</v>
      </c>
      <c r="CK105" s="1767">
        <v>0</v>
      </c>
      <c r="CL105" s="1767">
        <v>0</v>
      </c>
      <c r="CM105" s="1767">
        <v>0</v>
      </c>
      <c r="CN105" s="1767">
        <v>0</v>
      </c>
      <c r="CO105" s="1767">
        <v>0</v>
      </c>
      <c r="CP105" s="1767">
        <v>0</v>
      </c>
    </row>
    <row r="106" spans="1:94" s="58" customFormat="1" ht="15" customHeight="1" thickBot="1" x14ac:dyDescent="0.25">
      <c r="A106" s="1848"/>
      <c r="B106" s="1857"/>
      <c r="C106" s="654" t="s">
        <v>2105</v>
      </c>
      <c r="D106" s="950"/>
      <c r="E106" s="1875"/>
      <c r="F106" s="1225"/>
      <c r="G106" s="1767">
        <v>0</v>
      </c>
      <c r="H106" s="1767">
        <v>0</v>
      </c>
      <c r="I106" s="1767">
        <v>0</v>
      </c>
      <c r="J106" s="1767">
        <v>0</v>
      </c>
      <c r="K106" s="1767">
        <v>0</v>
      </c>
      <c r="L106" s="1767">
        <v>0</v>
      </c>
      <c r="M106" s="1767">
        <v>0</v>
      </c>
      <c r="N106" s="1767">
        <v>0</v>
      </c>
      <c r="O106" s="1767">
        <v>0</v>
      </c>
      <c r="P106" s="1767">
        <v>0</v>
      </c>
      <c r="Q106" s="1767">
        <v>0</v>
      </c>
      <c r="R106" s="1767">
        <v>0</v>
      </c>
      <c r="S106" s="1767">
        <v>0</v>
      </c>
      <c r="T106" s="1767">
        <v>0</v>
      </c>
      <c r="U106" s="1767">
        <v>0</v>
      </c>
      <c r="V106" s="1767">
        <v>0</v>
      </c>
      <c r="W106" s="1767">
        <v>0</v>
      </c>
      <c r="X106" s="1767">
        <v>0</v>
      </c>
      <c r="Y106" s="1767">
        <v>0</v>
      </c>
      <c r="Z106" s="1767">
        <v>0</v>
      </c>
      <c r="AA106" s="1767">
        <v>0</v>
      </c>
      <c r="AB106" s="1767">
        <v>0</v>
      </c>
      <c r="AC106" s="1767">
        <v>0</v>
      </c>
      <c r="AD106" s="1767">
        <v>0</v>
      </c>
      <c r="AE106" s="1767">
        <v>0</v>
      </c>
      <c r="AF106" s="1767">
        <v>0</v>
      </c>
      <c r="AG106" s="1767">
        <v>0</v>
      </c>
      <c r="AH106" s="1767">
        <v>0</v>
      </c>
      <c r="AI106" s="1767">
        <v>0</v>
      </c>
      <c r="AJ106" s="1767">
        <v>0</v>
      </c>
      <c r="AK106" s="1767">
        <v>0</v>
      </c>
      <c r="AL106" s="1767">
        <v>0</v>
      </c>
      <c r="AM106" s="1767">
        <v>0</v>
      </c>
      <c r="AN106" s="1767">
        <v>0</v>
      </c>
      <c r="AO106" s="1767">
        <v>0</v>
      </c>
      <c r="AP106" s="1767">
        <v>0</v>
      </c>
      <c r="AQ106" s="1767">
        <v>0</v>
      </c>
      <c r="AR106" s="1767">
        <v>0</v>
      </c>
      <c r="AS106" s="1767">
        <v>0</v>
      </c>
      <c r="AT106" s="1767">
        <v>0</v>
      </c>
      <c r="AU106" s="1767">
        <v>0</v>
      </c>
      <c r="AV106" s="1767">
        <v>0</v>
      </c>
      <c r="AW106" s="1767">
        <v>0</v>
      </c>
      <c r="AX106" s="1767">
        <v>0</v>
      </c>
      <c r="AY106" s="1767">
        <v>0</v>
      </c>
      <c r="AZ106" s="1767">
        <v>0</v>
      </c>
      <c r="BA106" s="1767">
        <v>0</v>
      </c>
      <c r="BB106" s="1767">
        <v>0</v>
      </c>
      <c r="BC106" s="1767">
        <v>0</v>
      </c>
      <c r="BD106" s="1767">
        <v>0</v>
      </c>
      <c r="BE106" s="1767">
        <v>0</v>
      </c>
      <c r="BF106" s="1767">
        <v>0</v>
      </c>
      <c r="BG106" s="1767">
        <v>0</v>
      </c>
      <c r="BH106" s="1767">
        <v>0</v>
      </c>
      <c r="BI106" s="1767">
        <v>0</v>
      </c>
      <c r="BJ106" s="1767">
        <v>0</v>
      </c>
      <c r="BK106" s="1767">
        <v>0</v>
      </c>
      <c r="BL106" s="1767">
        <v>0</v>
      </c>
      <c r="BM106" s="1767">
        <v>0</v>
      </c>
      <c r="BN106" s="1767">
        <v>0</v>
      </c>
      <c r="BO106" s="1767">
        <v>0</v>
      </c>
      <c r="BP106" s="1767">
        <v>0</v>
      </c>
      <c r="BQ106" s="1767">
        <v>0</v>
      </c>
      <c r="BR106" s="1767">
        <v>0</v>
      </c>
      <c r="BS106" s="1767">
        <v>0</v>
      </c>
      <c r="BT106" s="1767">
        <v>0</v>
      </c>
      <c r="BU106" s="1767">
        <v>0</v>
      </c>
      <c r="BV106" s="1767">
        <v>0</v>
      </c>
      <c r="BW106" s="1767">
        <v>0</v>
      </c>
      <c r="BX106" s="1767">
        <v>0</v>
      </c>
      <c r="BY106" s="1767">
        <v>0</v>
      </c>
      <c r="BZ106" s="1767">
        <v>0</v>
      </c>
      <c r="CA106" s="1767">
        <v>0</v>
      </c>
      <c r="CB106" s="1767">
        <v>0</v>
      </c>
      <c r="CC106" s="1767">
        <v>0</v>
      </c>
      <c r="CD106" s="1767">
        <v>0</v>
      </c>
      <c r="CE106" s="1767">
        <v>0</v>
      </c>
      <c r="CF106" s="1767">
        <v>0</v>
      </c>
      <c r="CG106" s="1767">
        <v>0</v>
      </c>
      <c r="CH106" s="1767">
        <v>0</v>
      </c>
      <c r="CI106" s="1767">
        <v>0</v>
      </c>
      <c r="CJ106" s="1767">
        <v>0</v>
      </c>
      <c r="CK106" s="1767">
        <v>0</v>
      </c>
      <c r="CL106" s="1767">
        <v>0</v>
      </c>
      <c r="CM106" s="1767">
        <v>0</v>
      </c>
      <c r="CN106" s="1767">
        <v>0</v>
      </c>
      <c r="CO106" s="1767">
        <v>0</v>
      </c>
      <c r="CP106" s="1767">
        <v>0</v>
      </c>
    </row>
    <row r="107" spans="1:94" ht="30" customHeight="1" thickBot="1" x14ac:dyDescent="0.25">
      <c r="A107" s="1889" t="s">
        <v>1294</v>
      </c>
      <c r="B107" s="1856" t="s">
        <v>652</v>
      </c>
      <c r="C107" s="1778" t="s">
        <v>606</v>
      </c>
      <c r="D107" s="946"/>
      <c r="E107" s="1831" t="s">
        <v>2073</v>
      </c>
      <c r="F107" s="1225"/>
      <c r="G107" s="1742"/>
      <c r="H107" s="1742"/>
      <c r="I107" s="1742"/>
      <c r="J107" s="1742"/>
      <c r="K107" s="1742"/>
      <c r="L107" s="1742"/>
      <c r="M107" s="1742"/>
      <c r="N107" s="1742"/>
      <c r="O107" s="1742"/>
      <c r="P107" s="1742"/>
      <c r="Q107" s="1742"/>
      <c r="R107" s="1742"/>
      <c r="S107" s="1742"/>
      <c r="T107" s="1742"/>
      <c r="U107" s="1742"/>
      <c r="V107" s="1742"/>
      <c r="W107" s="1742"/>
      <c r="X107" s="1742"/>
      <c r="Y107" s="1742"/>
      <c r="Z107" s="1742"/>
      <c r="AA107" s="1742"/>
      <c r="AB107" s="1742"/>
      <c r="AC107" s="1742"/>
      <c r="AD107" s="1742"/>
      <c r="AE107" s="1742"/>
      <c r="AF107" s="1742"/>
      <c r="AG107" s="1742"/>
      <c r="AH107" s="1742"/>
      <c r="AI107" s="1742"/>
      <c r="AJ107" s="1742"/>
      <c r="AK107" s="1742"/>
      <c r="AL107" s="1742"/>
      <c r="AM107" s="1742"/>
      <c r="AN107" s="1742"/>
      <c r="AO107" s="1742"/>
      <c r="AP107" s="1742"/>
      <c r="AQ107" s="1742"/>
      <c r="AR107" s="1742"/>
      <c r="AS107" s="1742"/>
      <c r="AT107" s="1742"/>
      <c r="AU107" s="1742"/>
      <c r="AV107" s="1742"/>
      <c r="AW107" s="1742"/>
      <c r="AX107" s="1742"/>
      <c r="AY107" s="1742"/>
      <c r="AZ107" s="1742"/>
      <c r="BA107" s="1742"/>
      <c r="BB107" s="1742"/>
      <c r="BC107" s="1742"/>
      <c r="BD107" s="1742"/>
      <c r="BE107" s="1742"/>
      <c r="BF107" s="1742"/>
      <c r="BG107" s="1742"/>
      <c r="BH107" s="1742"/>
      <c r="BI107" s="1742"/>
      <c r="BJ107" s="1742"/>
      <c r="BK107" s="1742"/>
      <c r="BL107" s="1742"/>
      <c r="BM107" s="1742"/>
      <c r="BN107" s="1742"/>
      <c r="BO107" s="1742"/>
      <c r="BP107" s="1742"/>
      <c r="BQ107" s="1742"/>
      <c r="BR107" s="1742"/>
      <c r="BS107" s="1742"/>
      <c r="BT107" s="1742"/>
      <c r="BU107" s="1742"/>
      <c r="BV107" s="1742"/>
      <c r="BW107" s="1742"/>
      <c r="BX107" s="1742"/>
      <c r="BY107" s="1742"/>
      <c r="BZ107" s="1742"/>
      <c r="CA107" s="1742"/>
      <c r="CB107" s="1742"/>
      <c r="CC107" s="1742"/>
      <c r="CD107" s="1742"/>
      <c r="CE107" s="1742"/>
      <c r="CF107" s="1742"/>
      <c r="CG107" s="1742"/>
      <c r="CH107" s="1742"/>
      <c r="CI107" s="1742"/>
      <c r="CJ107" s="1742"/>
      <c r="CK107" s="1742"/>
      <c r="CL107" s="1742"/>
      <c r="CM107" s="1742"/>
      <c r="CN107" s="1742"/>
      <c r="CO107" s="1742"/>
      <c r="CP107" s="1742"/>
    </row>
    <row r="108" spans="1:94" ht="15" customHeight="1" x14ac:dyDescent="0.2">
      <c r="A108" s="1889"/>
      <c r="B108" s="1856"/>
      <c r="C108" s="660" t="s">
        <v>53</v>
      </c>
      <c r="D108" s="936"/>
      <c r="E108" s="1831"/>
      <c r="F108" s="1225"/>
      <c r="G108" s="1767">
        <v>0</v>
      </c>
      <c r="H108" s="1767">
        <v>0</v>
      </c>
      <c r="I108" s="1767">
        <v>0</v>
      </c>
      <c r="J108" s="1767">
        <v>0</v>
      </c>
      <c r="K108" s="1767">
        <v>0</v>
      </c>
      <c r="L108" s="1767">
        <v>0</v>
      </c>
      <c r="M108" s="1767">
        <v>0</v>
      </c>
      <c r="N108" s="1767">
        <v>0</v>
      </c>
      <c r="O108" s="1767">
        <v>0</v>
      </c>
      <c r="P108" s="1767">
        <v>0</v>
      </c>
      <c r="Q108" s="1767">
        <v>0</v>
      </c>
      <c r="R108" s="1767">
        <v>0</v>
      </c>
      <c r="S108" s="1767">
        <v>0</v>
      </c>
      <c r="T108" s="1767">
        <v>0</v>
      </c>
      <c r="U108" s="1767">
        <v>0</v>
      </c>
      <c r="V108" s="1767">
        <v>0</v>
      </c>
      <c r="W108" s="1767">
        <v>0</v>
      </c>
      <c r="X108" s="1767">
        <v>0</v>
      </c>
      <c r="Y108" s="1767">
        <v>0</v>
      </c>
      <c r="Z108" s="1767">
        <v>0</v>
      </c>
      <c r="AA108" s="1767">
        <v>0</v>
      </c>
      <c r="AB108" s="1767">
        <v>0</v>
      </c>
      <c r="AC108" s="1767">
        <v>0</v>
      </c>
      <c r="AD108" s="1767">
        <v>0</v>
      </c>
      <c r="AE108" s="1767">
        <v>0</v>
      </c>
      <c r="AF108" s="1767">
        <v>0</v>
      </c>
      <c r="AG108" s="1767">
        <v>0</v>
      </c>
      <c r="AH108" s="1767">
        <v>0</v>
      </c>
      <c r="AI108" s="1767">
        <v>0</v>
      </c>
      <c r="AJ108" s="1767">
        <v>0</v>
      </c>
      <c r="AK108" s="1767">
        <v>0</v>
      </c>
      <c r="AL108" s="1767">
        <v>0</v>
      </c>
      <c r="AM108" s="1767">
        <v>0</v>
      </c>
      <c r="AN108" s="1767">
        <v>0</v>
      </c>
      <c r="AO108" s="1767">
        <v>0</v>
      </c>
      <c r="AP108" s="1767">
        <v>0</v>
      </c>
      <c r="AQ108" s="1767">
        <v>0</v>
      </c>
      <c r="AR108" s="1767">
        <v>0</v>
      </c>
      <c r="AS108" s="1767">
        <v>0</v>
      </c>
      <c r="AT108" s="1767">
        <v>0</v>
      </c>
      <c r="AU108" s="1767">
        <v>0</v>
      </c>
      <c r="AV108" s="1767">
        <v>0</v>
      </c>
      <c r="AW108" s="1767">
        <v>0</v>
      </c>
      <c r="AX108" s="1767">
        <v>0</v>
      </c>
      <c r="AY108" s="1767">
        <v>0</v>
      </c>
      <c r="AZ108" s="1767">
        <v>0</v>
      </c>
      <c r="BA108" s="1767">
        <v>0</v>
      </c>
      <c r="BB108" s="1767">
        <v>0</v>
      </c>
      <c r="BC108" s="1767">
        <v>0</v>
      </c>
      <c r="BD108" s="1767">
        <v>0</v>
      </c>
      <c r="BE108" s="1767">
        <v>0</v>
      </c>
      <c r="BF108" s="1767">
        <v>0</v>
      </c>
      <c r="BG108" s="1767">
        <v>0</v>
      </c>
      <c r="BH108" s="1767">
        <v>0</v>
      </c>
      <c r="BI108" s="1767">
        <v>0</v>
      </c>
      <c r="BJ108" s="1767">
        <v>0</v>
      </c>
      <c r="BK108" s="1767">
        <v>0</v>
      </c>
      <c r="BL108" s="1767">
        <v>0</v>
      </c>
      <c r="BM108" s="1767">
        <v>0</v>
      </c>
      <c r="BN108" s="1767">
        <v>0</v>
      </c>
      <c r="BO108" s="1767">
        <v>0</v>
      </c>
      <c r="BP108" s="1767">
        <v>0</v>
      </c>
      <c r="BQ108" s="1767">
        <v>0</v>
      </c>
      <c r="BR108" s="1767">
        <v>0</v>
      </c>
      <c r="BS108" s="1767">
        <v>0</v>
      </c>
      <c r="BT108" s="1767">
        <v>0</v>
      </c>
      <c r="BU108" s="1767">
        <v>0</v>
      </c>
      <c r="BV108" s="1767">
        <v>0</v>
      </c>
      <c r="BW108" s="1767">
        <v>0</v>
      </c>
      <c r="BX108" s="1767">
        <v>0</v>
      </c>
      <c r="BY108" s="1767">
        <v>0</v>
      </c>
      <c r="BZ108" s="1767">
        <v>0</v>
      </c>
      <c r="CA108" s="1767">
        <v>0</v>
      </c>
      <c r="CB108" s="1767">
        <v>0</v>
      </c>
      <c r="CC108" s="1767">
        <v>0</v>
      </c>
      <c r="CD108" s="1767">
        <v>0</v>
      </c>
      <c r="CE108" s="1767">
        <v>0</v>
      </c>
      <c r="CF108" s="1767">
        <v>0</v>
      </c>
      <c r="CG108" s="1767">
        <v>0</v>
      </c>
      <c r="CH108" s="1767">
        <v>0</v>
      </c>
      <c r="CI108" s="1767">
        <v>0</v>
      </c>
      <c r="CJ108" s="1767">
        <v>0</v>
      </c>
      <c r="CK108" s="1767">
        <v>0</v>
      </c>
      <c r="CL108" s="1767">
        <v>0</v>
      </c>
      <c r="CM108" s="1767">
        <v>0</v>
      </c>
      <c r="CN108" s="1767">
        <v>0</v>
      </c>
      <c r="CO108" s="1767">
        <v>0</v>
      </c>
      <c r="CP108" s="1767">
        <v>0</v>
      </c>
    </row>
    <row r="109" spans="1:94" ht="30" customHeight="1" thickBot="1" x14ac:dyDescent="0.25">
      <c r="A109" s="1890"/>
      <c r="B109" s="1857"/>
      <c r="C109" s="800" t="s">
        <v>21</v>
      </c>
      <c r="D109" s="936"/>
      <c r="E109" s="1831"/>
      <c r="F109" s="1225"/>
      <c r="G109" s="1767">
        <v>0</v>
      </c>
      <c r="H109" s="1767">
        <v>0</v>
      </c>
      <c r="I109" s="1767">
        <v>0</v>
      </c>
      <c r="J109" s="1767">
        <v>0</v>
      </c>
      <c r="K109" s="1767">
        <v>0</v>
      </c>
      <c r="L109" s="1767">
        <v>0</v>
      </c>
      <c r="M109" s="1767">
        <v>0</v>
      </c>
      <c r="N109" s="1767">
        <v>0</v>
      </c>
      <c r="O109" s="1767">
        <v>0</v>
      </c>
      <c r="P109" s="1767">
        <v>0</v>
      </c>
      <c r="Q109" s="1767">
        <v>0</v>
      </c>
      <c r="R109" s="1767">
        <v>0</v>
      </c>
      <c r="S109" s="1767">
        <v>0</v>
      </c>
      <c r="T109" s="1767">
        <v>0</v>
      </c>
      <c r="U109" s="1767">
        <v>0</v>
      </c>
      <c r="V109" s="1767">
        <v>0</v>
      </c>
      <c r="W109" s="1767">
        <v>0</v>
      </c>
      <c r="X109" s="1767">
        <v>0</v>
      </c>
      <c r="Y109" s="1767">
        <v>0</v>
      </c>
      <c r="Z109" s="1767">
        <v>0</v>
      </c>
      <c r="AA109" s="1767">
        <v>0</v>
      </c>
      <c r="AB109" s="1767">
        <v>0</v>
      </c>
      <c r="AC109" s="1767">
        <v>0</v>
      </c>
      <c r="AD109" s="1767">
        <v>0</v>
      </c>
      <c r="AE109" s="1767">
        <v>0</v>
      </c>
      <c r="AF109" s="1767">
        <v>0</v>
      </c>
      <c r="AG109" s="1767">
        <v>0</v>
      </c>
      <c r="AH109" s="1767">
        <v>0</v>
      </c>
      <c r="AI109" s="1767">
        <v>0</v>
      </c>
      <c r="AJ109" s="1767">
        <v>0</v>
      </c>
      <c r="AK109" s="1767">
        <v>0</v>
      </c>
      <c r="AL109" s="1767">
        <v>0</v>
      </c>
      <c r="AM109" s="1767">
        <v>0</v>
      </c>
      <c r="AN109" s="1767">
        <v>0</v>
      </c>
      <c r="AO109" s="1767">
        <v>0</v>
      </c>
      <c r="AP109" s="1767">
        <v>0</v>
      </c>
      <c r="AQ109" s="1767">
        <v>0</v>
      </c>
      <c r="AR109" s="1767">
        <v>0</v>
      </c>
      <c r="AS109" s="1767">
        <v>0</v>
      </c>
      <c r="AT109" s="1767">
        <v>0</v>
      </c>
      <c r="AU109" s="1767">
        <v>0</v>
      </c>
      <c r="AV109" s="1767">
        <v>0</v>
      </c>
      <c r="AW109" s="1767">
        <v>0</v>
      </c>
      <c r="AX109" s="1767">
        <v>0</v>
      </c>
      <c r="AY109" s="1767">
        <v>0</v>
      </c>
      <c r="AZ109" s="1767">
        <v>0</v>
      </c>
      <c r="BA109" s="1767">
        <v>0</v>
      </c>
      <c r="BB109" s="1767">
        <v>0</v>
      </c>
      <c r="BC109" s="1767">
        <v>0</v>
      </c>
      <c r="BD109" s="1767">
        <v>0</v>
      </c>
      <c r="BE109" s="1767">
        <v>0</v>
      </c>
      <c r="BF109" s="1767">
        <v>0</v>
      </c>
      <c r="BG109" s="1767">
        <v>0</v>
      </c>
      <c r="BH109" s="1767">
        <v>0</v>
      </c>
      <c r="BI109" s="1767">
        <v>0</v>
      </c>
      <c r="BJ109" s="1767">
        <v>0</v>
      </c>
      <c r="BK109" s="1767">
        <v>0</v>
      </c>
      <c r="BL109" s="1767">
        <v>0</v>
      </c>
      <c r="BM109" s="1767">
        <v>0</v>
      </c>
      <c r="BN109" s="1767">
        <v>0</v>
      </c>
      <c r="BO109" s="1767">
        <v>0</v>
      </c>
      <c r="BP109" s="1767">
        <v>0</v>
      </c>
      <c r="BQ109" s="1767">
        <v>0</v>
      </c>
      <c r="BR109" s="1767">
        <v>0</v>
      </c>
      <c r="BS109" s="1767">
        <v>0</v>
      </c>
      <c r="BT109" s="1767">
        <v>0</v>
      </c>
      <c r="BU109" s="1767">
        <v>0</v>
      </c>
      <c r="BV109" s="1767">
        <v>0</v>
      </c>
      <c r="BW109" s="1767">
        <v>0</v>
      </c>
      <c r="BX109" s="1767">
        <v>0</v>
      </c>
      <c r="BY109" s="1767">
        <v>0</v>
      </c>
      <c r="BZ109" s="1767">
        <v>0</v>
      </c>
      <c r="CA109" s="1767">
        <v>0</v>
      </c>
      <c r="CB109" s="1767">
        <v>0</v>
      </c>
      <c r="CC109" s="1767">
        <v>0</v>
      </c>
      <c r="CD109" s="1767">
        <v>0</v>
      </c>
      <c r="CE109" s="1767">
        <v>0</v>
      </c>
      <c r="CF109" s="1767">
        <v>0</v>
      </c>
      <c r="CG109" s="1767">
        <v>0</v>
      </c>
      <c r="CH109" s="1767">
        <v>0</v>
      </c>
      <c r="CI109" s="1767">
        <v>0</v>
      </c>
      <c r="CJ109" s="1767">
        <v>0</v>
      </c>
      <c r="CK109" s="1767">
        <v>0</v>
      </c>
      <c r="CL109" s="1767">
        <v>0</v>
      </c>
      <c r="CM109" s="1767">
        <v>0</v>
      </c>
      <c r="CN109" s="1767">
        <v>0</v>
      </c>
      <c r="CO109" s="1767">
        <v>0</v>
      </c>
      <c r="CP109" s="1767">
        <v>0</v>
      </c>
    </row>
    <row r="110" spans="1:94" ht="81.75" customHeight="1" thickBot="1" x14ac:dyDescent="0.25">
      <c r="A110" s="1887" t="s">
        <v>1295</v>
      </c>
      <c r="B110" s="1846" t="s">
        <v>638</v>
      </c>
      <c r="C110" s="1777" t="s">
        <v>2517</v>
      </c>
      <c r="D110" s="947"/>
      <c r="E110" s="1830" t="s">
        <v>2369</v>
      </c>
      <c r="F110" s="1225"/>
      <c r="G110" s="1742"/>
      <c r="H110" s="1742"/>
      <c r="I110" s="1742"/>
      <c r="J110" s="1742"/>
      <c r="K110" s="1742"/>
      <c r="L110" s="1742"/>
      <c r="M110" s="1742"/>
      <c r="N110" s="1742"/>
      <c r="O110" s="1742"/>
      <c r="P110" s="1742"/>
      <c r="Q110" s="1742"/>
      <c r="R110" s="1742"/>
      <c r="S110" s="1742"/>
      <c r="T110" s="1742"/>
      <c r="U110" s="1742"/>
      <c r="V110" s="1742"/>
      <c r="W110" s="1742"/>
      <c r="X110" s="1742"/>
      <c r="Y110" s="1742"/>
      <c r="Z110" s="1742"/>
      <c r="AA110" s="1742"/>
      <c r="AB110" s="1742"/>
      <c r="AC110" s="1742"/>
      <c r="AD110" s="1742"/>
      <c r="AE110" s="1742"/>
      <c r="AF110" s="1742"/>
      <c r="AG110" s="1742"/>
      <c r="AH110" s="1742"/>
      <c r="AI110" s="1742"/>
      <c r="AJ110" s="1742"/>
      <c r="AK110" s="1742"/>
      <c r="AL110" s="1742"/>
      <c r="AM110" s="1742"/>
      <c r="AN110" s="1742"/>
      <c r="AO110" s="1742"/>
      <c r="AP110" s="1742"/>
      <c r="AQ110" s="1742"/>
      <c r="AR110" s="1742"/>
      <c r="AS110" s="1742"/>
      <c r="AT110" s="1742"/>
      <c r="AU110" s="1742"/>
      <c r="AV110" s="1742"/>
      <c r="AW110" s="1742"/>
      <c r="AX110" s="1742"/>
      <c r="AY110" s="1742"/>
      <c r="AZ110" s="1742"/>
      <c r="BA110" s="1742"/>
      <c r="BB110" s="1742"/>
      <c r="BC110" s="1742"/>
      <c r="BD110" s="1742"/>
      <c r="BE110" s="1742"/>
      <c r="BF110" s="1742"/>
      <c r="BG110" s="1742"/>
      <c r="BH110" s="1742"/>
      <c r="BI110" s="1742"/>
      <c r="BJ110" s="1742"/>
      <c r="BK110" s="1742"/>
      <c r="BL110" s="1742"/>
      <c r="BM110" s="1742"/>
      <c r="BN110" s="1742"/>
      <c r="BO110" s="1742"/>
      <c r="BP110" s="1742"/>
      <c r="BQ110" s="1742"/>
      <c r="BR110" s="1742"/>
      <c r="BS110" s="1742"/>
      <c r="BT110" s="1742"/>
      <c r="BU110" s="1742"/>
      <c r="BV110" s="1742"/>
      <c r="BW110" s="1742"/>
      <c r="BX110" s="1742"/>
      <c r="BY110" s="1742"/>
      <c r="BZ110" s="1742"/>
      <c r="CA110" s="1742"/>
      <c r="CB110" s="1742"/>
      <c r="CC110" s="1742"/>
      <c r="CD110" s="1742"/>
      <c r="CE110" s="1742"/>
      <c r="CF110" s="1742"/>
      <c r="CG110" s="1742"/>
      <c r="CH110" s="1742"/>
      <c r="CI110" s="1742"/>
      <c r="CJ110" s="1742"/>
      <c r="CK110" s="1742"/>
      <c r="CL110" s="1742"/>
      <c r="CM110" s="1742"/>
      <c r="CN110" s="1742"/>
      <c r="CO110" s="1742"/>
      <c r="CP110" s="1742"/>
    </row>
    <row r="111" spans="1:94" ht="15" customHeight="1" x14ac:dyDescent="0.2">
      <c r="A111" s="1847"/>
      <c r="B111" s="1856"/>
      <c r="C111" s="660" t="s">
        <v>2438</v>
      </c>
      <c r="D111" s="936"/>
      <c r="E111" s="1831"/>
      <c r="F111" s="1225"/>
      <c r="G111" s="1767">
        <v>0</v>
      </c>
      <c r="H111" s="1767">
        <v>0</v>
      </c>
      <c r="I111" s="1767">
        <v>0</v>
      </c>
      <c r="J111" s="1767">
        <v>0</v>
      </c>
      <c r="K111" s="1767">
        <v>0</v>
      </c>
      <c r="L111" s="1767">
        <v>0</v>
      </c>
      <c r="M111" s="1767">
        <v>0</v>
      </c>
      <c r="N111" s="1767">
        <v>0</v>
      </c>
      <c r="O111" s="1767">
        <v>0</v>
      </c>
      <c r="P111" s="1767">
        <v>0</v>
      </c>
      <c r="Q111" s="1767">
        <v>0</v>
      </c>
      <c r="R111" s="1767">
        <v>0</v>
      </c>
      <c r="S111" s="1767">
        <v>0</v>
      </c>
      <c r="T111" s="1767">
        <v>0</v>
      </c>
      <c r="U111" s="1767">
        <v>0</v>
      </c>
      <c r="V111" s="1767">
        <v>0</v>
      </c>
      <c r="W111" s="1767">
        <v>0</v>
      </c>
      <c r="X111" s="1767">
        <v>0</v>
      </c>
      <c r="Y111" s="1767">
        <v>0</v>
      </c>
      <c r="Z111" s="1767">
        <v>0</v>
      </c>
      <c r="AA111" s="1767">
        <v>0</v>
      </c>
      <c r="AB111" s="1767">
        <v>0</v>
      </c>
      <c r="AC111" s="1767">
        <v>0</v>
      </c>
      <c r="AD111" s="1767">
        <v>0</v>
      </c>
      <c r="AE111" s="1767">
        <v>0</v>
      </c>
      <c r="AF111" s="1767">
        <v>0</v>
      </c>
      <c r="AG111" s="1767">
        <v>0</v>
      </c>
      <c r="AH111" s="1767">
        <v>0</v>
      </c>
      <c r="AI111" s="1767">
        <v>0</v>
      </c>
      <c r="AJ111" s="1767">
        <v>0</v>
      </c>
      <c r="AK111" s="1767">
        <v>0</v>
      </c>
      <c r="AL111" s="1767">
        <v>0</v>
      </c>
      <c r="AM111" s="1767">
        <v>0</v>
      </c>
      <c r="AN111" s="1767">
        <v>0</v>
      </c>
      <c r="AO111" s="1767">
        <v>0</v>
      </c>
      <c r="AP111" s="1767">
        <v>0</v>
      </c>
      <c r="AQ111" s="1767">
        <v>0</v>
      </c>
      <c r="AR111" s="1767">
        <v>0</v>
      </c>
      <c r="AS111" s="1767">
        <v>0</v>
      </c>
      <c r="AT111" s="1767">
        <v>0</v>
      </c>
      <c r="AU111" s="1767">
        <v>0</v>
      </c>
      <c r="AV111" s="1767">
        <v>0</v>
      </c>
      <c r="AW111" s="1767">
        <v>0</v>
      </c>
      <c r="AX111" s="1767">
        <v>0</v>
      </c>
      <c r="AY111" s="1767">
        <v>0</v>
      </c>
      <c r="AZ111" s="1767">
        <v>0</v>
      </c>
      <c r="BA111" s="1767">
        <v>0</v>
      </c>
      <c r="BB111" s="1767">
        <v>0</v>
      </c>
      <c r="BC111" s="1767">
        <v>0</v>
      </c>
      <c r="BD111" s="1767">
        <v>0</v>
      </c>
      <c r="BE111" s="1767">
        <v>0</v>
      </c>
      <c r="BF111" s="1767">
        <v>0</v>
      </c>
      <c r="BG111" s="1767">
        <v>0</v>
      </c>
      <c r="BH111" s="1767">
        <v>0</v>
      </c>
      <c r="BI111" s="1767">
        <v>0</v>
      </c>
      <c r="BJ111" s="1767">
        <v>0</v>
      </c>
      <c r="BK111" s="1767">
        <v>0</v>
      </c>
      <c r="BL111" s="1767">
        <v>0</v>
      </c>
      <c r="BM111" s="1767">
        <v>0</v>
      </c>
      <c r="BN111" s="1767">
        <v>0</v>
      </c>
      <c r="BO111" s="1767">
        <v>0</v>
      </c>
      <c r="BP111" s="1767">
        <v>0</v>
      </c>
      <c r="BQ111" s="1767">
        <v>0</v>
      </c>
      <c r="BR111" s="1767">
        <v>0</v>
      </c>
      <c r="BS111" s="1767">
        <v>0</v>
      </c>
      <c r="BT111" s="1767">
        <v>0</v>
      </c>
      <c r="BU111" s="1767">
        <v>0</v>
      </c>
      <c r="BV111" s="1767">
        <v>0</v>
      </c>
      <c r="BW111" s="1767">
        <v>0</v>
      </c>
      <c r="BX111" s="1767">
        <v>0</v>
      </c>
      <c r="BY111" s="1767">
        <v>0</v>
      </c>
      <c r="BZ111" s="1767">
        <v>0</v>
      </c>
      <c r="CA111" s="1767">
        <v>0</v>
      </c>
      <c r="CB111" s="1767">
        <v>0</v>
      </c>
      <c r="CC111" s="1767">
        <v>0</v>
      </c>
      <c r="CD111" s="1767">
        <v>0</v>
      </c>
      <c r="CE111" s="1767">
        <v>0</v>
      </c>
      <c r="CF111" s="1767">
        <v>0</v>
      </c>
      <c r="CG111" s="1767">
        <v>0</v>
      </c>
      <c r="CH111" s="1767">
        <v>0</v>
      </c>
      <c r="CI111" s="1767">
        <v>0</v>
      </c>
      <c r="CJ111" s="1767">
        <v>0</v>
      </c>
      <c r="CK111" s="1767">
        <v>0</v>
      </c>
      <c r="CL111" s="1767">
        <v>0</v>
      </c>
      <c r="CM111" s="1767">
        <v>0</v>
      </c>
      <c r="CN111" s="1767">
        <v>0</v>
      </c>
      <c r="CO111" s="1767">
        <v>0</v>
      </c>
      <c r="CP111" s="1767">
        <v>0</v>
      </c>
    </row>
    <row r="112" spans="1:94" ht="27" customHeight="1" x14ac:dyDescent="0.2">
      <c r="A112" s="1847"/>
      <c r="B112" s="1856"/>
      <c r="C112" s="652" t="s">
        <v>609</v>
      </c>
      <c r="D112" s="936"/>
      <c r="E112" s="1831"/>
      <c r="F112" s="1225"/>
      <c r="G112" s="1767">
        <v>0</v>
      </c>
      <c r="H112" s="1767">
        <v>0</v>
      </c>
      <c r="I112" s="1767">
        <v>0</v>
      </c>
      <c r="J112" s="1767">
        <v>0</v>
      </c>
      <c r="K112" s="1767">
        <v>0</v>
      </c>
      <c r="L112" s="1767">
        <v>0</v>
      </c>
      <c r="M112" s="1767">
        <v>0</v>
      </c>
      <c r="N112" s="1767">
        <v>0</v>
      </c>
      <c r="O112" s="1767">
        <v>0</v>
      </c>
      <c r="P112" s="1767">
        <v>0</v>
      </c>
      <c r="Q112" s="1767">
        <v>0</v>
      </c>
      <c r="R112" s="1767">
        <v>0</v>
      </c>
      <c r="S112" s="1767">
        <v>0</v>
      </c>
      <c r="T112" s="1767">
        <v>0</v>
      </c>
      <c r="U112" s="1767">
        <v>0</v>
      </c>
      <c r="V112" s="1767">
        <v>0</v>
      </c>
      <c r="W112" s="1767">
        <v>0</v>
      </c>
      <c r="X112" s="1767">
        <v>0</v>
      </c>
      <c r="Y112" s="1767">
        <v>0</v>
      </c>
      <c r="Z112" s="1767">
        <v>0</v>
      </c>
      <c r="AA112" s="1767">
        <v>0</v>
      </c>
      <c r="AB112" s="1767">
        <v>0</v>
      </c>
      <c r="AC112" s="1767">
        <v>0</v>
      </c>
      <c r="AD112" s="1767">
        <v>0</v>
      </c>
      <c r="AE112" s="1767">
        <v>0</v>
      </c>
      <c r="AF112" s="1767">
        <v>0</v>
      </c>
      <c r="AG112" s="1767">
        <v>0</v>
      </c>
      <c r="AH112" s="1767">
        <v>0</v>
      </c>
      <c r="AI112" s="1767">
        <v>0</v>
      </c>
      <c r="AJ112" s="1767">
        <v>0</v>
      </c>
      <c r="AK112" s="1767">
        <v>0</v>
      </c>
      <c r="AL112" s="1767">
        <v>0</v>
      </c>
      <c r="AM112" s="1767">
        <v>0</v>
      </c>
      <c r="AN112" s="1767">
        <v>0</v>
      </c>
      <c r="AO112" s="1767">
        <v>0</v>
      </c>
      <c r="AP112" s="1767">
        <v>0</v>
      </c>
      <c r="AQ112" s="1767">
        <v>0</v>
      </c>
      <c r="AR112" s="1767">
        <v>0</v>
      </c>
      <c r="AS112" s="1767">
        <v>0</v>
      </c>
      <c r="AT112" s="1767">
        <v>0</v>
      </c>
      <c r="AU112" s="1767">
        <v>0</v>
      </c>
      <c r="AV112" s="1767">
        <v>0</v>
      </c>
      <c r="AW112" s="1767">
        <v>0</v>
      </c>
      <c r="AX112" s="1767">
        <v>0</v>
      </c>
      <c r="AY112" s="1767">
        <v>0</v>
      </c>
      <c r="AZ112" s="1767">
        <v>0</v>
      </c>
      <c r="BA112" s="1767">
        <v>0</v>
      </c>
      <c r="BB112" s="1767">
        <v>0</v>
      </c>
      <c r="BC112" s="1767">
        <v>0</v>
      </c>
      <c r="BD112" s="1767">
        <v>0</v>
      </c>
      <c r="BE112" s="1767">
        <v>0</v>
      </c>
      <c r="BF112" s="1767">
        <v>0</v>
      </c>
      <c r="BG112" s="1767">
        <v>0</v>
      </c>
      <c r="BH112" s="1767">
        <v>0</v>
      </c>
      <c r="BI112" s="1767">
        <v>0</v>
      </c>
      <c r="BJ112" s="1767">
        <v>0</v>
      </c>
      <c r="BK112" s="1767">
        <v>0</v>
      </c>
      <c r="BL112" s="1767">
        <v>0</v>
      </c>
      <c r="BM112" s="1767">
        <v>0</v>
      </c>
      <c r="BN112" s="1767">
        <v>0</v>
      </c>
      <c r="BO112" s="1767">
        <v>0</v>
      </c>
      <c r="BP112" s="1767">
        <v>0</v>
      </c>
      <c r="BQ112" s="1767">
        <v>0</v>
      </c>
      <c r="BR112" s="1767">
        <v>0</v>
      </c>
      <c r="BS112" s="1767">
        <v>0</v>
      </c>
      <c r="BT112" s="1767">
        <v>0</v>
      </c>
      <c r="BU112" s="1767">
        <v>0</v>
      </c>
      <c r="BV112" s="1767">
        <v>0</v>
      </c>
      <c r="BW112" s="1767">
        <v>0</v>
      </c>
      <c r="BX112" s="1767">
        <v>0</v>
      </c>
      <c r="BY112" s="1767">
        <v>0</v>
      </c>
      <c r="BZ112" s="1767">
        <v>0</v>
      </c>
      <c r="CA112" s="1767">
        <v>0</v>
      </c>
      <c r="CB112" s="1767">
        <v>0</v>
      </c>
      <c r="CC112" s="1767">
        <v>0</v>
      </c>
      <c r="CD112" s="1767">
        <v>0</v>
      </c>
      <c r="CE112" s="1767">
        <v>0</v>
      </c>
      <c r="CF112" s="1767">
        <v>0</v>
      </c>
      <c r="CG112" s="1767">
        <v>0</v>
      </c>
      <c r="CH112" s="1767">
        <v>0</v>
      </c>
      <c r="CI112" s="1767">
        <v>0</v>
      </c>
      <c r="CJ112" s="1767">
        <v>0</v>
      </c>
      <c r="CK112" s="1767">
        <v>0</v>
      </c>
      <c r="CL112" s="1767">
        <v>0</v>
      </c>
      <c r="CM112" s="1767">
        <v>0</v>
      </c>
      <c r="CN112" s="1767">
        <v>0</v>
      </c>
      <c r="CO112" s="1767">
        <v>0</v>
      </c>
      <c r="CP112" s="1767">
        <v>0</v>
      </c>
    </row>
    <row r="113" spans="1:94" ht="15" customHeight="1" x14ac:dyDescent="0.2">
      <c r="A113" s="1847"/>
      <c r="B113" s="1856"/>
      <c r="C113" s="653" t="s">
        <v>1328</v>
      </c>
      <c r="D113" s="936"/>
      <c r="E113" s="1831"/>
      <c r="F113" s="1225"/>
      <c r="G113" s="1767">
        <v>0</v>
      </c>
      <c r="H113" s="1767">
        <v>0</v>
      </c>
      <c r="I113" s="1767">
        <v>0</v>
      </c>
      <c r="J113" s="1767">
        <v>0</v>
      </c>
      <c r="K113" s="1767">
        <v>0</v>
      </c>
      <c r="L113" s="1767">
        <v>0</v>
      </c>
      <c r="M113" s="1767">
        <v>0</v>
      </c>
      <c r="N113" s="1767">
        <v>0</v>
      </c>
      <c r="O113" s="1767">
        <v>0</v>
      </c>
      <c r="P113" s="1767">
        <v>0</v>
      </c>
      <c r="Q113" s="1767">
        <v>0</v>
      </c>
      <c r="R113" s="1767">
        <v>0</v>
      </c>
      <c r="S113" s="1767">
        <v>0</v>
      </c>
      <c r="T113" s="1767">
        <v>0</v>
      </c>
      <c r="U113" s="1767">
        <v>0</v>
      </c>
      <c r="V113" s="1767">
        <v>0</v>
      </c>
      <c r="W113" s="1767">
        <v>0</v>
      </c>
      <c r="X113" s="1767">
        <v>0</v>
      </c>
      <c r="Y113" s="1767">
        <v>0</v>
      </c>
      <c r="Z113" s="1767">
        <v>0</v>
      </c>
      <c r="AA113" s="1767">
        <v>0</v>
      </c>
      <c r="AB113" s="1767">
        <v>0</v>
      </c>
      <c r="AC113" s="1767">
        <v>0</v>
      </c>
      <c r="AD113" s="1767">
        <v>0</v>
      </c>
      <c r="AE113" s="1767">
        <v>0</v>
      </c>
      <c r="AF113" s="1767">
        <v>0</v>
      </c>
      <c r="AG113" s="1767">
        <v>0</v>
      </c>
      <c r="AH113" s="1767">
        <v>0</v>
      </c>
      <c r="AI113" s="1767">
        <v>0</v>
      </c>
      <c r="AJ113" s="1767">
        <v>0</v>
      </c>
      <c r="AK113" s="1767">
        <v>0</v>
      </c>
      <c r="AL113" s="1767">
        <v>0</v>
      </c>
      <c r="AM113" s="1767">
        <v>0</v>
      </c>
      <c r="AN113" s="1767">
        <v>0</v>
      </c>
      <c r="AO113" s="1767">
        <v>0</v>
      </c>
      <c r="AP113" s="1767">
        <v>0</v>
      </c>
      <c r="AQ113" s="1767">
        <v>0</v>
      </c>
      <c r="AR113" s="1767">
        <v>0</v>
      </c>
      <c r="AS113" s="1767">
        <v>0</v>
      </c>
      <c r="AT113" s="1767">
        <v>0</v>
      </c>
      <c r="AU113" s="1767">
        <v>0</v>
      </c>
      <c r="AV113" s="1767">
        <v>0</v>
      </c>
      <c r="AW113" s="1767">
        <v>0</v>
      </c>
      <c r="AX113" s="1767">
        <v>0</v>
      </c>
      <c r="AY113" s="1767">
        <v>0</v>
      </c>
      <c r="AZ113" s="1767">
        <v>0</v>
      </c>
      <c r="BA113" s="1767">
        <v>0</v>
      </c>
      <c r="BB113" s="1767">
        <v>0</v>
      </c>
      <c r="BC113" s="1767">
        <v>0</v>
      </c>
      <c r="BD113" s="1767">
        <v>0</v>
      </c>
      <c r="BE113" s="1767">
        <v>0</v>
      </c>
      <c r="BF113" s="1767">
        <v>0</v>
      </c>
      <c r="BG113" s="1767">
        <v>0</v>
      </c>
      <c r="BH113" s="1767">
        <v>0</v>
      </c>
      <c r="BI113" s="1767">
        <v>0</v>
      </c>
      <c r="BJ113" s="1767">
        <v>0</v>
      </c>
      <c r="BK113" s="1767">
        <v>0</v>
      </c>
      <c r="BL113" s="1767">
        <v>0</v>
      </c>
      <c r="BM113" s="1767">
        <v>0</v>
      </c>
      <c r="BN113" s="1767">
        <v>0</v>
      </c>
      <c r="BO113" s="1767">
        <v>0</v>
      </c>
      <c r="BP113" s="1767">
        <v>0</v>
      </c>
      <c r="BQ113" s="1767">
        <v>0</v>
      </c>
      <c r="BR113" s="1767">
        <v>0</v>
      </c>
      <c r="BS113" s="1767">
        <v>0</v>
      </c>
      <c r="BT113" s="1767">
        <v>0</v>
      </c>
      <c r="BU113" s="1767">
        <v>0</v>
      </c>
      <c r="BV113" s="1767">
        <v>0</v>
      </c>
      <c r="BW113" s="1767">
        <v>0</v>
      </c>
      <c r="BX113" s="1767">
        <v>0</v>
      </c>
      <c r="BY113" s="1767">
        <v>0</v>
      </c>
      <c r="BZ113" s="1767">
        <v>0</v>
      </c>
      <c r="CA113" s="1767">
        <v>0</v>
      </c>
      <c r="CB113" s="1767">
        <v>0</v>
      </c>
      <c r="CC113" s="1767">
        <v>0</v>
      </c>
      <c r="CD113" s="1767">
        <v>0</v>
      </c>
      <c r="CE113" s="1767">
        <v>0</v>
      </c>
      <c r="CF113" s="1767">
        <v>0</v>
      </c>
      <c r="CG113" s="1767">
        <v>0</v>
      </c>
      <c r="CH113" s="1767">
        <v>0</v>
      </c>
      <c r="CI113" s="1767">
        <v>0</v>
      </c>
      <c r="CJ113" s="1767">
        <v>0</v>
      </c>
      <c r="CK113" s="1767">
        <v>0</v>
      </c>
      <c r="CL113" s="1767">
        <v>0</v>
      </c>
      <c r="CM113" s="1767">
        <v>0</v>
      </c>
      <c r="CN113" s="1767">
        <v>0</v>
      </c>
      <c r="CO113" s="1767">
        <v>0</v>
      </c>
      <c r="CP113" s="1767">
        <v>0</v>
      </c>
    </row>
    <row r="114" spans="1:94" ht="15" customHeight="1" x14ac:dyDescent="0.2">
      <c r="A114" s="1847"/>
      <c r="B114" s="1856"/>
      <c r="C114" s="653" t="s">
        <v>2233</v>
      </c>
      <c r="D114" s="936"/>
      <c r="E114" s="1831"/>
      <c r="F114" s="1225"/>
      <c r="G114" s="1767">
        <v>0</v>
      </c>
      <c r="H114" s="1767">
        <v>0</v>
      </c>
      <c r="I114" s="1767">
        <v>0</v>
      </c>
      <c r="J114" s="1767">
        <v>0</v>
      </c>
      <c r="K114" s="1767">
        <v>0</v>
      </c>
      <c r="L114" s="1767">
        <v>0</v>
      </c>
      <c r="M114" s="1767">
        <v>0</v>
      </c>
      <c r="N114" s="1767">
        <v>0</v>
      </c>
      <c r="O114" s="1767">
        <v>0</v>
      </c>
      <c r="P114" s="1767">
        <v>0</v>
      </c>
      <c r="Q114" s="1767">
        <v>0</v>
      </c>
      <c r="R114" s="1767">
        <v>0</v>
      </c>
      <c r="S114" s="1767">
        <v>0</v>
      </c>
      <c r="T114" s="1767">
        <v>0</v>
      </c>
      <c r="U114" s="1767">
        <v>0</v>
      </c>
      <c r="V114" s="1767">
        <v>0</v>
      </c>
      <c r="W114" s="1767">
        <v>0</v>
      </c>
      <c r="X114" s="1767">
        <v>0</v>
      </c>
      <c r="Y114" s="1767">
        <v>0</v>
      </c>
      <c r="Z114" s="1767">
        <v>0</v>
      </c>
      <c r="AA114" s="1767">
        <v>0</v>
      </c>
      <c r="AB114" s="1767">
        <v>0</v>
      </c>
      <c r="AC114" s="1767">
        <v>0</v>
      </c>
      <c r="AD114" s="1767">
        <v>0</v>
      </c>
      <c r="AE114" s="1767">
        <v>0</v>
      </c>
      <c r="AF114" s="1767">
        <v>0</v>
      </c>
      <c r="AG114" s="1767">
        <v>0</v>
      </c>
      <c r="AH114" s="1767">
        <v>0</v>
      </c>
      <c r="AI114" s="1767">
        <v>0</v>
      </c>
      <c r="AJ114" s="1767">
        <v>0</v>
      </c>
      <c r="AK114" s="1767">
        <v>0</v>
      </c>
      <c r="AL114" s="1767">
        <v>0</v>
      </c>
      <c r="AM114" s="1767">
        <v>0</v>
      </c>
      <c r="AN114" s="1767">
        <v>0</v>
      </c>
      <c r="AO114" s="1767">
        <v>0</v>
      </c>
      <c r="AP114" s="1767">
        <v>0</v>
      </c>
      <c r="AQ114" s="1767">
        <v>0</v>
      </c>
      <c r="AR114" s="1767">
        <v>0</v>
      </c>
      <c r="AS114" s="1767">
        <v>0</v>
      </c>
      <c r="AT114" s="1767">
        <v>0</v>
      </c>
      <c r="AU114" s="1767">
        <v>0</v>
      </c>
      <c r="AV114" s="1767">
        <v>0</v>
      </c>
      <c r="AW114" s="1767">
        <v>0</v>
      </c>
      <c r="AX114" s="1767">
        <v>0</v>
      </c>
      <c r="AY114" s="1767">
        <v>0</v>
      </c>
      <c r="AZ114" s="1767">
        <v>0</v>
      </c>
      <c r="BA114" s="1767">
        <v>0</v>
      </c>
      <c r="BB114" s="1767">
        <v>0</v>
      </c>
      <c r="BC114" s="1767">
        <v>0</v>
      </c>
      <c r="BD114" s="1767">
        <v>0</v>
      </c>
      <c r="BE114" s="1767">
        <v>0</v>
      </c>
      <c r="BF114" s="1767">
        <v>0</v>
      </c>
      <c r="BG114" s="1767">
        <v>0</v>
      </c>
      <c r="BH114" s="1767">
        <v>0</v>
      </c>
      <c r="BI114" s="1767">
        <v>0</v>
      </c>
      <c r="BJ114" s="1767">
        <v>0</v>
      </c>
      <c r="BK114" s="1767">
        <v>0</v>
      </c>
      <c r="BL114" s="1767">
        <v>0</v>
      </c>
      <c r="BM114" s="1767">
        <v>0</v>
      </c>
      <c r="BN114" s="1767">
        <v>0</v>
      </c>
      <c r="BO114" s="1767">
        <v>0</v>
      </c>
      <c r="BP114" s="1767">
        <v>0</v>
      </c>
      <c r="BQ114" s="1767">
        <v>0</v>
      </c>
      <c r="BR114" s="1767">
        <v>0</v>
      </c>
      <c r="BS114" s="1767">
        <v>0</v>
      </c>
      <c r="BT114" s="1767">
        <v>0</v>
      </c>
      <c r="BU114" s="1767">
        <v>0</v>
      </c>
      <c r="BV114" s="1767">
        <v>0</v>
      </c>
      <c r="BW114" s="1767">
        <v>0</v>
      </c>
      <c r="BX114" s="1767">
        <v>0</v>
      </c>
      <c r="BY114" s="1767">
        <v>0</v>
      </c>
      <c r="BZ114" s="1767">
        <v>0</v>
      </c>
      <c r="CA114" s="1767">
        <v>0</v>
      </c>
      <c r="CB114" s="1767">
        <v>0</v>
      </c>
      <c r="CC114" s="1767">
        <v>0</v>
      </c>
      <c r="CD114" s="1767">
        <v>0</v>
      </c>
      <c r="CE114" s="1767">
        <v>0</v>
      </c>
      <c r="CF114" s="1767">
        <v>0</v>
      </c>
      <c r="CG114" s="1767">
        <v>0</v>
      </c>
      <c r="CH114" s="1767">
        <v>0</v>
      </c>
      <c r="CI114" s="1767">
        <v>0</v>
      </c>
      <c r="CJ114" s="1767">
        <v>0</v>
      </c>
      <c r="CK114" s="1767">
        <v>0</v>
      </c>
      <c r="CL114" s="1767">
        <v>0</v>
      </c>
      <c r="CM114" s="1767">
        <v>0</v>
      </c>
      <c r="CN114" s="1767">
        <v>0</v>
      </c>
      <c r="CO114" s="1767">
        <v>0</v>
      </c>
      <c r="CP114" s="1767">
        <v>0</v>
      </c>
    </row>
    <row r="115" spans="1:94" ht="15" customHeight="1" thickBot="1" x14ac:dyDescent="0.25">
      <c r="A115" s="1848"/>
      <c r="B115" s="1857"/>
      <c r="C115" s="654" t="s">
        <v>2234</v>
      </c>
      <c r="D115" s="950"/>
      <c r="E115" s="1832"/>
      <c r="F115" s="1225"/>
      <c r="G115" s="1767">
        <v>0</v>
      </c>
      <c r="H115" s="1767">
        <v>0</v>
      </c>
      <c r="I115" s="1767">
        <v>0</v>
      </c>
      <c r="J115" s="1767">
        <v>0</v>
      </c>
      <c r="K115" s="1767">
        <v>0</v>
      </c>
      <c r="L115" s="1767">
        <v>0</v>
      </c>
      <c r="M115" s="1767">
        <v>0</v>
      </c>
      <c r="N115" s="1767">
        <v>0</v>
      </c>
      <c r="O115" s="1767">
        <v>0</v>
      </c>
      <c r="P115" s="1767">
        <v>0</v>
      </c>
      <c r="Q115" s="1767">
        <v>0</v>
      </c>
      <c r="R115" s="1767">
        <v>0</v>
      </c>
      <c r="S115" s="1767">
        <v>0</v>
      </c>
      <c r="T115" s="1767">
        <v>0</v>
      </c>
      <c r="U115" s="1767">
        <v>0</v>
      </c>
      <c r="V115" s="1767">
        <v>0</v>
      </c>
      <c r="W115" s="1767">
        <v>0</v>
      </c>
      <c r="X115" s="1767">
        <v>0</v>
      </c>
      <c r="Y115" s="1767">
        <v>0</v>
      </c>
      <c r="Z115" s="1767">
        <v>0</v>
      </c>
      <c r="AA115" s="1767">
        <v>0</v>
      </c>
      <c r="AB115" s="1767">
        <v>0</v>
      </c>
      <c r="AC115" s="1767">
        <v>0</v>
      </c>
      <c r="AD115" s="1767">
        <v>0</v>
      </c>
      <c r="AE115" s="1767">
        <v>0</v>
      </c>
      <c r="AF115" s="1767">
        <v>0</v>
      </c>
      <c r="AG115" s="1767">
        <v>0</v>
      </c>
      <c r="AH115" s="1767">
        <v>0</v>
      </c>
      <c r="AI115" s="1767">
        <v>0</v>
      </c>
      <c r="AJ115" s="1767">
        <v>0</v>
      </c>
      <c r="AK115" s="1767">
        <v>0</v>
      </c>
      <c r="AL115" s="1767">
        <v>0</v>
      </c>
      <c r="AM115" s="1767">
        <v>0</v>
      </c>
      <c r="AN115" s="1767">
        <v>0</v>
      </c>
      <c r="AO115" s="1767">
        <v>0</v>
      </c>
      <c r="AP115" s="1767">
        <v>0</v>
      </c>
      <c r="AQ115" s="1767">
        <v>0</v>
      </c>
      <c r="AR115" s="1767">
        <v>0</v>
      </c>
      <c r="AS115" s="1767">
        <v>0</v>
      </c>
      <c r="AT115" s="1767">
        <v>0</v>
      </c>
      <c r="AU115" s="1767">
        <v>0</v>
      </c>
      <c r="AV115" s="1767">
        <v>0</v>
      </c>
      <c r="AW115" s="1767">
        <v>0</v>
      </c>
      <c r="AX115" s="1767">
        <v>0</v>
      </c>
      <c r="AY115" s="1767">
        <v>0</v>
      </c>
      <c r="AZ115" s="1767">
        <v>0</v>
      </c>
      <c r="BA115" s="1767">
        <v>0</v>
      </c>
      <c r="BB115" s="1767">
        <v>0</v>
      </c>
      <c r="BC115" s="1767">
        <v>0</v>
      </c>
      <c r="BD115" s="1767">
        <v>0</v>
      </c>
      <c r="BE115" s="1767">
        <v>0</v>
      </c>
      <c r="BF115" s="1767">
        <v>0</v>
      </c>
      <c r="BG115" s="1767">
        <v>0</v>
      </c>
      <c r="BH115" s="1767">
        <v>0</v>
      </c>
      <c r="BI115" s="1767">
        <v>0</v>
      </c>
      <c r="BJ115" s="1767">
        <v>0</v>
      </c>
      <c r="BK115" s="1767">
        <v>0</v>
      </c>
      <c r="BL115" s="1767">
        <v>0</v>
      </c>
      <c r="BM115" s="1767">
        <v>0</v>
      </c>
      <c r="BN115" s="1767">
        <v>0</v>
      </c>
      <c r="BO115" s="1767">
        <v>0</v>
      </c>
      <c r="BP115" s="1767">
        <v>0</v>
      </c>
      <c r="BQ115" s="1767">
        <v>0</v>
      </c>
      <c r="BR115" s="1767">
        <v>0</v>
      </c>
      <c r="BS115" s="1767">
        <v>0</v>
      </c>
      <c r="BT115" s="1767">
        <v>0</v>
      </c>
      <c r="BU115" s="1767">
        <v>0</v>
      </c>
      <c r="BV115" s="1767">
        <v>0</v>
      </c>
      <c r="BW115" s="1767">
        <v>0</v>
      </c>
      <c r="BX115" s="1767">
        <v>0</v>
      </c>
      <c r="BY115" s="1767">
        <v>0</v>
      </c>
      <c r="BZ115" s="1767">
        <v>0</v>
      </c>
      <c r="CA115" s="1767">
        <v>0</v>
      </c>
      <c r="CB115" s="1767">
        <v>0</v>
      </c>
      <c r="CC115" s="1767">
        <v>0</v>
      </c>
      <c r="CD115" s="1767">
        <v>0</v>
      </c>
      <c r="CE115" s="1767">
        <v>0</v>
      </c>
      <c r="CF115" s="1767">
        <v>0</v>
      </c>
      <c r="CG115" s="1767">
        <v>0</v>
      </c>
      <c r="CH115" s="1767">
        <v>0</v>
      </c>
      <c r="CI115" s="1767">
        <v>0</v>
      </c>
      <c r="CJ115" s="1767">
        <v>0</v>
      </c>
      <c r="CK115" s="1767">
        <v>0</v>
      </c>
      <c r="CL115" s="1767">
        <v>0</v>
      </c>
      <c r="CM115" s="1767">
        <v>0</v>
      </c>
      <c r="CN115" s="1767">
        <v>0</v>
      </c>
      <c r="CO115" s="1767">
        <v>0</v>
      </c>
      <c r="CP115" s="1767">
        <v>0</v>
      </c>
    </row>
    <row r="116" spans="1:94" ht="30" customHeight="1" thickBot="1" x14ac:dyDescent="0.25">
      <c r="A116" s="1889" t="s">
        <v>1296</v>
      </c>
      <c r="B116" s="1856" t="s">
        <v>607</v>
      </c>
      <c r="C116" s="1778" t="s">
        <v>2324</v>
      </c>
      <c r="D116" s="946"/>
      <c r="E116" s="1831" t="s">
        <v>2370</v>
      </c>
      <c r="F116" s="1225"/>
      <c r="G116" s="1742"/>
      <c r="H116" s="1742"/>
      <c r="I116" s="1742"/>
      <c r="J116" s="1742"/>
      <c r="K116" s="1742"/>
      <c r="L116" s="1742"/>
      <c r="M116" s="1742"/>
      <c r="N116" s="1742"/>
      <c r="O116" s="1742"/>
      <c r="P116" s="1742"/>
      <c r="Q116" s="1742"/>
      <c r="R116" s="1742"/>
      <c r="S116" s="1742"/>
      <c r="T116" s="1742"/>
      <c r="U116" s="1742"/>
      <c r="V116" s="1742"/>
      <c r="W116" s="1742"/>
      <c r="X116" s="1742"/>
      <c r="Y116" s="1742"/>
      <c r="Z116" s="1742"/>
      <c r="AA116" s="1742"/>
      <c r="AB116" s="1742"/>
      <c r="AC116" s="1742"/>
      <c r="AD116" s="1742"/>
      <c r="AE116" s="1742"/>
      <c r="AF116" s="1742"/>
      <c r="AG116" s="1742"/>
      <c r="AH116" s="1742"/>
      <c r="AI116" s="1742"/>
      <c r="AJ116" s="1742"/>
      <c r="AK116" s="1742"/>
      <c r="AL116" s="1742"/>
      <c r="AM116" s="1742"/>
      <c r="AN116" s="1742"/>
      <c r="AO116" s="1742"/>
      <c r="AP116" s="1742"/>
      <c r="AQ116" s="1742"/>
      <c r="AR116" s="1742"/>
      <c r="AS116" s="1742"/>
      <c r="AT116" s="1742"/>
      <c r="AU116" s="1742"/>
      <c r="AV116" s="1742"/>
      <c r="AW116" s="1742"/>
      <c r="AX116" s="1742"/>
      <c r="AY116" s="1742"/>
      <c r="AZ116" s="1742"/>
      <c r="BA116" s="1742"/>
      <c r="BB116" s="1742"/>
      <c r="BC116" s="1742"/>
      <c r="BD116" s="1742"/>
      <c r="BE116" s="1742"/>
      <c r="BF116" s="1742"/>
      <c r="BG116" s="1742"/>
      <c r="BH116" s="1742"/>
      <c r="BI116" s="1742"/>
      <c r="BJ116" s="1742"/>
      <c r="BK116" s="1742"/>
      <c r="BL116" s="1742"/>
      <c r="BM116" s="1742"/>
      <c r="BN116" s="1742"/>
      <c r="BO116" s="1742"/>
      <c r="BP116" s="1742"/>
      <c r="BQ116" s="1742"/>
      <c r="BR116" s="1742"/>
      <c r="BS116" s="1742"/>
      <c r="BT116" s="1742"/>
      <c r="BU116" s="1742"/>
      <c r="BV116" s="1742"/>
      <c r="BW116" s="1742"/>
      <c r="BX116" s="1742"/>
      <c r="BY116" s="1742"/>
      <c r="BZ116" s="1742"/>
      <c r="CA116" s="1742"/>
      <c r="CB116" s="1742"/>
      <c r="CC116" s="1742"/>
      <c r="CD116" s="1742"/>
      <c r="CE116" s="1742"/>
      <c r="CF116" s="1742"/>
      <c r="CG116" s="1742"/>
      <c r="CH116" s="1742"/>
      <c r="CI116" s="1742"/>
      <c r="CJ116" s="1742"/>
      <c r="CK116" s="1742"/>
      <c r="CL116" s="1742"/>
      <c r="CM116" s="1742"/>
      <c r="CN116" s="1742"/>
      <c r="CO116" s="1742"/>
      <c r="CP116" s="1742"/>
    </row>
    <row r="117" spans="1:94" ht="15" customHeight="1" x14ac:dyDescent="0.2">
      <c r="A117" s="1889"/>
      <c r="B117" s="1856"/>
      <c r="C117" s="664" t="s">
        <v>2342</v>
      </c>
      <c r="D117" s="936"/>
      <c r="E117" s="1831"/>
      <c r="F117" s="1225"/>
      <c r="G117" s="1767">
        <v>0</v>
      </c>
      <c r="H117" s="1767">
        <v>0</v>
      </c>
      <c r="I117" s="1767">
        <v>0</v>
      </c>
      <c r="J117" s="1767">
        <v>0</v>
      </c>
      <c r="K117" s="1767">
        <v>0</v>
      </c>
      <c r="L117" s="1767">
        <v>0</v>
      </c>
      <c r="M117" s="1767">
        <v>0</v>
      </c>
      <c r="N117" s="1767">
        <v>0</v>
      </c>
      <c r="O117" s="1767">
        <v>0</v>
      </c>
      <c r="P117" s="1767">
        <v>0</v>
      </c>
      <c r="Q117" s="1767">
        <v>0</v>
      </c>
      <c r="R117" s="1767">
        <v>0</v>
      </c>
      <c r="S117" s="1767">
        <v>0</v>
      </c>
      <c r="T117" s="1767">
        <v>0</v>
      </c>
      <c r="U117" s="1767">
        <v>0</v>
      </c>
      <c r="V117" s="1767">
        <v>0</v>
      </c>
      <c r="W117" s="1767">
        <v>0</v>
      </c>
      <c r="X117" s="1767">
        <v>0</v>
      </c>
      <c r="Y117" s="1767">
        <v>0</v>
      </c>
      <c r="Z117" s="1767">
        <v>0</v>
      </c>
      <c r="AA117" s="1767">
        <v>0</v>
      </c>
      <c r="AB117" s="1767">
        <v>0</v>
      </c>
      <c r="AC117" s="1767">
        <v>0</v>
      </c>
      <c r="AD117" s="1767">
        <v>0</v>
      </c>
      <c r="AE117" s="1767">
        <v>0</v>
      </c>
      <c r="AF117" s="1767">
        <v>0</v>
      </c>
      <c r="AG117" s="1767">
        <v>0</v>
      </c>
      <c r="AH117" s="1767">
        <v>0</v>
      </c>
      <c r="AI117" s="1767">
        <v>0</v>
      </c>
      <c r="AJ117" s="1767">
        <v>0</v>
      </c>
      <c r="AK117" s="1767">
        <v>0</v>
      </c>
      <c r="AL117" s="1767">
        <v>0</v>
      </c>
      <c r="AM117" s="1767">
        <v>0</v>
      </c>
      <c r="AN117" s="1767">
        <v>0</v>
      </c>
      <c r="AO117" s="1767">
        <v>0</v>
      </c>
      <c r="AP117" s="1767">
        <v>0</v>
      </c>
      <c r="AQ117" s="1767">
        <v>0</v>
      </c>
      <c r="AR117" s="1767">
        <v>0</v>
      </c>
      <c r="AS117" s="1767">
        <v>0</v>
      </c>
      <c r="AT117" s="1767">
        <v>0</v>
      </c>
      <c r="AU117" s="1767">
        <v>0</v>
      </c>
      <c r="AV117" s="1767">
        <v>0</v>
      </c>
      <c r="AW117" s="1767">
        <v>0</v>
      </c>
      <c r="AX117" s="1767">
        <v>0</v>
      </c>
      <c r="AY117" s="1767">
        <v>0</v>
      </c>
      <c r="AZ117" s="1767">
        <v>0</v>
      </c>
      <c r="BA117" s="1767">
        <v>0</v>
      </c>
      <c r="BB117" s="1767">
        <v>0</v>
      </c>
      <c r="BC117" s="1767">
        <v>0</v>
      </c>
      <c r="BD117" s="1767">
        <v>0</v>
      </c>
      <c r="BE117" s="1767">
        <v>0</v>
      </c>
      <c r="BF117" s="1767">
        <v>0</v>
      </c>
      <c r="BG117" s="1767">
        <v>0</v>
      </c>
      <c r="BH117" s="1767">
        <v>0</v>
      </c>
      <c r="BI117" s="1767">
        <v>0</v>
      </c>
      <c r="BJ117" s="1767">
        <v>0</v>
      </c>
      <c r="BK117" s="1767">
        <v>0</v>
      </c>
      <c r="BL117" s="1767">
        <v>0</v>
      </c>
      <c r="BM117" s="1767">
        <v>0</v>
      </c>
      <c r="BN117" s="1767">
        <v>0</v>
      </c>
      <c r="BO117" s="1767">
        <v>0</v>
      </c>
      <c r="BP117" s="1767">
        <v>0</v>
      </c>
      <c r="BQ117" s="1767">
        <v>0</v>
      </c>
      <c r="BR117" s="1767">
        <v>0</v>
      </c>
      <c r="BS117" s="1767">
        <v>0</v>
      </c>
      <c r="BT117" s="1767">
        <v>0</v>
      </c>
      <c r="BU117" s="1767">
        <v>0</v>
      </c>
      <c r="BV117" s="1767">
        <v>0</v>
      </c>
      <c r="BW117" s="1767">
        <v>0</v>
      </c>
      <c r="BX117" s="1767">
        <v>0</v>
      </c>
      <c r="BY117" s="1767">
        <v>0</v>
      </c>
      <c r="BZ117" s="1767">
        <v>0</v>
      </c>
      <c r="CA117" s="1767">
        <v>0</v>
      </c>
      <c r="CB117" s="1767">
        <v>0</v>
      </c>
      <c r="CC117" s="1767">
        <v>0</v>
      </c>
      <c r="CD117" s="1767">
        <v>0</v>
      </c>
      <c r="CE117" s="1767">
        <v>0</v>
      </c>
      <c r="CF117" s="1767">
        <v>0</v>
      </c>
      <c r="CG117" s="1767">
        <v>0</v>
      </c>
      <c r="CH117" s="1767">
        <v>0</v>
      </c>
      <c r="CI117" s="1767">
        <v>0</v>
      </c>
      <c r="CJ117" s="1767">
        <v>0</v>
      </c>
      <c r="CK117" s="1767">
        <v>0</v>
      </c>
      <c r="CL117" s="1767">
        <v>0</v>
      </c>
      <c r="CM117" s="1767">
        <v>0</v>
      </c>
      <c r="CN117" s="1767">
        <v>0</v>
      </c>
      <c r="CO117" s="1767">
        <v>0</v>
      </c>
      <c r="CP117" s="1767">
        <v>0</v>
      </c>
    </row>
    <row r="118" spans="1:94" ht="15" customHeight="1" x14ac:dyDescent="0.2">
      <c r="A118" s="1889"/>
      <c r="B118" s="1856"/>
      <c r="C118" s="665" t="s">
        <v>2106</v>
      </c>
      <c r="D118" s="936"/>
      <c r="E118" s="1831"/>
      <c r="F118" s="1225"/>
      <c r="G118" s="1767">
        <v>0</v>
      </c>
      <c r="H118" s="1767">
        <v>0</v>
      </c>
      <c r="I118" s="1767">
        <v>0</v>
      </c>
      <c r="J118" s="1767">
        <v>0</v>
      </c>
      <c r="K118" s="1767">
        <v>0</v>
      </c>
      <c r="L118" s="1767">
        <v>0</v>
      </c>
      <c r="M118" s="1767">
        <v>0</v>
      </c>
      <c r="N118" s="1767">
        <v>0</v>
      </c>
      <c r="O118" s="1767">
        <v>0</v>
      </c>
      <c r="P118" s="1767">
        <v>0</v>
      </c>
      <c r="Q118" s="1767">
        <v>0</v>
      </c>
      <c r="R118" s="1767">
        <v>0</v>
      </c>
      <c r="S118" s="1767">
        <v>0</v>
      </c>
      <c r="T118" s="1767">
        <v>0</v>
      </c>
      <c r="U118" s="1767">
        <v>0</v>
      </c>
      <c r="V118" s="1767">
        <v>0</v>
      </c>
      <c r="W118" s="1767">
        <v>0</v>
      </c>
      <c r="X118" s="1767">
        <v>0</v>
      </c>
      <c r="Y118" s="1767">
        <v>0</v>
      </c>
      <c r="Z118" s="1767">
        <v>0</v>
      </c>
      <c r="AA118" s="1767">
        <v>0</v>
      </c>
      <c r="AB118" s="1767">
        <v>0</v>
      </c>
      <c r="AC118" s="1767">
        <v>0</v>
      </c>
      <c r="AD118" s="1767">
        <v>0</v>
      </c>
      <c r="AE118" s="1767">
        <v>0</v>
      </c>
      <c r="AF118" s="1767">
        <v>0</v>
      </c>
      <c r="AG118" s="1767">
        <v>0</v>
      </c>
      <c r="AH118" s="1767">
        <v>0</v>
      </c>
      <c r="AI118" s="1767">
        <v>0</v>
      </c>
      <c r="AJ118" s="1767">
        <v>0</v>
      </c>
      <c r="AK118" s="1767">
        <v>0</v>
      </c>
      <c r="AL118" s="1767">
        <v>0</v>
      </c>
      <c r="AM118" s="1767">
        <v>0</v>
      </c>
      <c r="AN118" s="1767">
        <v>0</v>
      </c>
      <c r="AO118" s="1767">
        <v>0</v>
      </c>
      <c r="AP118" s="1767">
        <v>0</v>
      </c>
      <c r="AQ118" s="1767">
        <v>0</v>
      </c>
      <c r="AR118" s="1767">
        <v>0</v>
      </c>
      <c r="AS118" s="1767">
        <v>0</v>
      </c>
      <c r="AT118" s="1767">
        <v>0</v>
      </c>
      <c r="AU118" s="1767">
        <v>0</v>
      </c>
      <c r="AV118" s="1767">
        <v>0</v>
      </c>
      <c r="AW118" s="1767">
        <v>0</v>
      </c>
      <c r="AX118" s="1767">
        <v>0</v>
      </c>
      <c r="AY118" s="1767">
        <v>0</v>
      </c>
      <c r="AZ118" s="1767">
        <v>0</v>
      </c>
      <c r="BA118" s="1767">
        <v>0</v>
      </c>
      <c r="BB118" s="1767">
        <v>0</v>
      </c>
      <c r="BC118" s="1767">
        <v>0</v>
      </c>
      <c r="BD118" s="1767">
        <v>0</v>
      </c>
      <c r="BE118" s="1767">
        <v>0</v>
      </c>
      <c r="BF118" s="1767">
        <v>0</v>
      </c>
      <c r="BG118" s="1767">
        <v>0</v>
      </c>
      <c r="BH118" s="1767">
        <v>0</v>
      </c>
      <c r="BI118" s="1767">
        <v>0</v>
      </c>
      <c r="BJ118" s="1767">
        <v>0</v>
      </c>
      <c r="BK118" s="1767">
        <v>0</v>
      </c>
      <c r="BL118" s="1767">
        <v>0</v>
      </c>
      <c r="BM118" s="1767">
        <v>0</v>
      </c>
      <c r="BN118" s="1767">
        <v>0</v>
      </c>
      <c r="BO118" s="1767">
        <v>0</v>
      </c>
      <c r="BP118" s="1767">
        <v>0</v>
      </c>
      <c r="BQ118" s="1767">
        <v>0</v>
      </c>
      <c r="BR118" s="1767">
        <v>0</v>
      </c>
      <c r="BS118" s="1767">
        <v>0</v>
      </c>
      <c r="BT118" s="1767">
        <v>0</v>
      </c>
      <c r="BU118" s="1767">
        <v>0</v>
      </c>
      <c r="BV118" s="1767">
        <v>0</v>
      </c>
      <c r="BW118" s="1767">
        <v>0</v>
      </c>
      <c r="BX118" s="1767">
        <v>0</v>
      </c>
      <c r="BY118" s="1767">
        <v>0</v>
      </c>
      <c r="BZ118" s="1767">
        <v>0</v>
      </c>
      <c r="CA118" s="1767">
        <v>0</v>
      </c>
      <c r="CB118" s="1767">
        <v>0</v>
      </c>
      <c r="CC118" s="1767">
        <v>0</v>
      </c>
      <c r="CD118" s="1767">
        <v>0</v>
      </c>
      <c r="CE118" s="1767">
        <v>0</v>
      </c>
      <c r="CF118" s="1767">
        <v>0</v>
      </c>
      <c r="CG118" s="1767">
        <v>0</v>
      </c>
      <c r="CH118" s="1767">
        <v>0</v>
      </c>
      <c r="CI118" s="1767">
        <v>0</v>
      </c>
      <c r="CJ118" s="1767">
        <v>0</v>
      </c>
      <c r="CK118" s="1767">
        <v>0</v>
      </c>
      <c r="CL118" s="1767">
        <v>0</v>
      </c>
      <c r="CM118" s="1767">
        <v>0</v>
      </c>
      <c r="CN118" s="1767">
        <v>0</v>
      </c>
      <c r="CO118" s="1767">
        <v>0</v>
      </c>
      <c r="CP118" s="1767">
        <v>0</v>
      </c>
    </row>
    <row r="119" spans="1:94" ht="15" customHeight="1" x14ac:dyDescent="0.2">
      <c r="A119" s="1889"/>
      <c r="B119" s="1856"/>
      <c r="C119" s="665" t="s">
        <v>2107</v>
      </c>
      <c r="D119" s="936"/>
      <c r="E119" s="1831"/>
      <c r="F119" s="1225"/>
      <c r="G119" s="1767">
        <v>0</v>
      </c>
      <c r="H119" s="1767">
        <v>0</v>
      </c>
      <c r="I119" s="1767">
        <v>0</v>
      </c>
      <c r="J119" s="1767">
        <v>0</v>
      </c>
      <c r="K119" s="1767">
        <v>0</v>
      </c>
      <c r="L119" s="1767">
        <v>0</v>
      </c>
      <c r="M119" s="1767">
        <v>0</v>
      </c>
      <c r="N119" s="1767">
        <v>0</v>
      </c>
      <c r="O119" s="1767">
        <v>0</v>
      </c>
      <c r="P119" s="1767">
        <v>0</v>
      </c>
      <c r="Q119" s="1767">
        <v>0</v>
      </c>
      <c r="R119" s="1767">
        <v>0</v>
      </c>
      <c r="S119" s="1767">
        <v>0</v>
      </c>
      <c r="T119" s="1767">
        <v>0</v>
      </c>
      <c r="U119" s="1767">
        <v>0</v>
      </c>
      <c r="V119" s="1767">
        <v>0</v>
      </c>
      <c r="W119" s="1767">
        <v>0</v>
      </c>
      <c r="X119" s="1767">
        <v>0</v>
      </c>
      <c r="Y119" s="1767">
        <v>0</v>
      </c>
      <c r="Z119" s="1767">
        <v>0</v>
      </c>
      <c r="AA119" s="1767">
        <v>0</v>
      </c>
      <c r="AB119" s="1767">
        <v>0</v>
      </c>
      <c r="AC119" s="1767">
        <v>0</v>
      </c>
      <c r="AD119" s="1767">
        <v>0</v>
      </c>
      <c r="AE119" s="1767">
        <v>0</v>
      </c>
      <c r="AF119" s="1767">
        <v>0</v>
      </c>
      <c r="AG119" s="1767">
        <v>0</v>
      </c>
      <c r="AH119" s="1767">
        <v>0</v>
      </c>
      <c r="AI119" s="1767">
        <v>0</v>
      </c>
      <c r="AJ119" s="1767">
        <v>0</v>
      </c>
      <c r="AK119" s="1767">
        <v>0</v>
      </c>
      <c r="AL119" s="1767">
        <v>0</v>
      </c>
      <c r="AM119" s="1767">
        <v>0</v>
      </c>
      <c r="AN119" s="1767">
        <v>0</v>
      </c>
      <c r="AO119" s="1767">
        <v>0</v>
      </c>
      <c r="AP119" s="1767">
        <v>0</v>
      </c>
      <c r="AQ119" s="1767">
        <v>0</v>
      </c>
      <c r="AR119" s="1767">
        <v>0</v>
      </c>
      <c r="AS119" s="1767">
        <v>0</v>
      </c>
      <c r="AT119" s="1767">
        <v>0</v>
      </c>
      <c r="AU119" s="1767">
        <v>0</v>
      </c>
      <c r="AV119" s="1767">
        <v>0</v>
      </c>
      <c r="AW119" s="1767">
        <v>0</v>
      </c>
      <c r="AX119" s="1767">
        <v>0</v>
      </c>
      <c r="AY119" s="1767">
        <v>0</v>
      </c>
      <c r="AZ119" s="1767">
        <v>0</v>
      </c>
      <c r="BA119" s="1767">
        <v>0</v>
      </c>
      <c r="BB119" s="1767">
        <v>0</v>
      </c>
      <c r="BC119" s="1767">
        <v>0</v>
      </c>
      <c r="BD119" s="1767">
        <v>0</v>
      </c>
      <c r="BE119" s="1767">
        <v>0</v>
      </c>
      <c r="BF119" s="1767">
        <v>0</v>
      </c>
      <c r="BG119" s="1767">
        <v>0</v>
      </c>
      <c r="BH119" s="1767">
        <v>0</v>
      </c>
      <c r="BI119" s="1767">
        <v>0</v>
      </c>
      <c r="BJ119" s="1767">
        <v>0</v>
      </c>
      <c r="BK119" s="1767">
        <v>0</v>
      </c>
      <c r="BL119" s="1767">
        <v>0</v>
      </c>
      <c r="BM119" s="1767">
        <v>0</v>
      </c>
      <c r="BN119" s="1767">
        <v>0</v>
      </c>
      <c r="BO119" s="1767">
        <v>0</v>
      </c>
      <c r="BP119" s="1767">
        <v>0</v>
      </c>
      <c r="BQ119" s="1767">
        <v>0</v>
      </c>
      <c r="BR119" s="1767">
        <v>0</v>
      </c>
      <c r="BS119" s="1767">
        <v>0</v>
      </c>
      <c r="BT119" s="1767">
        <v>0</v>
      </c>
      <c r="BU119" s="1767">
        <v>0</v>
      </c>
      <c r="BV119" s="1767">
        <v>0</v>
      </c>
      <c r="BW119" s="1767">
        <v>0</v>
      </c>
      <c r="BX119" s="1767">
        <v>0</v>
      </c>
      <c r="BY119" s="1767">
        <v>0</v>
      </c>
      <c r="BZ119" s="1767">
        <v>0</v>
      </c>
      <c r="CA119" s="1767">
        <v>0</v>
      </c>
      <c r="CB119" s="1767">
        <v>0</v>
      </c>
      <c r="CC119" s="1767">
        <v>0</v>
      </c>
      <c r="CD119" s="1767">
        <v>0</v>
      </c>
      <c r="CE119" s="1767">
        <v>0</v>
      </c>
      <c r="CF119" s="1767">
        <v>0</v>
      </c>
      <c r="CG119" s="1767">
        <v>0</v>
      </c>
      <c r="CH119" s="1767">
        <v>0</v>
      </c>
      <c r="CI119" s="1767">
        <v>0</v>
      </c>
      <c r="CJ119" s="1767">
        <v>0</v>
      </c>
      <c r="CK119" s="1767">
        <v>0</v>
      </c>
      <c r="CL119" s="1767">
        <v>0</v>
      </c>
      <c r="CM119" s="1767">
        <v>0</v>
      </c>
      <c r="CN119" s="1767">
        <v>0</v>
      </c>
      <c r="CO119" s="1767">
        <v>0</v>
      </c>
      <c r="CP119" s="1767">
        <v>0</v>
      </c>
    </row>
    <row r="120" spans="1:94" ht="15" customHeight="1" thickBot="1" x14ac:dyDescent="0.25">
      <c r="A120" s="1890"/>
      <c r="B120" s="1857"/>
      <c r="C120" s="800" t="s">
        <v>2108</v>
      </c>
      <c r="D120" s="936"/>
      <c r="E120" s="1831"/>
      <c r="F120" s="1225"/>
      <c r="G120" s="1767">
        <v>0</v>
      </c>
      <c r="H120" s="1767">
        <v>0</v>
      </c>
      <c r="I120" s="1767">
        <v>0</v>
      </c>
      <c r="J120" s="1767">
        <v>0</v>
      </c>
      <c r="K120" s="1767">
        <v>0</v>
      </c>
      <c r="L120" s="1767">
        <v>0</v>
      </c>
      <c r="M120" s="1767">
        <v>0</v>
      </c>
      <c r="N120" s="1767">
        <v>0</v>
      </c>
      <c r="O120" s="1767">
        <v>0</v>
      </c>
      <c r="P120" s="1767">
        <v>0</v>
      </c>
      <c r="Q120" s="1767">
        <v>0</v>
      </c>
      <c r="R120" s="1767">
        <v>0</v>
      </c>
      <c r="S120" s="1767">
        <v>0</v>
      </c>
      <c r="T120" s="1767">
        <v>0</v>
      </c>
      <c r="U120" s="1767">
        <v>0</v>
      </c>
      <c r="V120" s="1767">
        <v>0</v>
      </c>
      <c r="W120" s="1767">
        <v>0</v>
      </c>
      <c r="X120" s="1767">
        <v>0</v>
      </c>
      <c r="Y120" s="1767">
        <v>0</v>
      </c>
      <c r="Z120" s="1767">
        <v>0</v>
      </c>
      <c r="AA120" s="1767">
        <v>0</v>
      </c>
      <c r="AB120" s="1767">
        <v>0</v>
      </c>
      <c r="AC120" s="1767">
        <v>0</v>
      </c>
      <c r="AD120" s="1767">
        <v>0</v>
      </c>
      <c r="AE120" s="1767">
        <v>0</v>
      </c>
      <c r="AF120" s="1767">
        <v>0</v>
      </c>
      <c r="AG120" s="1767">
        <v>0</v>
      </c>
      <c r="AH120" s="1767">
        <v>0</v>
      </c>
      <c r="AI120" s="1767">
        <v>0</v>
      </c>
      <c r="AJ120" s="1767">
        <v>0</v>
      </c>
      <c r="AK120" s="1767">
        <v>0</v>
      </c>
      <c r="AL120" s="1767">
        <v>0</v>
      </c>
      <c r="AM120" s="1767">
        <v>0</v>
      </c>
      <c r="AN120" s="1767">
        <v>0</v>
      </c>
      <c r="AO120" s="1767">
        <v>0</v>
      </c>
      <c r="AP120" s="1767">
        <v>0</v>
      </c>
      <c r="AQ120" s="1767">
        <v>0</v>
      </c>
      <c r="AR120" s="1767">
        <v>0</v>
      </c>
      <c r="AS120" s="1767">
        <v>0</v>
      </c>
      <c r="AT120" s="1767">
        <v>0</v>
      </c>
      <c r="AU120" s="1767">
        <v>0</v>
      </c>
      <c r="AV120" s="1767">
        <v>0</v>
      </c>
      <c r="AW120" s="1767">
        <v>0</v>
      </c>
      <c r="AX120" s="1767">
        <v>0</v>
      </c>
      <c r="AY120" s="1767">
        <v>0</v>
      </c>
      <c r="AZ120" s="1767">
        <v>0</v>
      </c>
      <c r="BA120" s="1767">
        <v>0</v>
      </c>
      <c r="BB120" s="1767">
        <v>0</v>
      </c>
      <c r="BC120" s="1767">
        <v>0</v>
      </c>
      <c r="BD120" s="1767">
        <v>0</v>
      </c>
      <c r="BE120" s="1767">
        <v>0</v>
      </c>
      <c r="BF120" s="1767">
        <v>0</v>
      </c>
      <c r="BG120" s="1767">
        <v>0</v>
      </c>
      <c r="BH120" s="1767">
        <v>0</v>
      </c>
      <c r="BI120" s="1767">
        <v>0</v>
      </c>
      <c r="BJ120" s="1767">
        <v>0</v>
      </c>
      <c r="BK120" s="1767">
        <v>0</v>
      </c>
      <c r="BL120" s="1767">
        <v>0</v>
      </c>
      <c r="BM120" s="1767">
        <v>0</v>
      </c>
      <c r="BN120" s="1767">
        <v>0</v>
      </c>
      <c r="BO120" s="1767">
        <v>0</v>
      </c>
      <c r="BP120" s="1767">
        <v>0</v>
      </c>
      <c r="BQ120" s="1767">
        <v>0</v>
      </c>
      <c r="BR120" s="1767">
        <v>0</v>
      </c>
      <c r="BS120" s="1767">
        <v>0</v>
      </c>
      <c r="BT120" s="1767">
        <v>0</v>
      </c>
      <c r="BU120" s="1767">
        <v>0</v>
      </c>
      <c r="BV120" s="1767">
        <v>0</v>
      </c>
      <c r="BW120" s="1767">
        <v>0</v>
      </c>
      <c r="BX120" s="1767">
        <v>0</v>
      </c>
      <c r="BY120" s="1767">
        <v>0</v>
      </c>
      <c r="BZ120" s="1767">
        <v>0</v>
      </c>
      <c r="CA120" s="1767">
        <v>0</v>
      </c>
      <c r="CB120" s="1767">
        <v>0</v>
      </c>
      <c r="CC120" s="1767">
        <v>0</v>
      </c>
      <c r="CD120" s="1767">
        <v>0</v>
      </c>
      <c r="CE120" s="1767">
        <v>0</v>
      </c>
      <c r="CF120" s="1767">
        <v>0</v>
      </c>
      <c r="CG120" s="1767">
        <v>0</v>
      </c>
      <c r="CH120" s="1767">
        <v>0</v>
      </c>
      <c r="CI120" s="1767">
        <v>0</v>
      </c>
      <c r="CJ120" s="1767">
        <v>0</v>
      </c>
      <c r="CK120" s="1767">
        <v>0</v>
      </c>
      <c r="CL120" s="1767">
        <v>0</v>
      </c>
      <c r="CM120" s="1767">
        <v>0</v>
      </c>
      <c r="CN120" s="1767">
        <v>0</v>
      </c>
      <c r="CO120" s="1767">
        <v>0</v>
      </c>
      <c r="CP120" s="1767">
        <v>0</v>
      </c>
    </row>
    <row r="121" spans="1:94" ht="30" customHeight="1" thickBot="1" x14ac:dyDescent="0.25">
      <c r="A121" s="1846" t="s">
        <v>1297</v>
      </c>
      <c r="B121" s="1891" t="s">
        <v>2249</v>
      </c>
      <c r="C121" s="1779" t="s">
        <v>2518</v>
      </c>
      <c r="D121" s="947"/>
      <c r="E121" s="1891" t="s">
        <v>2316</v>
      </c>
      <c r="F121" s="1225"/>
      <c r="G121" s="1742"/>
      <c r="H121" s="1742"/>
      <c r="I121" s="1742"/>
      <c r="J121" s="1742"/>
      <c r="K121" s="1742"/>
      <c r="L121" s="1742"/>
      <c r="M121" s="1742"/>
      <c r="N121" s="1742"/>
      <c r="O121" s="1742"/>
      <c r="P121" s="1742"/>
      <c r="Q121" s="1742"/>
      <c r="R121" s="1742"/>
      <c r="S121" s="1742"/>
      <c r="T121" s="1742"/>
      <c r="U121" s="1742"/>
      <c r="V121" s="1742"/>
      <c r="W121" s="1742"/>
      <c r="X121" s="1742"/>
      <c r="Y121" s="1742"/>
      <c r="Z121" s="1742"/>
      <c r="AA121" s="1742"/>
      <c r="AB121" s="1742"/>
      <c r="AC121" s="1742"/>
      <c r="AD121" s="1742"/>
      <c r="AE121" s="1742"/>
      <c r="AF121" s="1742"/>
      <c r="AG121" s="1742"/>
      <c r="AH121" s="1742"/>
      <c r="AI121" s="1742"/>
      <c r="AJ121" s="1742"/>
      <c r="AK121" s="1742"/>
      <c r="AL121" s="1742"/>
      <c r="AM121" s="1742"/>
      <c r="AN121" s="1742"/>
      <c r="AO121" s="1742"/>
      <c r="AP121" s="1742"/>
      <c r="AQ121" s="1742"/>
      <c r="AR121" s="1742"/>
      <c r="AS121" s="1742"/>
      <c r="AT121" s="1742"/>
      <c r="AU121" s="1742"/>
      <c r="AV121" s="1742"/>
      <c r="AW121" s="1742"/>
      <c r="AX121" s="1742"/>
      <c r="AY121" s="1742"/>
      <c r="AZ121" s="1742"/>
      <c r="BA121" s="1742"/>
      <c r="BB121" s="1742"/>
      <c r="BC121" s="1742"/>
      <c r="BD121" s="1742"/>
      <c r="BE121" s="1742"/>
      <c r="BF121" s="1742"/>
      <c r="BG121" s="1742"/>
      <c r="BH121" s="1742"/>
      <c r="BI121" s="1742"/>
      <c r="BJ121" s="1742"/>
      <c r="BK121" s="1742"/>
      <c r="BL121" s="1742"/>
      <c r="BM121" s="1742"/>
      <c r="BN121" s="1742"/>
      <c r="BO121" s="1742"/>
      <c r="BP121" s="1742"/>
      <c r="BQ121" s="1742"/>
      <c r="BR121" s="1742"/>
      <c r="BS121" s="1742"/>
      <c r="BT121" s="1742"/>
      <c r="BU121" s="1742"/>
      <c r="BV121" s="1742"/>
      <c r="BW121" s="1742"/>
      <c r="BX121" s="1742"/>
      <c r="BY121" s="1742"/>
      <c r="BZ121" s="1742"/>
      <c r="CA121" s="1742"/>
      <c r="CB121" s="1742"/>
      <c r="CC121" s="1742"/>
      <c r="CD121" s="1742"/>
      <c r="CE121" s="1742"/>
      <c r="CF121" s="1742"/>
      <c r="CG121" s="1742"/>
      <c r="CH121" s="1742"/>
      <c r="CI121" s="1742"/>
      <c r="CJ121" s="1742"/>
      <c r="CK121" s="1742"/>
      <c r="CL121" s="1742"/>
      <c r="CM121" s="1742"/>
      <c r="CN121" s="1742"/>
      <c r="CO121" s="1742"/>
      <c r="CP121" s="1742"/>
    </row>
    <row r="122" spans="1:94" ht="27" customHeight="1" x14ac:dyDescent="0.2">
      <c r="A122" s="1847"/>
      <c r="B122" s="1892"/>
      <c r="C122" s="961" t="s">
        <v>1812</v>
      </c>
      <c r="D122" s="958"/>
      <c r="E122" s="1892"/>
      <c r="F122" s="1225"/>
      <c r="G122" s="1767">
        <v>0</v>
      </c>
      <c r="H122" s="1767">
        <v>0</v>
      </c>
      <c r="I122" s="1767">
        <v>0</v>
      </c>
      <c r="J122" s="1767">
        <v>0</v>
      </c>
      <c r="K122" s="1767">
        <v>0</v>
      </c>
      <c r="L122" s="1767">
        <v>0</v>
      </c>
      <c r="M122" s="1767">
        <v>0</v>
      </c>
      <c r="N122" s="1767">
        <v>0</v>
      </c>
      <c r="O122" s="1767">
        <v>0</v>
      </c>
      <c r="P122" s="1767">
        <v>0</v>
      </c>
      <c r="Q122" s="1767">
        <v>0</v>
      </c>
      <c r="R122" s="1767">
        <v>0</v>
      </c>
      <c r="S122" s="1767">
        <v>0</v>
      </c>
      <c r="T122" s="1767">
        <v>0</v>
      </c>
      <c r="U122" s="1767">
        <v>0</v>
      </c>
      <c r="V122" s="1767">
        <v>0</v>
      </c>
      <c r="W122" s="1767">
        <v>0</v>
      </c>
      <c r="X122" s="1767">
        <v>0</v>
      </c>
      <c r="Y122" s="1767">
        <v>0</v>
      </c>
      <c r="Z122" s="1767">
        <v>0</v>
      </c>
      <c r="AA122" s="1767">
        <v>0</v>
      </c>
      <c r="AB122" s="1767">
        <v>0</v>
      </c>
      <c r="AC122" s="1767">
        <v>0</v>
      </c>
      <c r="AD122" s="1767">
        <v>0</v>
      </c>
      <c r="AE122" s="1767">
        <v>0</v>
      </c>
      <c r="AF122" s="1767">
        <v>0</v>
      </c>
      <c r="AG122" s="1767">
        <v>0</v>
      </c>
      <c r="AH122" s="1767">
        <v>0</v>
      </c>
      <c r="AI122" s="1767">
        <v>0</v>
      </c>
      <c r="AJ122" s="1767">
        <v>0</v>
      </c>
      <c r="AK122" s="1767">
        <v>0</v>
      </c>
      <c r="AL122" s="1767">
        <v>0</v>
      </c>
      <c r="AM122" s="1767">
        <v>0</v>
      </c>
      <c r="AN122" s="1767">
        <v>0</v>
      </c>
      <c r="AO122" s="1767">
        <v>0</v>
      </c>
      <c r="AP122" s="1767">
        <v>0</v>
      </c>
      <c r="AQ122" s="1767">
        <v>0</v>
      </c>
      <c r="AR122" s="1767">
        <v>0</v>
      </c>
      <c r="AS122" s="1767">
        <v>0</v>
      </c>
      <c r="AT122" s="1767">
        <v>0</v>
      </c>
      <c r="AU122" s="1767">
        <v>0</v>
      </c>
      <c r="AV122" s="1767">
        <v>0</v>
      </c>
      <c r="AW122" s="1767">
        <v>0</v>
      </c>
      <c r="AX122" s="1767">
        <v>0</v>
      </c>
      <c r="AY122" s="1767">
        <v>0</v>
      </c>
      <c r="AZ122" s="1767">
        <v>0</v>
      </c>
      <c r="BA122" s="1767">
        <v>0</v>
      </c>
      <c r="BB122" s="1767">
        <v>0</v>
      </c>
      <c r="BC122" s="1767">
        <v>0</v>
      </c>
      <c r="BD122" s="1767">
        <v>0</v>
      </c>
      <c r="BE122" s="1767">
        <v>0</v>
      </c>
      <c r="BF122" s="1767">
        <v>0</v>
      </c>
      <c r="BG122" s="1767">
        <v>0</v>
      </c>
      <c r="BH122" s="1767">
        <v>0</v>
      </c>
      <c r="BI122" s="1767">
        <v>0</v>
      </c>
      <c r="BJ122" s="1767">
        <v>0</v>
      </c>
      <c r="BK122" s="1767">
        <v>0</v>
      </c>
      <c r="BL122" s="1767">
        <v>0</v>
      </c>
      <c r="BM122" s="1767">
        <v>0</v>
      </c>
      <c r="BN122" s="1767">
        <v>0</v>
      </c>
      <c r="BO122" s="1767">
        <v>0</v>
      </c>
      <c r="BP122" s="1767">
        <v>0</v>
      </c>
      <c r="BQ122" s="1767">
        <v>0</v>
      </c>
      <c r="BR122" s="1767">
        <v>0</v>
      </c>
      <c r="BS122" s="1767">
        <v>0</v>
      </c>
      <c r="BT122" s="1767">
        <v>0</v>
      </c>
      <c r="BU122" s="1767">
        <v>0</v>
      </c>
      <c r="BV122" s="1767">
        <v>0</v>
      </c>
      <c r="BW122" s="1767">
        <v>0</v>
      </c>
      <c r="BX122" s="1767">
        <v>0</v>
      </c>
      <c r="BY122" s="1767">
        <v>0</v>
      </c>
      <c r="BZ122" s="1767">
        <v>0</v>
      </c>
      <c r="CA122" s="1767">
        <v>0</v>
      </c>
      <c r="CB122" s="1767">
        <v>0</v>
      </c>
      <c r="CC122" s="1767">
        <v>0</v>
      </c>
      <c r="CD122" s="1767">
        <v>0</v>
      </c>
      <c r="CE122" s="1767">
        <v>0</v>
      </c>
      <c r="CF122" s="1767">
        <v>0</v>
      </c>
      <c r="CG122" s="1767">
        <v>0</v>
      </c>
      <c r="CH122" s="1767">
        <v>0</v>
      </c>
      <c r="CI122" s="1767">
        <v>0</v>
      </c>
      <c r="CJ122" s="1767">
        <v>0</v>
      </c>
      <c r="CK122" s="1767">
        <v>0</v>
      </c>
      <c r="CL122" s="1767">
        <v>0</v>
      </c>
      <c r="CM122" s="1767">
        <v>0</v>
      </c>
      <c r="CN122" s="1767">
        <v>0</v>
      </c>
      <c r="CO122" s="1767">
        <v>0</v>
      </c>
      <c r="CP122" s="1767">
        <v>0</v>
      </c>
    </row>
    <row r="123" spans="1:94" ht="15" customHeight="1" x14ac:dyDescent="0.2">
      <c r="A123" s="1847"/>
      <c r="B123" s="1892"/>
      <c r="C123" s="962" t="s">
        <v>452</v>
      </c>
      <c r="D123" s="958"/>
      <c r="E123" s="1892"/>
      <c r="F123" s="1225"/>
      <c r="G123" s="1767">
        <v>0</v>
      </c>
      <c r="H123" s="1767">
        <v>0</v>
      </c>
      <c r="I123" s="1767">
        <v>0</v>
      </c>
      <c r="J123" s="1767">
        <v>0</v>
      </c>
      <c r="K123" s="1767">
        <v>0</v>
      </c>
      <c r="L123" s="1767">
        <v>0</v>
      </c>
      <c r="M123" s="1767">
        <v>0</v>
      </c>
      <c r="N123" s="1767">
        <v>0</v>
      </c>
      <c r="O123" s="1767">
        <v>0</v>
      </c>
      <c r="P123" s="1767">
        <v>0</v>
      </c>
      <c r="Q123" s="1767">
        <v>0</v>
      </c>
      <c r="R123" s="1767">
        <v>0</v>
      </c>
      <c r="S123" s="1767">
        <v>0</v>
      </c>
      <c r="T123" s="1767">
        <v>0</v>
      </c>
      <c r="U123" s="1767">
        <v>0</v>
      </c>
      <c r="V123" s="1767">
        <v>0</v>
      </c>
      <c r="W123" s="1767">
        <v>0</v>
      </c>
      <c r="X123" s="1767">
        <v>0</v>
      </c>
      <c r="Y123" s="1767">
        <v>0</v>
      </c>
      <c r="Z123" s="1767">
        <v>0</v>
      </c>
      <c r="AA123" s="1767">
        <v>0</v>
      </c>
      <c r="AB123" s="1767">
        <v>0</v>
      </c>
      <c r="AC123" s="1767">
        <v>0</v>
      </c>
      <c r="AD123" s="1767">
        <v>0</v>
      </c>
      <c r="AE123" s="1767">
        <v>0</v>
      </c>
      <c r="AF123" s="1767">
        <v>0</v>
      </c>
      <c r="AG123" s="1767">
        <v>0</v>
      </c>
      <c r="AH123" s="1767">
        <v>0</v>
      </c>
      <c r="AI123" s="1767">
        <v>0</v>
      </c>
      <c r="AJ123" s="1767">
        <v>0</v>
      </c>
      <c r="AK123" s="1767">
        <v>0</v>
      </c>
      <c r="AL123" s="1767">
        <v>0</v>
      </c>
      <c r="AM123" s="1767">
        <v>0</v>
      </c>
      <c r="AN123" s="1767">
        <v>0</v>
      </c>
      <c r="AO123" s="1767">
        <v>0</v>
      </c>
      <c r="AP123" s="1767">
        <v>0</v>
      </c>
      <c r="AQ123" s="1767">
        <v>0</v>
      </c>
      <c r="AR123" s="1767">
        <v>0</v>
      </c>
      <c r="AS123" s="1767">
        <v>0</v>
      </c>
      <c r="AT123" s="1767">
        <v>0</v>
      </c>
      <c r="AU123" s="1767">
        <v>0</v>
      </c>
      <c r="AV123" s="1767">
        <v>0</v>
      </c>
      <c r="AW123" s="1767">
        <v>0</v>
      </c>
      <c r="AX123" s="1767">
        <v>0</v>
      </c>
      <c r="AY123" s="1767">
        <v>0</v>
      </c>
      <c r="AZ123" s="1767">
        <v>0</v>
      </c>
      <c r="BA123" s="1767">
        <v>0</v>
      </c>
      <c r="BB123" s="1767">
        <v>0</v>
      </c>
      <c r="BC123" s="1767">
        <v>0</v>
      </c>
      <c r="BD123" s="1767">
        <v>0</v>
      </c>
      <c r="BE123" s="1767">
        <v>0</v>
      </c>
      <c r="BF123" s="1767">
        <v>0</v>
      </c>
      <c r="BG123" s="1767">
        <v>0</v>
      </c>
      <c r="BH123" s="1767">
        <v>0</v>
      </c>
      <c r="BI123" s="1767">
        <v>0</v>
      </c>
      <c r="BJ123" s="1767">
        <v>0</v>
      </c>
      <c r="BK123" s="1767">
        <v>0</v>
      </c>
      <c r="BL123" s="1767">
        <v>0</v>
      </c>
      <c r="BM123" s="1767">
        <v>0</v>
      </c>
      <c r="BN123" s="1767">
        <v>0</v>
      </c>
      <c r="BO123" s="1767">
        <v>0</v>
      </c>
      <c r="BP123" s="1767">
        <v>0</v>
      </c>
      <c r="BQ123" s="1767">
        <v>0</v>
      </c>
      <c r="BR123" s="1767">
        <v>0</v>
      </c>
      <c r="BS123" s="1767">
        <v>0</v>
      </c>
      <c r="BT123" s="1767">
        <v>0</v>
      </c>
      <c r="BU123" s="1767">
        <v>0</v>
      </c>
      <c r="BV123" s="1767">
        <v>0</v>
      </c>
      <c r="BW123" s="1767">
        <v>0</v>
      </c>
      <c r="BX123" s="1767">
        <v>0</v>
      </c>
      <c r="BY123" s="1767">
        <v>0</v>
      </c>
      <c r="BZ123" s="1767">
        <v>0</v>
      </c>
      <c r="CA123" s="1767">
        <v>0</v>
      </c>
      <c r="CB123" s="1767">
        <v>0</v>
      </c>
      <c r="CC123" s="1767">
        <v>0</v>
      </c>
      <c r="CD123" s="1767">
        <v>0</v>
      </c>
      <c r="CE123" s="1767">
        <v>0</v>
      </c>
      <c r="CF123" s="1767">
        <v>0</v>
      </c>
      <c r="CG123" s="1767">
        <v>0</v>
      </c>
      <c r="CH123" s="1767">
        <v>0</v>
      </c>
      <c r="CI123" s="1767">
        <v>0</v>
      </c>
      <c r="CJ123" s="1767">
        <v>0</v>
      </c>
      <c r="CK123" s="1767">
        <v>0</v>
      </c>
      <c r="CL123" s="1767">
        <v>0</v>
      </c>
      <c r="CM123" s="1767">
        <v>0</v>
      </c>
      <c r="CN123" s="1767">
        <v>0</v>
      </c>
      <c r="CO123" s="1767">
        <v>0</v>
      </c>
      <c r="CP123" s="1767">
        <v>0</v>
      </c>
    </row>
    <row r="124" spans="1:94" ht="15" customHeight="1" x14ac:dyDescent="0.2">
      <c r="A124" s="1847"/>
      <c r="B124" s="1892"/>
      <c r="C124" s="962" t="s">
        <v>453</v>
      </c>
      <c r="D124" s="958"/>
      <c r="E124" s="1892"/>
      <c r="F124" s="1225"/>
      <c r="G124" s="1767">
        <v>0</v>
      </c>
      <c r="H124" s="1767">
        <v>0</v>
      </c>
      <c r="I124" s="1767">
        <v>0</v>
      </c>
      <c r="J124" s="1767">
        <v>0</v>
      </c>
      <c r="K124" s="1767">
        <v>0</v>
      </c>
      <c r="L124" s="1767">
        <v>0</v>
      </c>
      <c r="M124" s="1767">
        <v>0</v>
      </c>
      <c r="N124" s="1767">
        <v>0</v>
      </c>
      <c r="O124" s="1767">
        <v>0</v>
      </c>
      <c r="P124" s="1767">
        <v>0</v>
      </c>
      <c r="Q124" s="1767">
        <v>0</v>
      </c>
      <c r="R124" s="1767">
        <v>0</v>
      </c>
      <c r="S124" s="1767">
        <v>0</v>
      </c>
      <c r="T124" s="1767">
        <v>0</v>
      </c>
      <c r="U124" s="1767">
        <v>0</v>
      </c>
      <c r="V124" s="1767">
        <v>0</v>
      </c>
      <c r="W124" s="1767">
        <v>0</v>
      </c>
      <c r="X124" s="1767">
        <v>0</v>
      </c>
      <c r="Y124" s="1767">
        <v>0</v>
      </c>
      <c r="Z124" s="1767">
        <v>0</v>
      </c>
      <c r="AA124" s="1767">
        <v>0</v>
      </c>
      <c r="AB124" s="1767">
        <v>0</v>
      </c>
      <c r="AC124" s="1767">
        <v>0</v>
      </c>
      <c r="AD124" s="1767">
        <v>0</v>
      </c>
      <c r="AE124" s="1767">
        <v>0</v>
      </c>
      <c r="AF124" s="1767">
        <v>0</v>
      </c>
      <c r="AG124" s="1767">
        <v>0</v>
      </c>
      <c r="AH124" s="1767">
        <v>0</v>
      </c>
      <c r="AI124" s="1767">
        <v>0</v>
      </c>
      <c r="AJ124" s="1767">
        <v>0</v>
      </c>
      <c r="AK124" s="1767">
        <v>0</v>
      </c>
      <c r="AL124" s="1767">
        <v>0</v>
      </c>
      <c r="AM124" s="1767">
        <v>0</v>
      </c>
      <c r="AN124" s="1767">
        <v>0</v>
      </c>
      <c r="AO124" s="1767">
        <v>0</v>
      </c>
      <c r="AP124" s="1767">
        <v>0</v>
      </c>
      <c r="AQ124" s="1767">
        <v>0</v>
      </c>
      <c r="AR124" s="1767">
        <v>0</v>
      </c>
      <c r="AS124" s="1767">
        <v>0</v>
      </c>
      <c r="AT124" s="1767">
        <v>0</v>
      </c>
      <c r="AU124" s="1767">
        <v>0</v>
      </c>
      <c r="AV124" s="1767">
        <v>0</v>
      </c>
      <c r="AW124" s="1767">
        <v>0</v>
      </c>
      <c r="AX124" s="1767">
        <v>0</v>
      </c>
      <c r="AY124" s="1767">
        <v>0</v>
      </c>
      <c r="AZ124" s="1767">
        <v>0</v>
      </c>
      <c r="BA124" s="1767">
        <v>0</v>
      </c>
      <c r="BB124" s="1767">
        <v>0</v>
      </c>
      <c r="BC124" s="1767">
        <v>0</v>
      </c>
      <c r="BD124" s="1767">
        <v>0</v>
      </c>
      <c r="BE124" s="1767">
        <v>0</v>
      </c>
      <c r="BF124" s="1767">
        <v>0</v>
      </c>
      <c r="BG124" s="1767">
        <v>0</v>
      </c>
      <c r="BH124" s="1767">
        <v>0</v>
      </c>
      <c r="BI124" s="1767">
        <v>0</v>
      </c>
      <c r="BJ124" s="1767">
        <v>0</v>
      </c>
      <c r="BK124" s="1767">
        <v>0</v>
      </c>
      <c r="BL124" s="1767">
        <v>0</v>
      </c>
      <c r="BM124" s="1767">
        <v>0</v>
      </c>
      <c r="BN124" s="1767">
        <v>0</v>
      </c>
      <c r="BO124" s="1767">
        <v>0</v>
      </c>
      <c r="BP124" s="1767">
        <v>0</v>
      </c>
      <c r="BQ124" s="1767">
        <v>0</v>
      </c>
      <c r="BR124" s="1767">
        <v>0</v>
      </c>
      <c r="BS124" s="1767">
        <v>0</v>
      </c>
      <c r="BT124" s="1767">
        <v>0</v>
      </c>
      <c r="BU124" s="1767">
        <v>0</v>
      </c>
      <c r="BV124" s="1767">
        <v>0</v>
      </c>
      <c r="BW124" s="1767">
        <v>0</v>
      </c>
      <c r="BX124" s="1767">
        <v>0</v>
      </c>
      <c r="BY124" s="1767">
        <v>0</v>
      </c>
      <c r="BZ124" s="1767">
        <v>0</v>
      </c>
      <c r="CA124" s="1767">
        <v>0</v>
      </c>
      <c r="CB124" s="1767">
        <v>0</v>
      </c>
      <c r="CC124" s="1767">
        <v>0</v>
      </c>
      <c r="CD124" s="1767">
        <v>0</v>
      </c>
      <c r="CE124" s="1767">
        <v>0</v>
      </c>
      <c r="CF124" s="1767">
        <v>0</v>
      </c>
      <c r="CG124" s="1767">
        <v>0</v>
      </c>
      <c r="CH124" s="1767">
        <v>0</v>
      </c>
      <c r="CI124" s="1767">
        <v>0</v>
      </c>
      <c r="CJ124" s="1767">
        <v>0</v>
      </c>
      <c r="CK124" s="1767">
        <v>0</v>
      </c>
      <c r="CL124" s="1767">
        <v>0</v>
      </c>
      <c r="CM124" s="1767">
        <v>0</v>
      </c>
      <c r="CN124" s="1767">
        <v>0</v>
      </c>
      <c r="CO124" s="1767">
        <v>0</v>
      </c>
      <c r="CP124" s="1767">
        <v>0</v>
      </c>
    </row>
    <row r="125" spans="1:94" ht="15" customHeight="1" x14ac:dyDescent="0.2">
      <c r="A125" s="1847"/>
      <c r="B125" s="1892"/>
      <c r="C125" s="962" t="s">
        <v>498</v>
      </c>
      <c r="D125" s="958"/>
      <c r="E125" s="1892"/>
      <c r="F125" s="1225"/>
      <c r="G125" s="1767">
        <v>0</v>
      </c>
      <c r="H125" s="1767">
        <v>0</v>
      </c>
      <c r="I125" s="1767">
        <v>0</v>
      </c>
      <c r="J125" s="1767">
        <v>0</v>
      </c>
      <c r="K125" s="1767">
        <v>0</v>
      </c>
      <c r="L125" s="1767">
        <v>0</v>
      </c>
      <c r="M125" s="1767">
        <v>0</v>
      </c>
      <c r="N125" s="1767">
        <v>0</v>
      </c>
      <c r="O125" s="1767">
        <v>0</v>
      </c>
      <c r="P125" s="1767">
        <v>0</v>
      </c>
      <c r="Q125" s="1767">
        <v>0</v>
      </c>
      <c r="R125" s="1767">
        <v>0</v>
      </c>
      <c r="S125" s="1767">
        <v>0</v>
      </c>
      <c r="T125" s="1767">
        <v>0</v>
      </c>
      <c r="U125" s="1767">
        <v>0</v>
      </c>
      <c r="V125" s="1767">
        <v>0</v>
      </c>
      <c r="W125" s="1767">
        <v>0</v>
      </c>
      <c r="X125" s="1767">
        <v>0</v>
      </c>
      <c r="Y125" s="1767">
        <v>0</v>
      </c>
      <c r="Z125" s="1767">
        <v>0</v>
      </c>
      <c r="AA125" s="1767">
        <v>0</v>
      </c>
      <c r="AB125" s="1767">
        <v>0</v>
      </c>
      <c r="AC125" s="1767">
        <v>0</v>
      </c>
      <c r="AD125" s="1767">
        <v>0</v>
      </c>
      <c r="AE125" s="1767">
        <v>0</v>
      </c>
      <c r="AF125" s="1767">
        <v>0</v>
      </c>
      <c r="AG125" s="1767">
        <v>0</v>
      </c>
      <c r="AH125" s="1767">
        <v>0</v>
      </c>
      <c r="AI125" s="1767">
        <v>0</v>
      </c>
      <c r="AJ125" s="1767">
        <v>0</v>
      </c>
      <c r="AK125" s="1767">
        <v>0</v>
      </c>
      <c r="AL125" s="1767">
        <v>0</v>
      </c>
      <c r="AM125" s="1767">
        <v>0</v>
      </c>
      <c r="AN125" s="1767">
        <v>0</v>
      </c>
      <c r="AO125" s="1767">
        <v>0</v>
      </c>
      <c r="AP125" s="1767">
        <v>0</v>
      </c>
      <c r="AQ125" s="1767">
        <v>0</v>
      </c>
      <c r="AR125" s="1767">
        <v>0</v>
      </c>
      <c r="AS125" s="1767">
        <v>0</v>
      </c>
      <c r="AT125" s="1767">
        <v>0</v>
      </c>
      <c r="AU125" s="1767">
        <v>0</v>
      </c>
      <c r="AV125" s="1767">
        <v>0</v>
      </c>
      <c r="AW125" s="1767">
        <v>0</v>
      </c>
      <c r="AX125" s="1767">
        <v>0</v>
      </c>
      <c r="AY125" s="1767">
        <v>0</v>
      </c>
      <c r="AZ125" s="1767">
        <v>0</v>
      </c>
      <c r="BA125" s="1767">
        <v>0</v>
      </c>
      <c r="BB125" s="1767">
        <v>0</v>
      </c>
      <c r="BC125" s="1767">
        <v>0</v>
      </c>
      <c r="BD125" s="1767">
        <v>0</v>
      </c>
      <c r="BE125" s="1767">
        <v>0</v>
      </c>
      <c r="BF125" s="1767">
        <v>0</v>
      </c>
      <c r="BG125" s="1767">
        <v>0</v>
      </c>
      <c r="BH125" s="1767">
        <v>0</v>
      </c>
      <c r="BI125" s="1767">
        <v>0</v>
      </c>
      <c r="BJ125" s="1767">
        <v>0</v>
      </c>
      <c r="BK125" s="1767">
        <v>0</v>
      </c>
      <c r="BL125" s="1767">
        <v>0</v>
      </c>
      <c r="BM125" s="1767">
        <v>0</v>
      </c>
      <c r="BN125" s="1767">
        <v>0</v>
      </c>
      <c r="BO125" s="1767">
        <v>0</v>
      </c>
      <c r="BP125" s="1767">
        <v>0</v>
      </c>
      <c r="BQ125" s="1767">
        <v>0</v>
      </c>
      <c r="BR125" s="1767">
        <v>0</v>
      </c>
      <c r="BS125" s="1767">
        <v>0</v>
      </c>
      <c r="BT125" s="1767">
        <v>0</v>
      </c>
      <c r="BU125" s="1767">
        <v>0</v>
      </c>
      <c r="BV125" s="1767">
        <v>0</v>
      </c>
      <c r="BW125" s="1767">
        <v>0</v>
      </c>
      <c r="BX125" s="1767">
        <v>0</v>
      </c>
      <c r="BY125" s="1767">
        <v>0</v>
      </c>
      <c r="BZ125" s="1767">
        <v>0</v>
      </c>
      <c r="CA125" s="1767">
        <v>0</v>
      </c>
      <c r="CB125" s="1767">
        <v>0</v>
      </c>
      <c r="CC125" s="1767">
        <v>0</v>
      </c>
      <c r="CD125" s="1767">
        <v>0</v>
      </c>
      <c r="CE125" s="1767">
        <v>0</v>
      </c>
      <c r="CF125" s="1767">
        <v>0</v>
      </c>
      <c r="CG125" s="1767">
        <v>0</v>
      </c>
      <c r="CH125" s="1767">
        <v>0</v>
      </c>
      <c r="CI125" s="1767">
        <v>0</v>
      </c>
      <c r="CJ125" s="1767">
        <v>0</v>
      </c>
      <c r="CK125" s="1767">
        <v>0</v>
      </c>
      <c r="CL125" s="1767">
        <v>0</v>
      </c>
      <c r="CM125" s="1767">
        <v>0</v>
      </c>
      <c r="CN125" s="1767">
        <v>0</v>
      </c>
      <c r="CO125" s="1767">
        <v>0</v>
      </c>
      <c r="CP125" s="1767">
        <v>0</v>
      </c>
    </row>
    <row r="126" spans="1:94" ht="28.5" customHeight="1" thickBot="1" x14ac:dyDescent="0.25">
      <c r="A126" s="1848"/>
      <c r="B126" s="1893"/>
      <c r="C126" s="963" t="s">
        <v>2359</v>
      </c>
      <c r="D126" s="959"/>
      <c r="E126" s="1893"/>
      <c r="F126" s="1225"/>
      <c r="G126" s="1767">
        <v>0</v>
      </c>
      <c r="H126" s="1767">
        <v>0</v>
      </c>
      <c r="I126" s="1767">
        <v>0</v>
      </c>
      <c r="J126" s="1767">
        <v>0</v>
      </c>
      <c r="K126" s="1767">
        <v>0</v>
      </c>
      <c r="L126" s="1767">
        <v>0</v>
      </c>
      <c r="M126" s="1767">
        <v>0</v>
      </c>
      <c r="N126" s="1767">
        <v>0</v>
      </c>
      <c r="O126" s="1767">
        <v>0</v>
      </c>
      <c r="P126" s="1767">
        <v>0</v>
      </c>
      <c r="Q126" s="1767">
        <v>0</v>
      </c>
      <c r="R126" s="1767">
        <v>0</v>
      </c>
      <c r="S126" s="1767">
        <v>0</v>
      </c>
      <c r="T126" s="1767">
        <v>0</v>
      </c>
      <c r="U126" s="1767">
        <v>0</v>
      </c>
      <c r="V126" s="1767">
        <v>0</v>
      </c>
      <c r="W126" s="1767">
        <v>0</v>
      </c>
      <c r="X126" s="1767">
        <v>0</v>
      </c>
      <c r="Y126" s="1767">
        <v>0</v>
      </c>
      <c r="Z126" s="1767">
        <v>0</v>
      </c>
      <c r="AA126" s="1767">
        <v>0</v>
      </c>
      <c r="AB126" s="1767">
        <v>0</v>
      </c>
      <c r="AC126" s="1767">
        <v>0</v>
      </c>
      <c r="AD126" s="1767">
        <v>0</v>
      </c>
      <c r="AE126" s="1767">
        <v>0</v>
      </c>
      <c r="AF126" s="1767">
        <v>0</v>
      </c>
      <c r="AG126" s="1767">
        <v>0</v>
      </c>
      <c r="AH126" s="1767">
        <v>0</v>
      </c>
      <c r="AI126" s="1767">
        <v>0</v>
      </c>
      <c r="AJ126" s="1767">
        <v>0</v>
      </c>
      <c r="AK126" s="1767">
        <v>0</v>
      </c>
      <c r="AL126" s="1767">
        <v>0</v>
      </c>
      <c r="AM126" s="1767">
        <v>0</v>
      </c>
      <c r="AN126" s="1767">
        <v>0</v>
      </c>
      <c r="AO126" s="1767">
        <v>0</v>
      </c>
      <c r="AP126" s="1767">
        <v>0</v>
      </c>
      <c r="AQ126" s="1767">
        <v>0</v>
      </c>
      <c r="AR126" s="1767">
        <v>0</v>
      </c>
      <c r="AS126" s="1767">
        <v>0</v>
      </c>
      <c r="AT126" s="1767">
        <v>0</v>
      </c>
      <c r="AU126" s="1767">
        <v>0</v>
      </c>
      <c r="AV126" s="1767">
        <v>0</v>
      </c>
      <c r="AW126" s="1767">
        <v>0</v>
      </c>
      <c r="AX126" s="1767">
        <v>0</v>
      </c>
      <c r="AY126" s="1767">
        <v>0</v>
      </c>
      <c r="AZ126" s="1767">
        <v>0</v>
      </c>
      <c r="BA126" s="1767">
        <v>0</v>
      </c>
      <c r="BB126" s="1767">
        <v>0</v>
      </c>
      <c r="BC126" s="1767">
        <v>0</v>
      </c>
      <c r="BD126" s="1767">
        <v>0</v>
      </c>
      <c r="BE126" s="1767">
        <v>0</v>
      </c>
      <c r="BF126" s="1767">
        <v>0</v>
      </c>
      <c r="BG126" s="1767">
        <v>0</v>
      </c>
      <c r="BH126" s="1767">
        <v>0</v>
      </c>
      <c r="BI126" s="1767">
        <v>0</v>
      </c>
      <c r="BJ126" s="1767">
        <v>0</v>
      </c>
      <c r="BK126" s="1767">
        <v>0</v>
      </c>
      <c r="BL126" s="1767">
        <v>0</v>
      </c>
      <c r="BM126" s="1767">
        <v>0</v>
      </c>
      <c r="BN126" s="1767">
        <v>0</v>
      </c>
      <c r="BO126" s="1767">
        <v>0</v>
      </c>
      <c r="BP126" s="1767">
        <v>0</v>
      </c>
      <c r="BQ126" s="1767">
        <v>0</v>
      </c>
      <c r="BR126" s="1767">
        <v>0</v>
      </c>
      <c r="BS126" s="1767">
        <v>0</v>
      </c>
      <c r="BT126" s="1767">
        <v>0</v>
      </c>
      <c r="BU126" s="1767">
        <v>0</v>
      </c>
      <c r="BV126" s="1767">
        <v>0</v>
      </c>
      <c r="BW126" s="1767">
        <v>0</v>
      </c>
      <c r="BX126" s="1767">
        <v>0</v>
      </c>
      <c r="BY126" s="1767">
        <v>0</v>
      </c>
      <c r="BZ126" s="1767">
        <v>0</v>
      </c>
      <c r="CA126" s="1767">
        <v>0</v>
      </c>
      <c r="CB126" s="1767">
        <v>0</v>
      </c>
      <c r="CC126" s="1767">
        <v>0</v>
      </c>
      <c r="CD126" s="1767">
        <v>0</v>
      </c>
      <c r="CE126" s="1767">
        <v>0</v>
      </c>
      <c r="CF126" s="1767">
        <v>0</v>
      </c>
      <c r="CG126" s="1767">
        <v>0</v>
      </c>
      <c r="CH126" s="1767">
        <v>0</v>
      </c>
      <c r="CI126" s="1767">
        <v>0</v>
      </c>
      <c r="CJ126" s="1767">
        <v>0</v>
      </c>
      <c r="CK126" s="1767">
        <v>0</v>
      </c>
      <c r="CL126" s="1767">
        <v>0</v>
      </c>
      <c r="CM126" s="1767">
        <v>0</v>
      </c>
      <c r="CN126" s="1767">
        <v>0</v>
      </c>
      <c r="CO126" s="1767">
        <v>0</v>
      </c>
      <c r="CP126" s="1767">
        <v>0</v>
      </c>
    </row>
    <row r="127" spans="1:94" ht="30" customHeight="1" thickBot="1" x14ac:dyDescent="0.25">
      <c r="A127" s="1849" t="s">
        <v>1298</v>
      </c>
      <c r="B127" s="1833" t="s">
        <v>496</v>
      </c>
      <c r="C127" s="1781" t="s">
        <v>2519</v>
      </c>
      <c r="D127" s="947"/>
      <c r="E127" s="1834" t="s">
        <v>2317</v>
      </c>
      <c r="F127" s="1225"/>
      <c r="G127" s="1742"/>
      <c r="H127" s="1742"/>
      <c r="I127" s="1742"/>
      <c r="J127" s="1742"/>
      <c r="K127" s="1742"/>
      <c r="L127" s="1742"/>
      <c r="M127" s="1742"/>
      <c r="N127" s="1742"/>
      <c r="O127" s="1742"/>
      <c r="P127" s="1742"/>
      <c r="Q127" s="1742"/>
      <c r="R127" s="1742"/>
      <c r="S127" s="1742"/>
      <c r="T127" s="1742"/>
      <c r="U127" s="1742"/>
      <c r="V127" s="1742"/>
      <c r="W127" s="1742"/>
      <c r="X127" s="1742"/>
      <c r="Y127" s="1742"/>
      <c r="Z127" s="1742"/>
      <c r="AA127" s="1742"/>
      <c r="AB127" s="1742"/>
      <c r="AC127" s="1742"/>
      <c r="AD127" s="1742"/>
      <c r="AE127" s="1742"/>
      <c r="AF127" s="1742"/>
      <c r="AG127" s="1742"/>
      <c r="AH127" s="1742"/>
      <c r="AI127" s="1742"/>
      <c r="AJ127" s="1742"/>
      <c r="AK127" s="1742"/>
      <c r="AL127" s="1742"/>
      <c r="AM127" s="1742"/>
      <c r="AN127" s="1742"/>
      <c r="AO127" s="1742"/>
      <c r="AP127" s="1742"/>
      <c r="AQ127" s="1742"/>
      <c r="AR127" s="1742"/>
      <c r="AS127" s="1742"/>
      <c r="AT127" s="1742"/>
      <c r="AU127" s="1742"/>
      <c r="AV127" s="1742"/>
      <c r="AW127" s="1742"/>
      <c r="AX127" s="1742"/>
      <c r="AY127" s="1742"/>
      <c r="AZ127" s="1742"/>
      <c r="BA127" s="1742"/>
      <c r="BB127" s="1742"/>
      <c r="BC127" s="1742"/>
      <c r="BD127" s="1742"/>
      <c r="BE127" s="1742"/>
      <c r="BF127" s="1742"/>
      <c r="BG127" s="1742"/>
      <c r="BH127" s="1742"/>
      <c r="BI127" s="1742"/>
      <c r="BJ127" s="1742"/>
      <c r="BK127" s="1742"/>
      <c r="BL127" s="1742"/>
      <c r="BM127" s="1742"/>
      <c r="BN127" s="1742"/>
      <c r="BO127" s="1742"/>
      <c r="BP127" s="1742"/>
      <c r="BQ127" s="1742"/>
      <c r="BR127" s="1742"/>
      <c r="BS127" s="1742"/>
      <c r="BT127" s="1742"/>
      <c r="BU127" s="1742"/>
      <c r="BV127" s="1742"/>
      <c r="BW127" s="1742"/>
      <c r="BX127" s="1742"/>
      <c r="BY127" s="1742"/>
      <c r="BZ127" s="1742"/>
      <c r="CA127" s="1742"/>
      <c r="CB127" s="1742"/>
      <c r="CC127" s="1742"/>
      <c r="CD127" s="1742"/>
      <c r="CE127" s="1742"/>
      <c r="CF127" s="1742"/>
      <c r="CG127" s="1742"/>
      <c r="CH127" s="1742"/>
      <c r="CI127" s="1742"/>
      <c r="CJ127" s="1742"/>
      <c r="CK127" s="1742"/>
      <c r="CL127" s="1742"/>
      <c r="CM127" s="1742"/>
      <c r="CN127" s="1742"/>
      <c r="CO127" s="1742"/>
      <c r="CP127" s="1742"/>
    </row>
    <row r="128" spans="1:94" ht="15" customHeight="1" x14ac:dyDescent="0.2">
      <c r="A128" s="1847"/>
      <c r="B128" s="1834"/>
      <c r="C128" s="961" t="s">
        <v>2360</v>
      </c>
      <c r="D128" s="958"/>
      <c r="E128" s="1834"/>
      <c r="F128" s="1225"/>
      <c r="G128" s="1767">
        <v>0</v>
      </c>
      <c r="H128" s="1767">
        <v>0</v>
      </c>
      <c r="I128" s="1767">
        <v>0</v>
      </c>
      <c r="J128" s="1767">
        <v>0</v>
      </c>
      <c r="K128" s="1767">
        <v>0</v>
      </c>
      <c r="L128" s="1767">
        <v>0</v>
      </c>
      <c r="M128" s="1767">
        <v>0</v>
      </c>
      <c r="N128" s="1767">
        <v>0</v>
      </c>
      <c r="O128" s="1767">
        <v>0</v>
      </c>
      <c r="P128" s="1767">
        <v>0</v>
      </c>
      <c r="Q128" s="1767">
        <v>0</v>
      </c>
      <c r="R128" s="1767">
        <v>0</v>
      </c>
      <c r="S128" s="1767">
        <v>0</v>
      </c>
      <c r="T128" s="1767">
        <v>0</v>
      </c>
      <c r="U128" s="1767">
        <v>0</v>
      </c>
      <c r="V128" s="1767">
        <v>0</v>
      </c>
      <c r="W128" s="1767">
        <v>0</v>
      </c>
      <c r="X128" s="1767">
        <v>0</v>
      </c>
      <c r="Y128" s="1767">
        <v>0</v>
      </c>
      <c r="Z128" s="1767">
        <v>0</v>
      </c>
      <c r="AA128" s="1767">
        <v>0</v>
      </c>
      <c r="AB128" s="1767">
        <v>0</v>
      </c>
      <c r="AC128" s="1767">
        <v>0</v>
      </c>
      <c r="AD128" s="1767">
        <v>0</v>
      </c>
      <c r="AE128" s="1767">
        <v>0</v>
      </c>
      <c r="AF128" s="1767">
        <v>0</v>
      </c>
      <c r="AG128" s="1767">
        <v>0</v>
      </c>
      <c r="AH128" s="1767">
        <v>0</v>
      </c>
      <c r="AI128" s="1767">
        <v>0</v>
      </c>
      <c r="AJ128" s="1767">
        <v>0</v>
      </c>
      <c r="AK128" s="1767">
        <v>0</v>
      </c>
      <c r="AL128" s="1767">
        <v>0</v>
      </c>
      <c r="AM128" s="1767">
        <v>0</v>
      </c>
      <c r="AN128" s="1767">
        <v>0</v>
      </c>
      <c r="AO128" s="1767">
        <v>0</v>
      </c>
      <c r="AP128" s="1767">
        <v>0</v>
      </c>
      <c r="AQ128" s="1767">
        <v>0</v>
      </c>
      <c r="AR128" s="1767">
        <v>0</v>
      </c>
      <c r="AS128" s="1767">
        <v>0</v>
      </c>
      <c r="AT128" s="1767">
        <v>0</v>
      </c>
      <c r="AU128" s="1767">
        <v>0</v>
      </c>
      <c r="AV128" s="1767">
        <v>0</v>
      </c>
      <c r="AW128" s="1767">
        <v>0</v>
      </c>
      <c r="AX128" s="1767">
        <v>0</v>
      </c>
      <c r="AY128" s="1767">
        <v>0</v>
      </c>
      <c r="AZ128" s="1767">
        <v>0</v>
      </c>
      <c r="BA128" s="1767">
        <v>0</v>
      </c>
      <c r="BB128" s="1767">
        <v>0</v>
      </c>
      <c r="BC128" s="1767">
        <v>0</v>
      </c>
      <c r="BD128" s="1767">
        <v>0</v>
      </c>
      <c r="BE128" s="1767">
        <v>0</v>
      </c>
      <c r="BF128" s="1767">
        <v>0</v>
      </c>
      <c r="BG128" s="1767">
        <v>0</v>
      </c>
      <c r="BH128" s="1767">
        <v>0</v>
      </c>
      <c r="BI128" s="1767">
        <v>0</v>
      </c>
      <c r="BJ128" s="1767">
        <v>0</v>
      </c>
      <c r="BK128" s="1767">
        <v>0</v>
      </c>
      <c r="BL128" s="1767">
        <v>0</v>
      </c>
      <c r="BM128" s="1767">
        <v>0</v>
      </c>
      <c r="BN128" s="1767">
        <v>0</v>
      </c>
      <c r="BO128" s="1767">
        <v>0</v>
      </c>
      <c r="BP128" s="1767">
        <v>0</v>
      </c>
      <c r="BQ128" s="1767">
        <v>0</v>
      </c>
      <c r="BR128" s="1767">
        <v>0</v>
      </c>
      <c r="BS128" s="1767">
        <v>0</v>
      </c>
      <c r="BT128" s="1767">
        <v>0</v>
      </c>
      <c r="BU128" s="1767">
        <v>0</v>
      </c>
      <c r="BV128" s="1767">
        <v>0</v>
      </c>
      <c r="BW128" s="1767">
        <v>0</v>
      </c>
      <c r="BX128" s="1767">
        <v>0</v>
      </c>
      <c r="BY128" s="1767">
        <v>0</v>
      </c>
      <c r="BZ128" s="1767">
        <v>0</v>
      </c>
      <c r="CA128" s="1767">
        <v>0</v>
      </c>
      <c r="CB128" s="1767">
        <v>0</v>
      </c>
      <c r="CC128" s="1767">
        <v>0</v>
      </c>
      <c r="CD128" s="1767">
        <v>0</v>
      </c>
      <c r="CE128" s="1767">
        <v>0</v>
      </c>
      <c r="CF128" s="1767">
        <v>0</v>
      </c>
      <c r="CG128" s="1767">
        <v>0</v>
      </c>
      <c r="CH128" s="1767">
        <v>0</v>
      </c>
      <c r="CI128" s="1767">
        <v>0</v>
      </c>
      <c r="CJ128" s="1767">
        <v>0</v>
      </c>
      <c r="CK128" s="1767">
        <v>0</v>
      </c>
      <c r="CL128" s="1767">
        <v>0</v>
      </c>
      <c r="CM128" s="1767">
        <v>0</v>
      </c>
      <c r="CN128" s="1767">
        <v>0</v>
      </c>
      <c r="CO128" s="1767">
        <v>0</v>
      </c>
      <c r="CP128" s="1767">
        <v>0</v>
      </c>
    </row>
    <row r="129" spans="1:94" ht="15" customHeight="1" x14ac:dyDescent="0.2">
      <c r="A129" s="1847"/>
      <c r="B129" s="1834"/>
      <c r="C129" s="962" t="s">
        <v>2109</v>
      </c>
      <c r="D129" s="958"/>
      <c r="E129" s="1834"/>
      <c r="F129" s="1225"/>
      <c r="G129" s="1767">
        <v>0</v>
      </c>
      <c r="H129" s="1767">
        <v>0</v>
      </c>
      <c r="I129" s="1767">
        <v>0</v>
      </c>
      <c r="J129" s="1767">
        <v>0</v>
      </c>
      <c r="K129" s="1767">
        <v>0</v>
      </c>
      <c r="L129" s="1767">
        <v>0</v>
      </c>
      <c r="M129" s="1767">
        <v>0</v>
      </c>
      <c r="N129" s="1767">
        <v>0</v>
      </c>
      <c r="O129" s="1767">
        <v>0</v>
      </c>
      <c r="P129" s="1767">
        <v>0</v>
      </c>
      <c r="Q129" s="1767">
        <v>0</v>
      </c>
      <c r="R129" s="1767">
        <v>0</v>
      </c>
      <c r="S129" s="1767">
        <v>0</v>
      </c>
      <c r="T129" s="1767">
        <v>0</v>
      </c>
      <c r="U129" s="1767">
        <v>0</v>
      </c>
      <c r="V129" s="1767">
        <v>0</v>
      </c>
      <c r="W129" s="1767">
        <v>0</v>
      </c>
      <c r="X129" s="1767">
        <v>0</v>
      </c>
      <c r="Y129" s="1767">
        <v>0</v>
      </c>
      <c r="Z129" s="1767">
        <v>0</v>
      </c>
      <c r="AA129" s="1767">
        <v>0</v>
      </c>
      <c r="AB129" s="1767">
        <v>0</v>
      </c>
      <c r="AC129" s="1767">
        <v>0</v>
      </c>
      <c r="AD129" s="1767">
        <v>0</v>
      </c>
      <c r="AE129" s="1767">
        <v>0</v>
      </c>
      <c r="AF129" s="1767">
        <v>0</v>
      </c>
      <c r="AG129" s="1767">
        <v>0</v>
      </c>
      <c r="AH129" s="1767">
        <v>0</v>
      </c>
      <c r="AI129" s="1767">
        <v>0</v>
      </c>
      <c r="AJ129" s="1767">
        <v>0</v>
      </c>
      <c r="AK129" s="1767">
        <v>0</v>
      </c>
      <c r="AL129" s="1767">
        <v>0</v>
      </c>
      <c r="AM129" s="1767">
        <v>0</v>
      </c>
      <c r="AN129" s="1767">
        <v>0</v>
      </c>
      <c r="AO129" s="1767">
        <v>0</v>
      </c>
      <c r="AP129" s="1767">
        <v>0</v>
      </c>
      <c r="AQ129" s="1767">
        <v>0</v>
      </c>
      <c r="AR129" s="1767">
        <v>0</v>
      </c>
      <c r="AS129" s="1767">
        <v>0</v>
      </c>
      <c r="AT129" s="1767">
        <v>0</v>
      </c>
      <c r="AU129" s="1767">
        <v>0</v>
      </c>
      <c r="AV129" s="1767">
        <v>0</v>
      </c>
      <c r="AW129" s="1767">
        <v>0</v>
      </c>
      <c r="AX129" s="1767">
        <v>0</v>
      </c>
      <c r="AY129" s="1767">
        <v>0</v>
      </c>
      <c r="AZ129" s="1767">
        <v>0</v>
      </c>
      <c r="BA129" s="1767">
        <v>0</v>
      </c>
      <c r="BB129" s="1767">
        <v>0</v>
      </c>
      <c r="BC129" s="1767">
        <v>0</v>
      </c>
      <c r="BD129" s="1767">
        <v>0</v>
      </c>
      <c r="BE129" s="1767">
        <v>0</v>
      </c>
      <c r="BF129" s="1767">
        <v>0</v>
      </c>
      <c r="BG129" s="1767">
        <v>0</v>
      </c>
      <c r="BH129" s="1767">
        <v>0</v>
      </c>
      <c r="BI129" s="1767">
        <v>0</v>
      </c>
      <c r="BJ129" s="1767">
        <v>0</v>
      </c>
      <c r="BK129" s="1767">
        <v>0</v>
      </c>
      <c r="BL129" s="1767">
        <v>0</v>
      </c>
      <c r="BM129" s="1767">
        <v>0</v>
      </c>
      <c r="BN129" s="1767">
        <v>0</v>
      </c>
      <c r="BO129" s="1767">
        <v>0</v>
      </c>
      <c r="BP129" s="1767">
        <v>0</v>
      </c>
      <c r="BQ129" s="1767">
        <v>0</v>
      </c>
      <c r="BR129" s="1767">
        <v>0</v>
      </c>
      <c r="BS129" s="1767">
        <v>0</v>
      </c>
      <c r="BT129" s="1767">
        <v>0</v>
      </c>
      <c r="BU129" s="1767">
        <v>0</v>
      </c>
      <c r="BV129" s="1767">
        <v>0</v>
      </c>
      <c r="BW129" s="1767">
        <v>0</v>
      </c>
      <c r="BX129" s="1767">
        <v>0</v>
      </c>
      <c r="BY129" s="1767">
        <v>0</v>
      </c>
      <c r="BZ129" s="1767">
        <v>0</v>
      </c>
      <c r="CA129" s="1767">
        <v>0</v>
      </c>
      <c r="CB129" s="1767">
        <v>0</v>
      </c>
      <c r="CC129" s="1767">
        <v>0</v>
      </c>
      <c r="CD129" s="1767">
        <v>0</v>
      </c>
      <c r="CE129" s="1767">
        <v>0</v>
      </c>
      <c r="CF129" s="1767">
        <v>0</v>
      </c>
      <c r="CG129" s="1767">
        <v>0</v>
      </c>
      <c r="CH129" s="1767">
        <v>0</v>
      </c>
      <c r="CI129" s="1767">
        <v>0</v>
      </c>
      <c r="CJ129" s="1767">
        <v>0</v>
      </c>
      <c r="CK129" s="1767">
        <v>0</v>
      </c>
      <c r="CL129" s="1767">
        <v>0</v>
      </c>
      <c r="CM129" s="1767">
        <v>0</v>
      </c>
      <c r="CN129" s="1767">
        <v>0</v>
      </c>
      <c r="CO129" s="1767">
        <v>0</v>
      </c>
      <c r="CP129" s="1767">
        <v>0</v>
      </c>
    </row>
    <row r="130" spans="1:94" ht="15" customHeight="1" x14ac:dyDescent="0.2">
      <c r="A130" s="1847"/>
      <c r="B130" s="1834"/>
      <c r="C130" s="962" t="s">
        <v>2110</v>
      </c>
      <c r="D130" s="958"/>
      <c r="E130" s="1834"/>
      <c r="F130" s="1225"/>
      <c r="G130" s="1767">
        <v>0</v>
      </c>
      <c r="H130" s="1767">
        <v>0</v>
      </c>
      <c r="I130" s="1767">
        <v>0</v>
      </c>
      <c r="J130" s="1767">
        <v>0</v>
      </c>
      <c r="K130" s="1767">
        <v>0</v>
      </c>
      <c r="L130" s="1767">
        <v>0</v>
      </c>
      <c r="M130" s="1767">
        <v>0</v>
      </c>
      <c r="N130" s="1767">
        <v>0</v>
      </c>
      <c r="O130" s="1767">
        <v>0</v>
      </c>
      <c r="P130" s="1767">
        <v>0</v>
      </c>
      <c r="Q130" s="1767">
        <v>0</v>
      </c>
      <c r="R130" s="1767">
        <v>0</v>
      </c>
      <c r="S130" s="1767">
        <v>0</v>
      </c>
      <c r="T130" s="1767">
        <v>0</v>
      </c>
      <c r="U130" s="1767">
        <v>0</v>
      </c>
      <c r="V130" s="1767">
        <v>0</v>
      </c>
      <c r="W130" s="1767">
        <v>0</v>
      </c>
      <c r="X130" s="1767">
        <v>0</v>
      </c>
      <c r="Y130" s="1767">
        <v>0</v>
      </c>
      <c r="Z130" s="1767">
        <v>0</v>
      </c>
      <c r="AA130" s="1767">
        <v>0</v>
      </c>
      <c r="AB130" s="1767">
        <v>0</v>
      </c>
      <c r="AC130" s="1767">
        <v>0</v>
      </c>
      <c r="AD130" s="1767">
        <v>0</v>
      </c>
      <c r="AE130" s="1767">
        <v>0</v>
      </c>
      <c r="AF130" s="1767">
        <v>0</v>
      </c>
      <c r="AG130" s="1767">
        <v>0</v>
      </c>
      <c r="AH130" s="1767">
        <v>0</v>
      </c>
      <c r="AI130" s="1767">
        <v>0</v>
      </c>
      <c r="AJ130" s="1767">
        <v>0</v>
      </c>
      <c r="AK130" s="1767">
        <v>0</v>
      </c>
      <c r="AL130" s="1767">
        <v>0</v>
      </c>
      <c r="AM130" s="1767">
        <v>0</v>
      </c>
      <c r="AN130" s="1767">
        <v>0</v>
      </c>
      <c r="AO130" s="1767">
        <v>0</v>
      </c>
      <c r="AP130" s="1767">
        <v>0</v>
      </c>
      <c r="AQ130" s="1767">
        <v>0</v>
      </c>
      <c r="AR130" s="1767">
        <v>0</v>
      </c>
      <c r="AS130" s="1767">
        <v>0</v>
      </c>
      <c r="AT130" s="1767">
        <v>0</v>
      </c>
      <c r="AU130" s="1767">
        <v>0</v>
      </c>
      <c r="AV130" s="1767">
        <v>0</v>
      </c>
      <c r="AW130" s="1767">
        <v>0</v>
      </c>
      <c r="AX130" s="1767">
        <v>0</v>
      </c>
      <c r="AY130" s="1767">
        <v>0</v>
      </c>
      <c r="AZ130" s="1767">
        <v>0</v>
      </c>
      <c r="BA130" s="1767">
        <v>0</v>
      </c>
      <c r="BB130" s="1767">
        <v>0</v>
      </c>
      <c r="BC130" s="1767">
        <v>0</v>
      </c>
      <c r="BD130" s="1767">
        <v>0</v>
      </c>
      <c r="BE130" s="1767">
        <v>0</v>
      </c>
      <c r="BF130" s="1767">
        <v>0</v>
      </c>
      <c r="BG130" s="1767">
        <v>0</v>
      </c>
      <c r="BH130" s="1767">
        <v>0</v>
      </c>
      <c r="BI130" s="1767">
        <v>0</v>
      </c>
      <c r="BJ130" s="1767">
        <v>0</v>
      </c>
      <c r="BK130" s="1767">
        <v>0</v>
      </c>
      <c r="BL130" s="1767">
        <v>0</v>
      </c>
      <c r="BM130" s="1767">
        <v>0</v>
      </c>
      <c r="BN130" s="1767">
        <v>0</v>
      </c>
      <c r="BO130" s="1767">
        <v>0</v>
      </c>
      <c r="BP130" s="1767">
        <v>0</v>
      </c>
      <c r="BQ130" s="1767">
        <v>0</v>
      </c>
      <c r="BR130" s="1767">
        <v>0</v>
      </c>
      <c r="BS130" s="1767">
        <v>0</v>
      </c>
      <c r="BT130" s="1767">
        <v>0</v>
      </c>
      <c r="BU130" s="1767">
        <v>0</v>
      </c>
      <c r="BV130" s="1767">
        <v>0</v>
      </c>
      <c r="BW130" s="1767">
        <v>0</v>
      </c>
      <c r="BX130" s="1767">
        <v>0</v>
      </c>
      <c r="BY130" s="1767">
        <v>0</v>
      </c>
      <c r="BZ130" s="1767">
        <v>0</v>
      </c>
      <c r="CA130" s="1767">
        <v>0</v>
      </c>
      <c r="CB130" s="1767">
        <v>0</v>
      </c>
      <c r="CC130" s="1767">
        <v>0</v>
      </c>
      <c r="CD130" s="1767">
        <v>0</v>
      </c>
      <c r="CE130" s="1767">
        <v>0</v>
      </c>
      <c r="CF130" s="1767">
        <v>0</v>
      </c>
      <c r="CG130" s="1767">
        <v>0</v>
      </c>
      <c r="CH130" s="1767">
        <v>0</v>
      </c>
      <c r="CI130" s="1767">
        <v>0</v>
      </c>
      <c r="CJ130" s="1767">
        <v>0</v>
      </c>
      <c r="CK130" s="1767">
        <v>0</v>
      </c>
      <c r="CL130" s="1767">
        <v>0</v>
      </c>
      <c r="CM130" s="1767">
        <v>0</v>
      </c>
      <c r="CN130" s="1767">
        <v>0</v>
      </c>
      <c r="CO130" s="1767">
        <v>0</v>
      </c>
      <c r="CP130" s="1767">
        <v>0</v>
      </c>
    </row>
    <row r="131" spans="1:94" ht="15" customHeight="1" x14ac:dyDescent="0.2">
      <c r="A131" s="1847"/>
      <c r="B131" s="1834"/>
      <c r="C131" s="962" t="s">
        <v>2111</v>
      </c>
      <c r="D131" s="958"/>
      <c r="E131" s="1834"/>
      <c r="F131" s="1225"/>
      <c r="G131" s="1767">
        <v>0</v>
      </c>
      <c r="H131" s="1767">
        <v>0</v>
      </c>
      <c r="I131" s="1767">
        <v>0</v>
      </c>
      <c r="J131" s="1767">
        <v>0</v>
      </c>
      <c r="K131" s="1767">
        <v>0</v>
      </c>
      <c r="L131" s="1767">
        <v>0</v>
      </c>
      <c r="M131" s="1767">
        <v>0</v>
      </c>
      <c r="N131" s="1767">
        <v>0</v>
      </c>
      <c r="O131" s="1767">
        <v>0</v>
      </c>
      <c r="P131" s="1767">
        <v>0</v>
      </c>
      <c r="Q131" s="1767">
        <v>0</v>
      </c>
      <c r="R131" s="1767">
        <v>0</v>
      </c>
      <c r="S131" s="1767">
        <v>0</v>
      </c>
      <c r="T131" s="1767">
        <v>0</v>
      </c>
      <c r="U131" s="1767">
        <v>0</v>
      </c>
      <c r="V131" s="1767">
        <v>0</v>
      </c>
      <c r="W131" s="1767">
        <v>0</v>
      </c>
      <c r="X131" s="1767">
        <v>0</v>
      </c>
      <c r="Y131" s="1767">
        <v>0</v>
      </c>
      <c r="Z131" s="1767">
        <v>0</v>
      </c>
      <c r="AA131" s="1767">
        <v>0</v>
      </c>
      <c r="AB131" s="1767">
        <v>0</v>
      </c>
      <c r="AC131" s="1767">
        <v>0</v>
      </c>
      <c r="AD131" s="1767">
        <v>0</v>
      </c>
      <c r="AE131" s="1767">
        <v>0</v>
      </c>
      <c r="AF131" s="1767">
        <v>0</v>
      </c>
      <c r="AG131" s="1767">
        <v>0</v>
      </c>
      <c r="AH131" s="1767">
        <v>0</v>
      </c>
      <c r="AI131" s="1767">
        <v>0</v>
      </c>
      <c r="AJ131" s="1767">
        <v>0</v>
      </c>
      <c r="AK131" s="1767">
        <v>0</v>
      </c>
      <c r="AL131" s="1767">
        <v>0</v>
      </c>
      <c r="AM131" s="1767">
        <v>0</v>
      </c>
      <c r="AN131" s="1767">
        <v>0</v>
      </c>
      <c r="AO131" s="1767">
        <v>0</v>
      </c>
      <c r="AP131" s="1767">
        <v>0</v>
      </c>
      <c r="AQ131" s="1767">
        <v>0</v>
      </c>
      <c r="AR131" s="1767">
        <v>0</v>
      </c>
      <c r="AS131" s="1767">
        <v>0</v>
      </c>
      <c r="AT131" s="1767">
        <v>0</v>
      </c>
      <c r="AU131" s="1767">
        <v>0</v>
      </c>
      <c r="AV131" s="1767">
        <v>0</v>
      </c>
      <c r="AW131" s="1767">
        <v>0</v>
      </c>
      <c r="AX131" s="1767">
        <v>0</v>
      </c>
      <c r="AY131" s="1767">
        <v>0</v>
      </c>
      <c r="AZ131" s="1767">
        <v>0</v>
      </c>
      <c r="BA131" s="1767">
        <v>0</v>
      </c>
      <c r="BB131" s="1767">
        <v>0</v>
      </c>
      <c r="BC131" s="1767">
        <v>0</v>
      </c>
      <c r="BD131" s="1767">
        <v>0</v>
      </c>
      <c r="BE131" s="1767">
        <v>0</v>
      </c>
      <c r="BF131" s="1767">
        <v>0</v>
      </c>
      <c r="BG131" s="1767">
        <v>0</v>
      </c>
      <c r="BH131" s="1767">
        <v>0</v>
      </c>
      <c r="BI131" s="1767">
        <v>0</v>
      </c>
      <c r="BJ131" s="1767">
        <v>0</v>
      </c>
      <c r="BK131" s="1767">
        <v>0</v>
      </c>
      <c r="BL131" s="1767">
        <v>0</v>
      </c>
      <c r="BM131" s="1767">
        <v>0</v>
      </c>
      <c r="BN131" s="1767">
        <v>0</v>
      </c>
      <c r="BO131" s="1767">
        <v>0</v>
      </c>
      <c r="BP131" s="1767">
        <v>0</v>
      </c>
      <c r="BQ131" s="1767">
        <v>0</v>
      </c>
      <c r="BR131" s="1767">
        <v>0</v>
      </c>
      <c r="BS131" s="1767">
        <v>0</v>
      </c>
      <c r="BT131" s="1767">
        <v>0</v>
      </c>
      <c r="BU131" s="1767">
        <v>0</v>
      </c>
      <c r="BV131" s="1767">
        <v>0</v>
      </c>
      <c r="BW131" s="1767">
        <v>0</v>
      </c>
      <c r="BX131" s="1767">
        <v>0</v>
      </c>
      <c r="BY131" s="1767">
        <v>0</v>
      </c>
      <c r="BZ131" s="1767">
        <v>0</v>
      </c>
      <c r="CA131" s="1767">
        <v>0</v>
      </c>
      <c r="CB131" s="1767">
        <v>0</v>
      </c>
      <c r="CC131" s="1767">
        <v>0</v>
      </c>
      <c r="CD131" s="1767">
        <v>0</v>
      </c>
      <c r="CE131" s="1767">
        <v>0</v>
      </c>
      <c r="CF131" s="1767">
        <v>0</v>
      </c>
      <c r="CG131" s="1767">
        <v>0</v>
      </c>
      <c r="CH131" s="1767">
        <v>0</v>
      </c>
      <c r="CI131" s="1767">
        <v>0</v>
      </c>
      <c r="CJ131" s="1767">
        <v>0</v>
      </c>
      <c r="CK131" s="1767">
        <v>0</v>
      </c>
      <c r="CL131" s="1767">
        <v>0</v>
      </c>
      <c r="CM131" s="1767">
        <v>0</v>
      </c>
      <c r="CN131" s="1767">
        <v>0</v>
      </c>
      <c r="CO131" s="1767">
        <v>0</v>
      </c>
      <c r="CP131" s="1767">
        <v>0</v>
      </c>
    </row>
    <row r="132" spans="1:94" ht="15" customHeight="1" x14ac:dyDescent="0.2">
      <c r="A132" s="1847"/>
      <c r="B132" s="1834"/>
      <c r="C132" s="962" t="s">
        <v>2112</v>
      </c>
      <c r="D132" s="958"/>
      <c r="E132" s="1834"/>
      <c r="F132" s="1225"/>
      <c r="G132" s="1767">
        <v>0</v>
      </c>
      <c r="H132" s="1767">
        <v>0</v>
      </c>
      <c r="I132" s="1767">
        <v>0</v>
      </c>
      <c r="J132" s="1767">
        <v>0</v>
      </c>
      <c r="K132" s="1767">
        <v>0</v>
      </c>
      <c r="L132" s="1767">
        <v>0</v>
      </c>
      <c r="M132" s="1767">
        <v>0</v>
      </c>
      <c r="N132" s="1767">
        <v>0</v>
      </c>
      <c r="O132" s="1767">
        <v>0</v>
      </c>
      <c r="P132" s="1767">
        <v>0</v>
      </c>
      <c r="Q132" s="1767">
        <v>0</v>
      </c>
      <c r="R132" s="1767">
        <v>0</v>
      </c>
      <c r="S132" s="1767">
        <v>0</v>
      </c>
      <c r="T132" s="1767">
        <v>0</v>
      </c>
      <c r="U132" s="1767">
        <v>0</v>
      </c>
      <c r="V132" s="1767">
        <v>0</v>
      </c>
      <c r="W132" s="1767">
        <v>0</v>
      </c>
      <c r="X132" s="1767">
        <v>0</v>
      </c>
      <c r="Y132" s="1767">
        <v>0</v>
      </c>
      <c r="Z132" s="1767">
        <v>0</v>
      </c>
      <c r="AA132" s="1767">
        <v>0</v>
      </c>
      <c r="AB132" s="1767">
        <v>0</v>
      </c>
      <c r="AC132" s="1767">
        <v>0</v>
      </c>
      <c r="AD132" s="1767">
        <v>0</v>
      </c>
      <c r="AE132" s="1767">
        <v>0</v>
      </c>
      <c r="AF132" s="1767">
        <v>0</v>
      </c>
      <c r="AG132" s="1767">
        <v>0</v>
      </c>
      <c r="AH132" s="1767">
        <v>0</v>
      </c>
      <c r="AI132" s="1767">
        <v>0</v>
      </c>
      <c r="AJ132" s="1767">
        <v>0</v>
      </c>
      <c r="AK132" s="1767">
        <v>0</v>
      </c>
      <c r="AL132" s="1767">
        <v>0</v>
      </c>
      <c r="AM132" s="1767">
        <v>0</v>
      </c>
      <c r="AN132" s="1767">
        <v>0</v>
      </c>
      <c r="AO132" s="1767">
        <v>0</v>
      </c>
      <c r="AP132" s="1767">
        <v>0</v>
      </c>
      <c r="AQ132" s="1767">
        <v>0</v>
      </c>
      <c r="AR132" s="1767">
        <v>0</v>
      </c>
      <c r="AS132" s="1767">
        <v>0</v>
      </c>
      <c r="AT132" s="1767">
        <v>0</v>
      </c>
      <c r="AU132" s="1767">
        <v>0</v>
      </c>
      <c r="AV132" s="1767">
        <v>0</v>
      </c>
      <c r="AW132" s="1767">
        <v>0</v>
      </c>
      <c r="AX132" s="1767">
        <v>0</v>
      </c>
      <c r="AY132" s="1767">
        <v>0</v>
      </c>
      <c r="AZ132" s="1767">
        <v>0</v>
      </c>
      <c r="BA132" s="1767">
        <v>0</v>
      </c>
      <c r="BB132" s="1767">
        <v>0</v>
      </c>
      <c r="BC132" s="1767">
        <v>0</v>
      </c>
      <c r="BD132" s="1767">
        <v>0</v>
      </c>
      <c r="BE132" s="1767">
        <v>0</v>
      </c>
      <c r="BF132" s="1767">
        <v>0</v>
      </c>
      <c r="BG132" s="1767">
        <v>0</v>
      </c>
      <c r="BH132" s="1767">
        <v>0</v>
      </c>
      <c r="BI132" s="1767">
        <v>0</v>
      </c>
      <c r="BJ132" s="1767">
        <v>0</v>
      </c>
      <c r="BK132" s="1767">
        <v>0</v>
      </c>
      <c r="BL132" s="1767">
        <v>0</v>
      </c>
      <c r="BM132" s="1767">
        <v>0</v>
      </c>
      <c r="BN132" s="1767">
        <v>0</v>
      </c>
      <c r="BO132" s="1767">
        <v>0</v>
      </c>
      <c r="BP132" s="1767">
        <v>0</v>
      </c>
      <c r="BQ132" s="1767">
        <v>0</v>
      </c>
      <c r="BR132" s="1767">
        <v>0</v>
      </c>
      <c r="BS132" s="1767">
        <v>0</v>
      </c>
      <c r="BT132" s="1767">
        <v>0</v>
      </c>
      <c r="BU132" s="1767">
        <v>0</v>
      </c>
      <c r="BV132" s="1767">
        <v>0</v>
      </c>
      <c r="BW132" s="1767">
        <v>0</v>
      </c>
      <c r="BX132" s="1767">
        <v>0</v>
      </c>
      <c r="BY132" s="1767">
        <v>0</v>
      </c>
      <c r="BZ132" s="1767">
        <v>0</v>
      </c>
      <c r="CA132" s="1767">
        <v>0</v>
      </c>
      <c r="CB132" s="1767">
        <v>0</v>
      </c>
      <c r="CC132" s="1767">
        <v>0</v>
      </c>
      <c r="CD132" s="1767">
        <v>0</v>
      </c>
      <c r="CE132" s="1767">
        <v>0</v>
      </c>
      <c r="CF132" s="1767">
        <v>0</v>
      </c>
      <c r="CG132" s="1767">
        <v>0</v>
      </c>
      <c r="CH132" s="1767">
        <v>0</v>
      </c>
      <c r="CI132" s="1767">
        <v>0</v>
      </c>
      <c r="CJ132" s="1767">
        <v>0</v>
      </c>
      <c r="CK132" s="1767">
        <v>0</v>
      </c>
      <c r="CL132" s="1767">
        <v>0</v>
      </c>
      <c r="CM132" s="1767">
        <v>0</v>
      </c>
      <c r="CN132" s="1767">
        <v>0</v>
      </c>
      <c r="CO132" s="1767">
        <v>0</v>
      </c>
      <c r="CP132" s="1767">
        <v>0</v>
      </c>
    </row>
    <row r="133" spans="1:94" ht="15" customHeight="1" thickBot="1" x14ac:dyDescent="0.25">
      <c r="A133" s="1847"/>
      <c r="B133" s="1834"/>
      <c r="C133" s="965" t="s">
        <v>2113</v>
      </c>
      <c r="D133" s="964"/>
      <c r="E133" s="1834"/>
      <c r="F133" s="1225"/>
      <c r="G133" s="1767">
        <v>0</v>
      </c>
      <c r="H133" s="1767">
        <v>0</v>
      </c>
      <c r="I133" s="1767">
        <v>0</v>
      </c>
      <c r="J133" s="1767">
        <v>0</v>
      </c>
      <c r="K133" s="1767">
        <v>0</v>
      </c>
      <c r="L133" s="1767">
        <v>0</v>
      </c>
      <c r="M133" s="1767">
        <v>0</v>
      </c>
      <c r="N133" s="1767">
        <v>0</v>
      </c>
      <c r="O133" s="1767">
        <v>0</v>
      </c>
      <c r="P133" s="1767">
        <v>0</v>
      </c>
      <c r="Q133" s="1767">
        <v>0</v>
      </c>
      <c r="R133" s="1767">
        <v>0</v>
      </c>
      <c r="S133" s="1767">
        <v>0</v>
      </c>
      <c r="T133" s="1767">
        <v>0</v>
      </c>
      <c r="U133" s="1767">
        <v>0</v>
      </c>
      <c r="V133" s="1767">
        <v>0</v>
      </c>
      <c r="W133" s="1767">
        <v>0</v>
      </c>
      <c r="X133" s="1767">
        <v>0</v>
      </c>
      <c r="Y133" s="1767">
        <v>0</v>
      </c>
      <c r="Z133" s="1767">
        <v>0</v>
      </c>
      <c r="AA133" s="1767">
        <v>0</v>
      </c>
      <c r="AB133" s="1767">
        <v>0</v>
      </c>
      <c r="AC133" s="1767">
        <v>0</v>
      </c>
      <c r="AD133" s="1767">
        <v>0</v>
      </c>
      <c r="AE133" s="1767">
        <v>0</v>
      </c>
      <c r="AF133" s="1767">
        <v>0</v>
      </c>
      <c r="AG133" s="1767">
        <v>0</v>
      </c>
      <c r="AH133" s="1767">
        <v>0</v>
      </c>
      <c r="AI133" s="1767">
        <v>0</v>
      </c>
      <c r="AJ133" s="1767">
        <v>0</v>
      </c>
      <c r="AK133" s="1767">
        <v>0</v>
      </c>
      <c r="AL133" s="1767">
        <v>0</v>
      </c>
      <c r="AM133" s="1767">
        <v>0</v>
      </c>
      <c r="AN133" s="1767">
        <v>0</v>
      </c>
      <c r="AO133" s="1767">
        <v>0</v>
      </c>
      <c r="AP133" s="1767">
        <v>0</v>
      </c>
      <c r="AQ133" s="1767">
        <v>0</v>
      </c>
      <c r="AR133" s="1767">
        <v>0</v>
      </c>
      <c r="AS133" s="1767">
        <v>0</v>
      </c>
      <c r="AT133" s="1767">
        <v>0</v>
      </c>
      <c r="AU133" s="1767">
        <v>0</v>
      </c>
      <c r="AV133" s="1767">
        <v>0</v>
      </c>
      <c r="AW133" s="1767">
        <v>0</v>
      </c>
      <c r="AX133" s="1767">
        <v>0</v>
      </c>
      <c r="AY133" s="1767">
        <v>0</v>
      </c>
      <c r="AZ133" s="1767">
        <v>0</v>
      </c>
      <c r="BA133" s="1767">
        <v>0</v>
      </c>
      <c r="BB133" s="1767">
        <v>0</v>
      </c>
      <c r="BC133" s="1767">
        <v>0</v>
      </c>
      <c r="BD133" s="1767">
        <v>0</v>
      </c>
      <c r="BE133" s="1767">
        <v>0</v>
      </c>
      <c r="BF133" s="1767">
        <v>0</v>
      </c>
      <c r="BG133" s="1767">
        <v>0</v>
      </c>
      <c r="BH133" s="1767">
        <v>0</v>
      </c>
      <c r="BI133" s="1767">
        <v>0</v>
      </c>
      <c r="BJ133" s="1767">
        <v>0</v>
      </c>
      <c r="BK133" s="1767">
        <v>0</v>
      </c>
      <c r="BL133" s="1767">
        <v>0</v>
      </c>
      <c r="BM133" s="1767">
        <v>0</v>
      </c>
      <c r="BN133" s="1767">
        <v>0</v>
      </c>
      <c r="BO133" s="1767">
        <v>0</v>
      </c>
      <c r="BP133" s="1767">
        <v>0</v>
      </c>
      <c r="BQ133" s="1767">
        <v>0</v>
      </c>
      <c r="BR133" s="1767">
        <v>0</v>
      </c>
      <c r="BS133" s="1767">
        <v>0</v>
      </c>
      <c r="BT133" s="1767">
        <v>0</v>
      </c>
      <c r="BU133" s="1767">
        <v>0</v>
      </c>
      <c r="BV133" s="1767">
        <v>0</v>
      </c>
      <c r="BW133" s="1767">
        <v>0</v>
      </c>
      <c r="BX133" s="1767">
        <v>0</v>
      </c>
      <c r="BY133" s="1767">
        <v>0</v>
      </c>
      <c r="BZ133" s="1767">
        <v>0</v>
      </c>
      <c r="CA133" s="1767">
        <v>0</v>
      </c>
      <c r="CB133" s="1767">
        <v>0</v>
      </c>
      <c r="CC133" s="1767">
        <v>0</v>
      </c>
      <c r="CD133" s="1767">
        <v>0</v>
      </c>
      <c r="CE133" s="1767">
        <v>0</v>
      </c>
      <c r="CF133" s="1767">
        <v>0</v>
      </c>
      <c r="CG133" s="1767">
        <v>0</v>
      </c>
      <c r="CH133" s="1767">
        <v>0</v>
      </c>
      <c r="CI133" s="1767">
        <v>0</v>
      </c>
      <c r="CJ133" s="1767">
        <v>0</v>
      </c>
      <c r="CK133" s="1767">
        <v>0</v>
      </c>
      <c r="CL133" s="1767">
        <v>0</v>
      </c>
      <c r="CM133" s="1767">
        <v>0</v>
      </c>
      <c r="CN133" s="1767">
        <v>0</v>
      </c>
      <c r="CO133" s="1767">
        <v>0</v>
      </c>
      <c r="CP133" s="1767">
        <v>0</v>
      </c>
    </row>
    <row r="134" spans="1:94" ht="30" customHeight="1" thickBot="1" x14ac:dyDescent="0.25">
      <c r="A134" s="1849" t="s">
        <v>1299</v>
      </c>
      <c r="B134" s="1891" t="s">
        <v>854</v>
      </c>
      <c r="C134" s="1782" t="s">
        <v>2520</v>
      </c>
      <c r="D134" s="947"/>
      <c r="E134" s="1891" t="s">
        <v>1813</v>
      </c>
      <c r="F134" s="1225"/>
      <c r="G134" s="1742"/>
      <c r="H134" s="1742"/>
      <c r="I134" s="1742"/>
      <c r="J134" s="1742"/>
      <c r="K134" s="1742"/>
      <c r="L134" s="1742"/>
      <c r="M134" s="1742"/>
      <c r="N134" s="1742"/>
      <c r="O134" s="1742"/>
      <c r="P134" s="1742"/>
      <c r="Q134" s="1742"/>
      <c r="R134" s="1742"/>
      <c r="S134" s="1742"/>
      <c r="T134" s="1742"/>
      <c r="U134" s="1742"/>
      <c r="V134" s="1742"/>
      <c r="W134" s="1742"/>
      <c r="X134" s="1742"/>
      <c r="Y134" s="1742"/>
      <c r="Z134" s="1742"/>
      <c r="AA134" s="1742"/>
      <c r="AB134" s="1742"/>
      <c r="AC134" s="1742"/>
      <c r="AD134" s="1742"/>
      <c r="AE134" s="1742"/>
      <c r="AF134" s="1742"/>
      <c r="AG134" s="1742"/>
      <c r="AH134" s="1742"/>
      <c r="AI134" s="1742"/>
      <c r="AJ134" s="1742"/>
      <c r="AK134" s="1742"/>
      <c r="AL134" s="1742"/>
      <c r="AM134" s="1742"/>
      <c r="AN134" s="1742"/>
      <c r="AO134" s="1742"/>
      <c r="AP134" s="1742"/>
      <c r="AQ134" s="1742"/>
      <c r="AR134" s="1742"/>
      <c r="AS134" s="1742"/>
      <c r="AT134" s="1742"/>
      <c r="AU134" s="1742"/>
      <c r="AV134" s="1742"/>
      <c r="AW134" s="1742"/>
      <c r="AX134" s="1742"/>
      <c r="AY134" s="1742"/>
      <c r="AZ134" s="1742"/>
      <c r="BA134" s="1742"/>
      <c r="BB134" s="1742"/>
      <c r="BC134" s="1742"/>
      <c r="BD134" s="1742"/>
      <c r="BE134" s="1742"/>
      <c r="BF134" s="1742"/>
      <c r="BG134" s="1742"/>
      <c r="BH134" s="1742"/>
      <c r="BI134" s="1742"/>
      <c r="BJ134" s="1742"/>
      <c r="BK134" s="1742"/>
      <c r="BL134" s="1742"/>
      <c r="BM134" s="1742"/>
      <c r="BN134" s="1742"/>
      <c r="BO134" s="1742"/>
      <c r="BP134" s="1742"/>
      <c r="BQ134" s="1742"/>
      <c r="BR134" s="1742"/>
      <c r="BS134" s="1742"/>
      <c r="BT134" s="1742"/>
      <c r="BU134" s="1742"/>
      <c r="BV134" s="1742"/>
      <c r="BW134" s="1742"/>
      <c r="BX134" s="1742"/>
      <c r="BY134" s="1742"/>
      <c r="BZ134" s="1742"/>
      <c r="CA134" s="1742"/>
      <c r="CB134" s="1742"/>
      <c r="CC134" s="1742"/>
      <c r="CD134" s="1742"/>
      <c r="CE134" s="1742"/>
      <c r="CF134" s="1742"/>
      <c r="CG134" s="1742"/>
      <c r="CH134" s="1742"/>
      <c r="CI134" s="1742"/>
      <c r="CJ134" s="1742"/>
      <c r="CK134" s="1742"/>
      <c r="CL134" s="1742"/>
      <c r="CM134" s="1742"/>
      <c r="CN134" s="1742"/>
      <c r="CO134" s="1742"/>
      <c r="CP134" s="1742"/>
    </row>
    <row r="135" spans="1:94" ht="15" customHeight="1" x14ac:dyDescent="0.2">
      <c r="A135" s="1847"/>
      <c r="B135" s="1892"/>
      <c r="C135" s="961" t="s">
        <v>628</v>
      </c>
      <c r="D135" s="958"/>
      <c r="E135" s="1892"/>
      <c r="F135" s="1225"/>
      <c r="G135" s="1767">
        <v>0</v>
      </c>
      <c r="H135" s="1767">
        <v>0</v>
      </c>
      <c r="I135" s="1767">
        <v>0</v>
      </c>
      <c r="J135" s="1767">
        <v>0</v>
      </c>
      <c r="K135" s="1767">
        <v>0</v>
      </c>
      <c r="L135" s="1767">
        <v>0</v>
      </c>
      <c r="M135" s="1767">
        <v>0</v>
      </c>
      <c r="N135" s="1767">
        <v>0</v>
      </c>
      <c r="O135" s="1767">
        <v>0</v>
      </c>
      <c r="P135" s="1767">
        <v>0</v>
      </c>
      <c r="Q135" s="1767">
        <v>0</v>
      </c>
      <c r="R135" s="1767">
        <v>0</v>
      </c>
      <c r="S135" s="1767">
        <v>0</v>
      </c>
      <c r="T135" s="1767">
        <v>0</v>
      </c>
      <c r="U135" s="1767">
        <v>0</v>
      </c>
      <c r="V135" s="1767">
        <v>0</v>
      </c>
      <c r="W135" s="1767">
        <v>0</v>
      </c>
      <c r="X135" s="1767">
        <v>0</v>
      </c>
      <c r="Y135" s="1767">
        <v>0</v>
      </c>
      <c r="Z135" s="1767">
        <v>0</v>
      </c>
      <c r="AA135" s="1767">
        <v>0</v>
      </c>
      <c r="AB135" s="1767">
        <v>0</v>
      </c>
      <c r="AC135" s="1767">
        <v>0</v>
      </c>
      <c r="AD135" s="1767">
        <v>0</v>
      </c>
      <c r="AE135" s="1767">
        <v>0</v>
      </c>
      <c r="AF135" s="1767">
        <v>0</v>
      </c>
      <c r="AG135" s="1767">
        <v>0</v>
      </c>
      <c r="AH135" s="1767">
        <v>0</v>
      </c>
      <c r="AI135" s="1767">
        <v>0</v>
      </c>
      <c r="AJ135" s="1767">
        <v>0</v>
      </c>
      <c r="AK135" s="1767">
        <v>0</v>
      </c>
      <c r="AL135" s="1767">
        <v>0</v>
      </c>
      <c r="AM135" s="1767">
        <v>0</v>
      </c>
      <c r="AN135" s="1767">
        <v>0</v>
      </c>
      <c r="AO135" s="1767">
        <v>0</v>
      </c>
      <c r="AP135" s="1767">
        <v>0</v>
      </c>
      <c r="AQ135" s="1767">
        <v>0</v>
      </c>
      <c r="AR135" s="1767">
        <v>0</v>
      </c>
      <c r="AS135" s="1767">
        <v>0</v>
      </c>
      <c r="AT135" s="1767">
        <v>0</v>
      </c>
      <c r="AU135" s="1767">
        <v>0</v>
      </c>
      <c r="AV135" s="1767">
        <v>0</v>
      </c>
      <c r="AW135" s="1767">
        <v>0</v>
      </c>
      <c r="AX135" s="1767">
        <v>0</v>
      </c>
      <c r="AY135" s="1767">
        <v>0</v>
      </c>
      <c r="AZ135" s="1767">
        <v>0</v>
      </c>
      <c r="BA135" s="1767">
        <v>0</v>
      </c>
      <c r="BB135" s="1767">
        <v>0</v>
      </c>
      <c r="BC135" s="1767">
        <v>0</v>
      </c>
      <c r="BD135" s="1767">
        <v>0</v>
      </c>
      <c r="BE135" s="1767">
        <v>0</v>
      </c>
      <c r="BF135" s="1767">
        <v>0</v>
      </c>
      <c r="BG135" s="1767">
        <v>0</v>
      </c>
      <c r="BH135" s="1767">
        <v>0</v>
      </c>
      <c r="BI135" s="1767">
        <v>0</v>
      </c>
      <c r="BJ135" s="1767">
        <v>0</v>
      </c>
      <c r="BK135" s="1767">
        <v>0</v>
      </c>
      <c r="BL135" s="1767">
        <v>0</v>
      </c>
      <c r="BM135" s="1767">
        <v>0</v>
      </c>
      <c r="BN135" s="1767">
        <v>0</v>
      </c>
      <c r="BO135" s="1767">
        <v>0</v>
      </c>
      <c r="BP135" s="1767">
        <v>0</v>
      </c>
      <c r="BQ135" s="1767">
        <v>0</v>
      </c>
      <c r="BR135" s="1767">
        <v>0</v>
      </c>
      <c r="BS135" s="1767">
        <v>0</v>
      </c>
      <c r="BT135" s="1767">
        <v>0</v>
      </c>
      <c r="BU135" s="1767">
        <v>0</v>
      </c>
      <c r="BV135" s="1767">
        <v>0</v>
      </c>
      <c r="BW135" s="1767">
        <v>0</v>
      </c>
      <c r="BX135" s="1767">
        <v>0</v>
      </c>
      <c r="BY135" s="1767">
        <v>0</v>
      </c>
      <c r="BZ135" s="1767">
        <v>0</v>
      </c>
      <c r="CA135" s="1767">
        <v>0</v>
      </c>
      <c r="CB135" s="1767">
        <v>0</v>
      </c>
      <c r="CC135" s="1767">
        <v>0</v>
      </c>
      <c r="CD135" s="1767">
        <v>0</v>
      </c>
      <c r="CE135" s="1767">
        <v>0</v>
      </c>
      <c r="CF135" s="1767">
        <v>0</v>
      </c>
      <c r="CG135" s="1767">
        <v>0</v>
      </c>
      <c r="CH135" s="1767">
        <v>0</v>
      </c>
      <c r="CI135" s="1767">
        <v>0</v>
      </c>
      <c r="CJ135" s="1767">
        <v>0</v>
      </c>
      <c r="CK135" s="1767">
        <v>0</v>
      </c>
      <c r="CL135" s="1767">
        <v>0</v>
      </c>
      <c r="CM135" s="1767">
        <v>0</v>
      </c>
      <c r="CN135" s="1767">
        <v>0</v>
      </c>
      <c r="CO135" s="1767">
        <v>0</v>
      </c>
      <c r="CP135" s="1767">
        <v>0</v>
      </c>
    </row>
    <row r="136" spans="1:94" ht="15" customHeight="1" x14ac:dyDescent="0.2">
      <c r="A136" s="1847"/>
      <c r="B136" s="1892"/>
      <c r="C136" s="962" t="s">
        <v>2114</v>
      </c>
      <c r="D136" s="958"/>
      <c r="E136" s="1892"/>
      <c r="F136" s="1225"/>
      <c r="G136" s="1767">
        <v>0</v>
      </c>
      <c r="H136" s="1767">
        <v>0</v>
      </c>
      <c r="I136" s="1767">
        <v>0</v>
      </c>
      <c r="J136" s="1767">
        <v>0</v>
      </c>
      <c r="K136" s="1767">
        <v>0</v>
      </c>
      <c r="L136" s="1767">
        <v>0</v>
      </c>
      <c r="M136" s="1767">
        <v>0</v>
      </c>
      <c r="N136" s="1767">
        <v>0</v>
      </c>
      <c r="O136" s="1767">
        <v>0</v>
      </c>
      <c r="P136" s="1767">
        <v>0</v>
      </c>
      <c r="Q136" s="1767">
        <v>0</v>
      </c>
      <c r="R136" s="1767">
        <v>0</v>
      </c>
      <c r="S136" s="1767">
        <v>0</v>
      </c>
      <c r="T136" s="1767">
        <v>0</v>
      </c>
      <c r="U136" s="1767">
        <v>0</v>
      </c>
      <c r="V136" s="1767">
        <v>0</v>
      </c>
      <c r="W136" s="1767">
        <v>0</v>
      </c>
      <c r="X136" s="1767">
        <v>0</v>
      </c>
      <c r="Y136" s="1767">
        <v>0</v>
      </c>
      <c r="Z136" s="1767">
        <v>0</v>
      </c>
      <c r="AA136" s="1767">
        <v>0</v>
      </c>
      <c r="AB136" s="1767">
        <v>0</v>
      </c>
      <c r="AC136" s="1767">
        <v>0</v>
      </c>
      <c r="AD136" s="1767">
        <v>0</v>
      </c>
      <c r="AE136" s="1767">
        <v>0</v>
      </c>
      <c r="AF136" s="1767">
        <v>0</v>
      </c>
      <c r="AG136" s="1767">
        <v>0</v>
      </c>
      <c r="AH136" s="1767">
        <v>0</v>
      </c>
      <c r="AI136" s="1767">
        <v>0</v>
      </c>
      <c r="AJ136" s="1767">
        <v>0</v>
      </c>
      <c r="AK136" s="1767">
        <v>0</v>
      </c>
      <c r="AL136" s="1767">
        <v>0</v>
      </c>
      <c r="AM136" s="1767">
        <v>0</v>
      </c>
      <c r="AN136" s="1767">
        <v>0</v>
      </c>
      <c r="AO136" s="1767">
        <v>0</v>
      </c>
      <c r="AP136" s="1767">
        <v>0</v>
      </c>
      <c r="AQ136" s="1767">
        <v>0</v>
      </c>
      <c r="AR136" s="1767">
        <v>0</v>
      </c>
      <c r="AS136" s="1767">
        <v>0</v>
      </c>
      <c r="AT136" s="1767">
        <v>0</v>
      </c>
      <c r="AU136" s="1767">
        <v>0</v>
      </c>
      <c r="AV136" s="1767">
        <v>0</v>
      </c>
      <c r="AW136" s="1767">
        <v>0</v>
      </c>
      <c r="AX136" s="1767">
        <v>0</v>
      </c>
      <c r="AY136" s="1767">
        <v>0</v>
      </c>
      <c r="AZ136" s="1767">
        <v>0</v>
      </c>
      <c r="BA136" s="1767">
        <v>0</v>
      </c>
      <c r="BB136" s="1767">
        <v>0</v>
      </c>
      <c r="BC136" s="1767">
        <v>0</v>
      </c>
      <c r="BD136" s="1767">
        <v>0</v>
      </c>
      <c r="BE136" s="1767">
        <v>0</v>
      </c>
      <c r="BF136" s="1767">
        <v>0</v>
      </c>
      <c r="BG136" s="1767">
        <v>0</v>
      </c>
      <c r="BH136" s="1767">
        <v>0</v>
      </c>
      <c r="BI136" s="1767">
        <v>0</v>
      </c>
      <c r="BJ136" s="1767">
        <v>0</v>
      </c>
      <c r="BK136" s="1767">
        <v>0</v>
      </c>
      <c r="BL136" s="1767">
        <v>0</v>
      </c>
      <c r="BM136" s="1767">
        <v>0</v>
      </c>
      <c r="BN136" s="1767">
        <v>0</v>
      </c>
      <c r="BO136" s="1767">
        <v>0</v>
      </c>
      <c r="BP136" s="1767">
        <v>0</v>
      </c>
      <c r="BQ136" s="1767">
        <v>0</v>
      </c>
      <c r="BR136" s="1767">
        <v>0</v>
      </c>
      <c r="BS136" s="1767">
        <v>0</v>
      </c>
      <c r="BT136" s="1767">
        <v>0</v>
      </c>
      <c r="BU136" s="1767">
        <v>0</v>
      </c>
      <c r="BV136" s="1767">
        <v>0</v>
      </c>
      <c r="BW136" s="1767">
        <v>0</v>
      </c>
      <c r="BX136" s="1767">
        <v>0</v>
      </c>
      <c r="BY136" s="1767">
        <v>0</v>
      </c>
      <c r="BZ136" s="1767">
        <v>0</v>
      </c>
      <c r="CA136" s="1767">
        <v>0</v>
      </c>
      <c r="CB136" s="1767">
        <v>0</v>
      </c>
      <c r="CC136" s="1767">
        <v>0</v>
      </c>
      <c r="CD136" s="1767">
        <v>0</v>
      </c>
      <c r="CE136" s="1767">
        <v>0</v>
      </c>
      <c r="CF136" s="1767">
        <v>0</v>
      </c>
      <c r="CG136" s="1767">
        <v>0</v>
      </c>
      <c r="CH136" s="1767">
        <v>0</v>
      </c>
      <c r="CI136" s="1767">
        <v>0</v>
      </c>
      <c r="CJ136" s="1767">
        <v>0</v>
      </c>
      <c r="CK136" s="1767">
        <v>0</v>
      </c>
      <c r="CL136" s="1767">
        <v>0</v>
      </c>
      <c r="CM136" s="1767">
        <v>0</v>
      </c>
      <c r="CN136" s="1767">
        <v>0</v>
      </c>
      <c r="CO136" s="1767">
        <v>0</v>
      </c>
      <c r="CP136" s="1767">
        <v>0</v>
      </c>
    </row>
    <row r="137" spans="1:94" ht="15" customHeight="1" x14ac:dyDescent="0.2">
      <c r="A137" s="1847"/>
      <c r="B137" s="1892"/>
      <c r="C137" s="962" t="s">
        <v>2115</v>
      </c>
      <c r="D137" s="958"/>
      <c r="E137" s="1892"/>
      <c r="F137" s="1225"/>
      <c r="G137" s="1767">
        <v>0</v>
      </c>
      <c r="H137" s="1767">
        <v>0</v>
      </c>
      <c r="I137" s="1767">
        <v>0</v>
      </c>
      <c r="J137" s="1767">
        <v>0</v>
      </c>
      <c r="K137" s="1767">
        <v>0</v>
      </c>
      <c r="L137" s="1767">
        <v>0</v>
      </c>
      <c r="M137" s="1767">
        <v>0</v>
      </c>
      <c r="N137" s="1767">
        <v>0</v>
      </c>
      <c r="O137" s="1767">
        <v>0</v>
      </c>
      <c r="P137" s="1767">
        <v>0</v>
      </c>
      <c r="Q137" s="1767">
        <v>0</v>
      </c>
      <c r="R137" s="1767">
        <v>0</v>
      </c>
      <c r="S137" s="1767">
        <v>0</v>
      </c>
      <c r="T137" s="1767">
        <v>0</v>
      </c>
      <c r="U137" s="1767">
        <v>0</v>
      </c>
      <c r="V137" s="1767">
        <v>0</v>
      </c>
      <c r="W137" s="1767">
        <v>0</v>
      </c>
      <c r="X137" s="1767">
        <v>0</v>
      </c>
      <c r="Y137" s="1767">
        <v>0</v>
      </c>
      <c r="Z137" s="1767">
        <v>0</v>
      </c>
      <c r="AA137" s="1767">
        <v>0</v>
      </c>
      <c r="AB137" s="1767">
        <v>0</v>
      </c>
      <c r="AC137" s="1767">
        <v>0</v>
      </c>
      <c r="AD137" s="1767">
        <v>0</v>
      </c>
      <c r="AE137" s="1767">
        <v>0</v>
      </c>
      <c r="AF137" s="1767">
        <v>0</v>
      </c>
      <c r="AG137" s="1767">
        <v>0</v>
      </c>
      <c r="AH137" s="1767">
        <v>0</v>
      </c>
      <c r="AI137" s="1767">
        <v>0</v>
      </c>
      <c r="AJ137" s="1767">
        <v>0</v>
      </c>
      <c r="AK137" s="1767">
        <v>0</v>
      </c>
      <c r="AL137" s="1767">
        <v>0</v>
      </c>
      <c r="AM137" s="1767">
        <v>0</v>
      </c>
      <c r="AN137" s="1767">
        <v>0</v>
      </c>
      <c r="AO137" s="1767">
        <v>0</v>
      </c>
      <c r="AP137" s="1767">
        <v>0</v>
      </c>
      <c r="AQ137" s="1767">
        <v>0</v>
      </c>
      <c r="AR137" s="1767">
        <v>0</v>
      </c>
      <c r="AS137" s="1767">
        <v>0</v>
      </c>
      <c r="AT137" s="1767">
        <v>0</v>
      </c>
      <c r="AU137" s="1767">
        <v>0</v>
      </c>
      <c r="AV137" s="1767">
        <v>0</v>
      </c>
      <c r="AW137" s="1767">
        <v>0</v>
      </c>
      <c r="AX137" s="1767">
        <v>0</v>
      </c>
      <c r="AY137" s="1767">
        <v>0</v>
      </c>
      <c r="AZ137" s="1767">
        <v>0</v>
      </c>
      <c r="BA137" s="1767">
        <v>0</v>
      </c>
      <c r="BB137" s="1767">
        <v>0</v>
      </c>
      <c r="BC137" s="1767">
        <v>0</v>
      </c>
      <c r="BD137" s="1767">
        <v>0</v>
      </c>
      <c r="BE137" s="1767">
        <v>0</v>
      </c>
      <c r="BF137" s="1767">
        <v>0</v>
      </c>
      <c r="BG137" s="1767">
        <v>0</v>
      </c>
      <c r="BH137" s="1767">
        <v>0</v>
      </c>
      <c r="BI137" s="1767">
        <v>0</v>
      </c>
      <c r="BJ137" s="1767">
        <v>0</v>
      </c>
      <c r="BK137" s="1767">
        <v>0</v>
      </c>
      <c r="BL137" s="1767">
        <v>0</v>
      </c>
      <c r="BM137" s="1767">
        <v>0</v>
      </c>
      <c r="BN137" s="1767">
        <v>0</v>
      </c>
      <c r="BO137" s="1767">
        <v>0</v>
      </c>
      <c r="BP137" s="1767">
        <v>0</v>
      </c>
      <c r="BQ137" s="1767">
        <v>0</v>
      </c>
      <c r="BR137" s="1767">
        <v>0</v>
      </c>
      <c r="BS137" s="1767">
        <v>0</v>
      </c>
      <c r="BT137" s="1767">
        <v>0</v>
      </c>
      <c r="BU137" s="1767">
        <v>0</v>
      </c>
      <c r="BV137" s="1767">
        <v>0</v>
      </c>
      <c r="BW137" s="1767">
        <v>0</v>
      </c>
      <c r="BX137" s="1767">
        <v>0</v>
      </c>
      <c r="BY137" s="1767">
        <v>0</v>
      </c>
      <c r="BZ137" s="1767">
        <v>0</v>
      </c>
      <c r="CA137" s="1767">
        <v>0</v>
      </c>
      <c r="CB137" s="1767">
        <v>0</v>
      </c>
      <c r="CC137" s="1767">
        <v>0</v>
      </c>
      <c r="CD137" s="1767">
        <v>0</v>
      </c>
      <c r="CE137" s="1767">
        <v>0</v>
      </c>
      <c r="CF137" s="1767">
        <v>0</v>
      </c>
      <c r="CG137" s="1767">
        <v>0</v>
      </c>
      <c r="CH137" s="1767">
        <v>0</v>
      </c>
      <c r="CI137" s="1767">
        <v>0</v>
      </c>
      <c r="CJ137" s="1767">
        <v>0</v>
      </c>
      <c r="CK137" s="1767">
        <v>0</v>
      </c>
      <c r="CL137" s="1767">
        <v>0</v>
      </c>
      <c r="CM137" s="1767">
        <v>0</v>
      </c>
      <c r="CN137" s="1767">
        <v>0</v>
      </c>
      <c r="CO137" s="1767">
        <v>0</v>
      </c>
      <c r="CP137" s="1767">
        <v>0</v>
      </c>
    </row>
    <row r="138" spans="1:94" ht="15" customHeight="1" x14ac:dyDescent="0.2">
      <c r="A138" s="1847"/>
      <c r="B138" s="1892"/>
      <c r="C138" s="962" t="s">
        <v>2116</v>
      </c>
      <c r="D138" s="958"/>
      <c r="E138" s="1892"/>
      <c r="F138" s="1225"/>
      <c r="G138" s="1767">
        <v>0</v>
      </c>
      <c r="H138" s="1767">
        <v>0</v>
      </c>
      <c r="I138" s="1767">
        <v>0</v>
      </c>
      <c r="J138" s="1767">
        <v>0</v>
      </c>
      <c r="K138" s="1767">
        <v>0</v>
      </c>
      <c r="L138" s="1767">
        <v>0</v>
      </c>
      <c r="M138" s="1767">
        <v>0</v>
      </c>
      <c r="N138" s="1767">
        <v>0</v>
      </c>
      <c r="O138" s="1767">
        <v>0</v>
      </c>
      <c r="P138" s="1767">
        <v>0</v>
      </c>
      <c r="Q138" s="1767">
        <v>0</v>
      </c>
      <c r="R138" s="1767">
        <v>0</v>
      </c>
      <c r="S138" s="1767">
        <v>0</v>
      </c>
      <c r="T138" s="1767">
        <v>0</v>
      </c>
      <c r="U138" s="1767">
        <v>0</v>
      </c>
      <c r="V138" s="1767">
        <v>0</v>
      </c>
      <c r="W138" s="1767">
        <v>0</v>
      </c>
      <c r="X138" s="1767">
        <v>0</v>
      </c>
      <c r="Y138" s="1767">
        <v>0</v>
      </c>
      <c r="Z138" s="1767">
        <v>0</v>
      </c>
      <c r="AA138" s="1767">
        <v>0</v>
      </c>
      <c r="AB138" s="1767">
        <v>0</v>
      </c>
      <c r="AC138" s="1767">
        <v>0</v>
      </c>
      <c r="AD138" s="1767">
        <v>0</v>
      </c>
      <c r="AE138" s="1767">
        <v>0</v>
      </c>
      <c r="AF138" s="1767">
        <v>0</v>
      </c>
      <c r="AG138" s="1767">
        <v>0</v>
      </c>
      <c r="AH138" s="1767">
        <v>0</v>
      </c>
      <c r="AI138" s="1767">
        <v>0</v>
      </c>
      <c r="AJ138" s="1767">
        <v>0</v>
      </c>
      <c r="AK138" s="1767">
        <v>0</v>
      </c>
      <c r="AL138" s="1767">
        <v>0</v>
      </c>
      <c r="AM138" s="1767">
        <v>0</v>
      </c>
      <c r="AN138" s="1767">
        <v>0</v>
      </c>
      <c r="AO138" s="1767">
        <v>0</v>
      </c>
      <c r="AP138" s="1767">
        <v>0</v>
      </c>
      <c r="AQ138" s="1767">
        <v>0</v>
      </c>
      <c r="AR138" s="1767">
        <v>0</v>
      </c>
      <c r="AS138" s="1767">
        <v>0</v>
      </c>
      <c r="AT138" s="1767">
        <v>0</v>
      </c>
      <c r="AU138" s="1767">
        <v>0</v>
      </c>
      <c r="AV138" s="1767">
        <v>0</v>
      </c>
      <c r="AW138" s="1767">
        <v>0</v>
      </c>
      <c r="AX138" s="1767">
        <v>0</v>
      </c>
      <c r="AY138" s="1767">
        <v>0</v>
      </c>
      <c r="AZ138" s="1767">
        <v>0</v>
      </c>
      <c r="BA138" s="1767">
        <v>0</v>
      </c>
      <c r="BB138" s="1767">
        <v>0</v>
      </c>
      <c r="BC138" s="1767">
        <v>0</v>
      </c>
      <c r="BD138" s="1767">
        <v>0</v>
      </c>
      <c r="BE138" s="1767">
        <v>0</v>
      </c>
      <c r="BF138" s="1767">
        <v>0</v>
      </c>
      <c r="BG138" s="1767">
        <v>0</v>
      </c>
      <c r="BH138" s="1767">
        <v>0</v>
      </c>
      <c r="BI138" s="1767">
        <v>0</v>
      </c>
      <c r="BJ138" s="1767">
        <v>0</v>
      </c>
      <c r="BK138" s="1767">
        <v>0</v>
      </c>
      <c r="BL138" s="1767">
        <v>0</v>
      </c>
      <c r="BM138" s="1767">
        <v>0</v>
      </c>
      <c r="BN138" s="1767">
        <v>0</v>
      </c>
      <c r="BO138" s="1767">
        <v>0</v>
      </c>
      <c r="BP138" s="1767">
        <v>0</v>
      </c>
      <c r="BQ138" s="1767">
        <v>0</v>
      </c>
      <c r="BR138" s="1767">
        <v>0</v>
      </c>
      <c r="BS138" s="1767">
        <v>0</v>
      </c>
      <c r="BT138" s="1767">
        <v>0</v>
      </c>
      <c r="BU138" s="1767">
        <v>0</v>
      </c>
      <c r="BV138" s="1767">
        <v>0</v>
      </c>
      <c r="BW138" s="1767">
        <v>0</v>
      </c>
      <c r="BX138" s="1767">
        <v>0</v>
      </c>
      <c r="BY138" s="1767">
        <v>0</v>
      </c>
      <c r="BZ138" s="1767">
        <v>0</v>
      </c>
      <c r="CA138" s="1767">
        <v>0</v>
      </c>
      <c r="CB138" s="1767">
        <v>0</v>
      </c>
      <c r="CC138" s="1767">
        <v>0</v>
      </c>
      <c r="CD138" s="1767">
        <v>0</v>
      </c>
      <c r="CE138" s="1767">
        <v>0</v>
      </c>
      <c r="CF138" s="1767">
        <v>0</v>
      </c>
      <c r="CG138" s="1767">
        <v>0</v>
      </c>
      <c r="CH138" s="1767">
        <v>0</v>
      </c>
      <c r="CI138" s="1767">
        <v>0</v>
      </c>
      <c r="CJ138" s="1767">
        <v>0</v>
      </c>
      <c r="CK138" s="1767">
        <v>0</v>
      </c>
      <c r="CL138" s="1767">
        <v>0</v>
      </c>
      <c r="CM138" s="1767">
        <v>0</v>
      </c>
      <c r="CN138" s="1767">
        <v>0</v>
      </c>
      <c r="CO138" s="1767">
        <v>0</v>
      </c>
      <c r="CP138" s="1767">
        <v>0</v>
      </c>
    </row>
    <row r="139" spans="1:94" ht="15" customHeight="1" thickBot="1" x14ac:dyDescent="0.25">
      <c r="A139" s="1848"/>
      <c r="B139" s="1893"/>
      <c r="C139" s="965" t="s">
        <v>2117</v>
      </c>
      <c r="D139" s="959"/>
      <c r="E139" s="1893"/>
      <c r="F139" s="1225"/>
      <c r="G139" s="1767">
        <v>0</v>
      </c>
      <c r="H139" s="1767">
        <v>0</v>
      </c>
      <c r="I139" s="1767">
        <v>0</v>
      </c>
      <c r="J139" s="1767">
        <v>0</v>
      </c>
      <c r="K139" s="1767">
        <v>0</v>
      </c>
      <c r="L139" s="1767">
        <v>0</v>
      </c>
      <c r="M139" s="1767">
        <v>0</v>
      </c>
      <c r="N139" s="1767">
        <v>0</v>
      </c>
      <c r="O139" s="1767">
        <v>0</v>
      </c>
      <c r="P139" s="1767">
        <v>0</v>
      </c>
      <c r="Q139" s="1767">
        <v>0</v>
      </c>
      <c r="R139" s="1767">
        <v>0</v>
      </c>
      <c r="S139" s="1767">
        <v>0</v>
      </c>
      <c r="T139" s="1767">
        <v>0</v>
      </c>
      <c r="U139" s="1767">
        <v>0</v>
      </c>
      <c r="V139" s="1767">
        <v>0</v>
      </c>
      <c r="W139" s="1767">
        <v>0</v>
      </c>
      <c r="X139" s="1767">
        <v>0</v>
      </c>
      <c r="Y139" s="1767">
        <v>0</v>
      </c>
      <c r="Z139" s="1767">
        <v>0</v>
      </c>
      <c r="AA139" s="1767">
        <v>0</v>
      </c>
      <c r="AB139" s="1767">
        <v>0</v>
      </c>
      <c r="AC139" s="1767">
        <v>0</v>
      </c>
      <c r="AD139" s="1767">
        <v>0</v>
      </c>
      <c r="AE139" s="1767">
        <v>0</v>
      </c>
      <c r="AF139" s="1767">
        <v>0</v>
      </c>
      <c r="AG139" s="1767">
        <v>0</v>
      </c>
      <c r="AH139" s="1767">
        <v>0</v>
      </c>
      <c r="AI139" s="1767">
        <v>0</v>
      </c>
      <c r="AJ139" s="1767">
        <v>0</v>
      </c>
      <c r="AK139" s="1767">
        <v>0</v>
      </c>
      <c r="AL139" s="1767">
        <v>0</v>
      </c>
      <c r="AM139" s="1767">
        <v>0</v>
      </c>
      <c r="AN139" s="1767">
        <v>0</v>
      </c>
      <c r="AO139" s="1767">
        <v>0</v>
      </c>
      <c r="AP139" s="1767">
        <v>0</v>
      </c>
      <c r="AQ139" s="1767">
        <v>0</v>
      </c>
      <c r="AR139" s="1767">
        <v>0</v>
      </c>
      <c r="AS139" s="1767">
        <v>0</v>
      </c>
      <c r="AT139" s="1767">
        <v>0</v>
      </c>
      <c r="AU139" s="1767">
        <v>0</v>
      </c>
      <c r="AV139" s="1767">
        <v>0</v>
      </c>
      <c r="AW139" s="1767">
        <v>0</v>
      </c>
      <c r="AX139" s="1767">
        <v>0</v>
      </c>
      <c r="AY139" s="1767">
        <v>0</v>
      </c>
      <c r="AZ139" s="1767">
        <v>0</v>
      </c>
      <c r="BA139" s="1767">
        <v>0</v>
      </c>
      <c r="BB139" s="1767">
        <v>0</v>
      </c>
      <c r="BC139" s="1767">
        <v>0</v>
      </c>
      <c r="BD139" s="1767">
        <v>0</v>
      </c>
      <c r="BE139" s="1767">
        <v>0</v>
      </c>
      <c r="BF139" s="1767">
        <v>0</v>
      </c>
      <c r="BG139" s="1767">
        <v>0</v>
      </c>
      <c r="BH139" s="1767">
        <v>0</v>
      </c>
      <c r="BI139" s="1767">
        <v>0</v>
      </c>
      <c r="BJ139" s="1767">
        <v>0</v>
      </c>
      <c r="BK139" s="1767">
        <v>0</v>
      </c>
      <c r="BL139" s="1767">
        <v>0</v>
      </c>
      <c r="BM139" s="1767">
        <v>0</v>
      </c>
      <c r="BN139" s="1767">
        <v>0</v>
      </c>
      <c r="BO139" s="1767">
        <v>0</v>
      </c>
      <c r="BP139" s="1767">
        <v>0</v>
      </c>
      <c r="BQ139" s="1767">
        <v>0</v>
      </c>
      <c r="BR139" s="1767">
        <v>0</v>
      </c>
      <c r="BS139" s="1767">
        <v>0</v>
      </c>
      <c r="BT139" s="1767">
        <v>0</v>
      </c>
      <c r="BU139" s="1767">
        <v>0</v>
      </c>
      <c r="BV139" s="1767">
        <v>0</v>
      </c>
      <c r="BW139" s="1767">
        <v>0</v>
      </c>
      <c r="BX139" s="1767">
        <v>0</v>
      </c>
      <c r="BY139" s="1767">
        <v>0</v>
      </c>
      <c r="BZ139" s="1767">
        <v>0</v>
      </c>
      <c r="CA139" s="1767">
        <v>0</v>
      </c>
      <c r="CB139" s="1767">
        <v>0</v>
      </c>
      <c r="CC139" s="1767">
        <v>0</v>
      </c>
      <c r="CD139" s="1767">
        <v>0</v>
      </c>
      <c r="CE139" s="1767">
        <v>0</v>
      </c>
      <c r="CF139" s="1767">
        <v>0</v>
      </c>
      <c r="CG139" s="1767">
        <v>0</v>
      </c>
      <c r="CH139" s="1767">
        <v>0</v>
      </c>
      <c r="CI139" s="1767">
        <v>0</v>
      </c>
      <c r="CJ139" s="1767">
        <v>0</v>
      </c>
      <c r="CK139" s="1767">
        <v>0</v>
      </c>
      <c r="CL139" s="1767">
        <v>0</v>
      </c>
      <c r="CM139" s="1767">
        <v>0</v>
      </c>
      <c r="CN139" s="1767">
        <v>0</v>
      </c>
      <c r="CO139" s="1767">
        <v>0</v>
      </c>
      <c r="CP139" s="1767">
        <v>0</v>
      </c>
    </row>
    <row r="140" spans="1:94" ht="32.25" customHeight="1" thickBot="1" x14ac:dyDescent="0.25">
      <c r="A140" s="1357" t="s">
        <v>1300</v>
      </c>
      <c r="B140" s="1364" t="s">
        <v>281</v>
      </c>
      <c r="C140" s="1783" t="s">
        <v>2318</v>
      </c>
      <c r="D140" s="966"/>
      <c r="E140" s="829" t="s">
        <v>1814</v>
      </c>
      <c r="F140" s="1225"/>
      <c r="G140" s="1768">
        <v>0</v>
      </c>
      <c r="H140" s="1768">
        <v>0</v>
      </c>
      <c r="I140" s="1768">
        <v>0</v>
      </c>
      <c r="J140" s="1768">
        <v>0</v>
      </c>
      <c r="K140" s="1768">
        <v>0</v>
      </c>
      <c r="L140" s="1768">
        <v>0</v>
      </c>
      <c r="M140" s="1768">
        <v>0</v>
      </c>
      <c r="N140" s="1768">
        <v>0</v>
      </c>
      <c r="O140" s="1768">
        <v>0</v>
      </c>
      <c r="P140" s="1768">
        <v>0</v>
      </c>
      <c r="Q140" s="1768">
        <v>0</v>
      </c>
      <c r="R140" s="1768">
        <v>0</v>
      </c>
      <c r="S140" s="1768">
        <v>0</v>
      </c>
      <c r="T140" s="1768">
        <v>0</v>
      </c>
      <c r="U140" s="1768">
        <v>0</v>
      </c>
      <c r="V140" s="1768">
        <v>0</v>
      </c>
      <c r="W140" s="1768">
        <v>0</v>
      </c>
      <c r="X140" s="1768">
        <v>0</v>
      </c>
      <c r="Y140" s="1768">
        <v>0</v>
      </c>
      <c r="Z140" s="1768">
        <v>0</v>
      </c>
      <c r="AA140" s="1768">
        <v>0</v>
      </c>
      <c r="AB140" s="1768">
        <v>0</v>
      </c>
      <c r="AC140" s="1768">
        <v>0</v>
      </c>
      <c r="AD140" s="1768">
        <v>0</v>
      </c>
      <c r="AE140" s="1768">
        <v>0</v>
      </c>
      <c r="AF140" s="1768">
        <v>0</v>
      </c>
      <c r="AG140" s="1768">
        <v>0</v>
      </c>
      <c r="AH140" s="1768">
        <v>0</v>
      </c>
      <c r="AI140" s="1768">
        <v>0</v>
      </c>
      <c r="AJ140" s="1768">
        <v>0</v>
      </c>
      <c r="AK140" s="1768">
        <v>0</v>
      </c>
      <c r="AL140" s="1768">
        <v>0</v>
      </c>
      <c r="AM140" s="1768">
        <v>0</v>
      </c>
      <c r="AN140" s="1768">
        <v>0</v>
      </c>
      <c r="AO140" s="1768">
        <v>0</v>
      </c>
      <c r="AP140" s="1768">
        <v>0</v>
      </c>
      <c r="AQ140" s="1768">
        <v>0</v>
      </c>
      <c r="AR140" s="1768">
        <v>0</v>
      </c>
      <c r="AS140" s="1768">
        <v>0</v>
      </c>
      <c r="AT140" s="1768">
        <v>0</v>
      </c>
      <c r="AU140" s="1768">
        <v>0</v>
      </c>
      <c r="AV140" s="1768">
        <v>0</v>
      </c>
      <c r="AW140" s="1768">
        <v>0</v>
      </c>
      <c r="AX140" s="1768">
        <v>0</v>
      </c>
      <c r="AY140" s="1768">
        <v>0</v>
      </c>
      <c r="AZ140" s="1768">
        <v>0</v>
      </c>
      <c r="BA140" s="1768">
        <v>0</v>
      </c>
      <c r="BB140" s="1768">
        <v>0</v>
      </c>
      <c r="BC140" s="1768">
        <v>0</v>
      </c>
      <c r="BD140" s="1768">
        <v>0</v>
      </c>
      <c r="BE140" s="1768">
        <v>0</v>
      </c>
      <c r="BF140" s="1768">
        <v>0</v>
      </c>
      <c r="BG140" s="1768">
        <v>0</v>
      </c>
      <c r="BH140" s="1768">
        <v>0</v>
      </c>
      <c r="BI140" s="1768">
        <v>0</v>
      </c>
      <c r="BJ140" s="1768">
        <v>0</v>
      </c>
      <c r="BK140" s="1768">
        <v>0</v>
      </c>
      <c r="BL140" s="1768">
        <v>0</v>
      </c>
      <c r="BM140" s="1768">
        <v>0</v>
      </c>
      <c r="BN140" s="1768">
        <v>0</v>
      </c>
      <c r="BO140" s="1768">
        <v>0</v>
      </c>
      <c r="BP140" s="1768">
        <v>0</v>
      </c>
      <c r="BQ140" s="1768">
        <v>0</v>
      </c>
      <c r="BR140" s="1768">
        <v>0</v>
      </c>
      <c r="BS140" s="1768">
        <v>0</v>
      </c>
      <c r="BT140" s="1768">
        <v>0</v>
      </c>
      <c r="BU140" s="1768">
        <v>0</v>
      </c>
      <c r="BV140" s="1768">
        <v>0</v>
      </c>
      <c r="BW140" s="1768">
        <v>0</v>
      </c>
      <c r="BX140" s="1768">
        <v>0</v>
      </c>
      <c r="BY140" s="1768">
        <v>0</v>
      </c>
      <c r="BZ140" s="1768">
        <v>0</v>
      </c>
      <c r="CA140" s="1768">
        <v>0</v>
      </c>
      <c r="CB140" s="1768">
        <v>0</v>
      </c>
      <c r="CC140" s="1768">
        <v>0</v>
      </c>
      <c r="CD140" s="1768">
        <v>0</v>
      </c>
      <c r="CE140" s="1768">
        <v>0</v>
      </c>
      <c r="CF140" s="1768">
        <v>0</v>
      </c>
      <c r="CG140" s="1768">
        <v>0</v>
      </c>
      <c r="CH140" s="1768">
        <v>0</v>
      </c>
      <c r="CI140" s="1768">
        <v>0</v>
      </c>
      <c r="CJ140" s="1768">
        <v>0</v>
      </c>
      <c r="CK140" s="1768">
        <v>0</v>
      </c>
      <c r="CL140" s="1768">
        <v>0</v>
      </c>
      <c r="CM140" s="1768">
        <v>0</v>
      </c>
      <c r="CN140" s="1768">
        <v>0</v>
      </c>
      <c r="CO140" s="1768">
        <v>0</v>
      </c>
      <c r="CP140" s="1768">
        <v>0</v>
      </c>
    </row>
    <row r="141" spans="1:94" s="58" customFormat="1" ht="30" customHeight="1" thickBot="1" x14ac:dyDescent="0.25">
      <c r="A141" s="715" t="s">
        <v>1301</v>
      </c>
      <c r="B141" s="716" t="s">
        <v>282</v>
      </c>
      <c r="C141" s="1779" t="s">
        <v>582</v>
      </c>
      <c r="D141" s="967"/>
      <c r="E141" s="1367" t="s">
        <v>1815</v>
      </c>
      <c r="F141" s="1225"/>
      <c r="G141" s="1767">
        <v>0</v>
      </c>
      <c r="H141" s="1767">
        <v>0</v>
      </c>
      <c r="I141" s="1767">
        <v>0</v>
      </c>
      <c r="J141" s="1767">
        <v>0</v>
      </c>
      <c r="K141" s="1767">
        <v>0</v>
      </c>
      <c r="L141" s="1767">
        <v>0</v>
      </c>
      <c r="M141" s="1767">
        <v>0</v>
      </c>
      <c r="N141" s="1767">
        <v>0</v>
      </c>
      <c r="O141" s="1767">
        <v>0</v>
      </c>
      <c r="P141" s="1767">
        <v>0</v>
      </c>
      <c r="Q141" s="1767">
        <v>0</v>
      </c>
      <c r="R141" s="1767">
        <v>0</v>
      </c>
      <c r="S141" s="1767">
        <v>0</v>
      </c>
      <c r="T141" s="1767">
        <v>0</v>
      </c>
      <c r="U141" s="1767">
        <v>0</v>
      </c>
      <c r="V141" s="1767">
        <v>0</v>
      </c>
      <c r="W141" s="1767">
        <v>0</v>
      </c>
      <c r="X141" s="1767">
        <v>0</v>
      </c>
      <c r="Y141" s="1767">
        <v>0</v>
      </c>
      <c r="Z141" s="1767">
        <v>0</v>
      </c>
      <c r="AA141" s="1767">
        <v>0</v>
      </c>
      <c r="AB141" s="1767">
        <v>0</v>
      </c>
      <c r="AC141" s="1767">
        <v>0</v>
      </c>
      <c r="AD141" s="1767">
        <v>0</v>
      </c>
      <c r="AE141" s="1767">
        <v>0</v>
      </c>
      <c r="AF141" s="1767">
        <v>0</v>
      </c>
      <c r="AG141" s="1767">
        <v>0</v>
      </c>
      <c r="AH141" s="1767">
        <v>0</v>
      </c>
      <c r="AI141" s="1767">
        <v>0</v>
      </c>
      <c r="AJ141" s="1767">
        <v>0</v>
      </c>
      <c r="AK141" s="1767">
        <v>0</v>
      </c>
      <c r="AL141" s="1767">
        <v>0</v>
      </c>
      <c r="AM141" s="1767">
        <v>0</v>
      </c>
      <c r="AN141" s="1767">
        <v>0</v>
      </c>
      <c r="AO141" s="1767">
        <v>0</v>
      </c>
      <c r="AP141" s="1767">
        <v>0</v>
      </c>
      <c r="AQ141" s="1767">
        <v>0</v>
      </c>
      <c r="AR141" s="1767">
        <v>0</v>
      </c>
      <c r="AS141" s="1767">
        <v>0</v>
      </c>
      <c r="AT141" s="1767">
        <v>0</v>
      </c>
      <c r="AU141" s="1767">
        <v>0</v>
      </c>
      <c r="AV141" s="1767">
        <v>0</v>
      </c>
      <c r="AW141" s="1767">
        <v>0</v>
      </c>
      <c r="AX141" s="1767">
        <v>0</v>
      </c>
      <c r="AY141" s="1767">
        <v>0</v>
      </c>
      <c r="AZ141" s="1767">
        <v>0</v>
      </c>
      <c r="BA141" s="1767">
        <v>0</v>
      </c>
      <c r="BB141" s="1767">
        <v>0</v>
      </c>
      <c r="BC141" s="1767">
        <v>0</v>
      </c>
      <c r="BD141" s="1767">
        <v>0</v>
      </c>
      <c r="BE141" s="1767">
        <v>0</v>
      </c>
      <c r="BF141" s="1767">
        <v>0</v>
      </c>
      <c r="BG141" s="1767">
        <v>0</v>
      </c>
      <c r="BH141" s="1767">
        <v>0</v>
      </c>
      <c r="BI141" s="1767">
        <v>0</v>
      </c>
      <c r="BJ141" s="1767">
        <v>0</v>
      </c>
      <c r="BK141" s="1767">
        <v>0</v>
      </c>
      <c r="BL141" s="1767">
        <v>0</v>
      </c>
      <c r="BM141" s="1767">
        <v>0</v>
      </c>
      <c r="BN141" s="1767">
        <v>0</v>
      </c>
      <c r="BO141" s="1767">
        <v>0</v>
      </c>
      <c r="BP141" s="1767">
        <v>0</v>
      </c>
      <c r="BQ141" s="1767">
        <v>0</v>
      </c>
      <c r="BR141" s="1767">
        <v>0</v>
      </c>
      <c r="BS141" s="1767">
        <v>0</v>
      </c>
      <c r="BT141" s="1767">
        <v>0</v>
      </c>
      <c r="BU141" s="1767">
        <v>0</v>
      </c>
      <c r="BV141" s="1767">
        <v>0</v>
      </c>
      <c r="BW141" s="1767">
        <v>0</v>
      </c>
      <c r="BX141" s="1767">
        <v>0</v>
      </c>
      <c r="BY141" s="1767">
        <v>0</v>
      </c>
      <c r="BZ141" s="1767">
        <v>0</v>
      </c>
      <c r="CA141" s="1767">
        <v>0</v>
      </c>
      <c r="CB141" s="1767">
        <v>0</v>
      </c>
      <c r="CC141" s="1767">
        <v>0</v>
      </c>
      <c r="CD141" s="1767">
        <v>0</v>
      </c>
      <c r="CE141" s="1767">
        <v>0</v>
      </c>
      <c r="CF141" s="1767">
        <v>0</v>
      </c>
      <c r="CG141" s="1767">
        <v>0</v>
      </c>
      <c r="CH141" s="1767">
        <v>0</v>
      </c>
      <c r="CI141" s="1767">
        <v>0</v>
      </c>
      <c r="CJ141" s="1767">
        <v>0</v>
      </c>
      <c r="CK141" s="1767">
        <v>0</v>
      </c>
      <c r="CL141" s="1767">
        <v>0</v>
      </c>
      <c r="CM141" s="1767">
        <v>0</v>
      </c>
      <c r="CN141" s="1767">
        <v>0</v>
      </c>
      <c r="CO141" s="1767">
        <v>0</v>
      </c>
      <c r="CP141" s="1767">
        <v>0</v>
      </c>
    </row>
    <row r="142" spans="1:94" ht="21" customHeight="1" thickBot="1" x14ac:dyDescent="0.25">
      <c r="A142" s="1849" t="s">
        <v>1302</v>
      </c>
      <c r="B142" s="1833" t="s">
        <v>497</v>
      </c>
      <c r="C142" s="1781" t="s">
        <v>2521</v>
      </c>
      <c r="D142" s="948"/>
      <c r="E142" s="1834" t="s">
        <v>1816</v>
      </c>
      <c r="F142" s="1225"/>
      <c r="G142" s="1742"/>
      <c r="H142" s="1742"/>
      <c r="I142" s="1742"/>
      <c r="J142" s="1742"/>
      <c r="K142" s="1742"/>
      <c r="L142" s="1742"/>
      <c r="M142" s="1742"/>
      <c r="N142" s="1742"/>
      <c r="O142" s="1742"/>
      <c r="P142" s="1742"/>
      <c r="Q142" s="1742"/>
      <c r="R142" s="1742"/>
      <c r="S142" s="1742"/>
      <c r="T142" s="1742"/>
      <c r="U142" s="1742"/>
      <c r="V142" s="1742"/>
      <c r="W142" s="1742"/>
      <c r="X142" s="1742"/>
      <c r="Y142" s="1742"/>
      <c r="Z142" s="1742"/>
      <c r="AA142" s="1742"/>
      <c r="AB142" s="1742"/>
      <c r="AC142" s="1742"/>
      <c r="AD142" s="1742"/>
      <c r="AE142" s="1742"/>
      <c r="AF142" s="1742"/>
      <c r="AG142" s="1742"/>
      <c r="AH142" s="1742"/>
      <c r="AI142" s="1742"/>
      <c r="AJ142" s="1742"/>
      <c r="AK142" s="1742"/>
      <c r="AL142" s="1742"/>
      <c r="AM142" s="1742"/>
      <c r="AN142" s="1742"/>
      <c r="AO142" s="1742"/>
      <c r="AP142" s="1742"/>
      <c r="AQ142" s="1742"/>
      <c r="AR142" s="1742"/>
      <c r="AS142" s="1742"/>
      <c r="AT142" s="1742"/>
      <c r="AU142" s="1742"/>
      <c r="AV142" s="1742"/>
      <c r="AW142" s="1742"/>
      <c r="AX142" s="1742"/>
      <c r="AY142" s="1742"/>
      <c r="AZ142" s="1742"/>
      <c r="BA142" s="1742"/>
      <c r="BB142" s="1742"/>
      <c r="BC142" s="1742"/>
      <c r="BD142" s="1742"/>
      <c r="BE142" s="1742"/>
      <c r="BF142" s="1742"/>
      <c r="BG142" s="1742"/>
      <c r="BH142" s="1742"/>
      <c r="BI142" s="1742"/>
      <c r="BJ142" s="1742"/>
      <c r="BK142" s="1742"/>
      <c r="BL142" s="1742"/>
      <c r="BM142" s="1742"/>
      <c r="BN142" s="1742"/>
      <c r="BO142" s="1742"/>
      <c r="BP142" s="1742"/>
      <c r="BQ142" s="1742"/>
      <c r="BR142" s="1742"/>
      <c r="BS142" s="1742"/>
      <c r="BT142" s="1742"/>
      <c r="BU142" s="1742"/>
      <c r="BV142" s="1742"/>
      <c r="BW142" s="1742"/>
      <c r="BX142" s="1742"/>
      <c r="BY142" s="1742"/>
      <c r="BZ142" s="1742"/>
      <c r="CA142" s="1742"/>
      <c r="CB142" s="1742"/>
      <c r="CC142" s="1742"/>
      <c r="CD142" s="1742"/>
      <c r="CE142" s="1742"/>
      <c r="CF142" s="1742"/>
      <c r="CG142" s="1742"/>
      <c r="CH142" s="1742"/>
      <c r="CI142" s="1742"/>
      <c r="CJ142" s="1742"/>
      <c r="CK142" s="1742"/>
      <c r="CL142" s="1742"/>
      <c r="CM142" s="1742"/>
      <c r="CN142" s="1742"/>
      <c r="CO142" s="1742"/>
      <c r="CP142" s="1742"/>
    </row>
    <row r="143" spans="1:94" ht="15" customHeight="1" x14ac:dyDescent="0.2">
      <c r="A143" s="1847"/>
      <c r="B143" s="1834"/>
      <c r="C143" s="649" t="s">
        <v>1700</v>
      </c>
      <c r="D143" s="936"/>
      <c r="E143" s="1834"/>
      <c r="F143" s="1225"/>
      <c r="G143" s="1767">
        <v>0</v>
      </c>
      <c r="H143" s="1767">
        <v>0</v>
      </c>
      <c r="I143" s="1767">
        <v>0</v>
      </c>
      <c r="J143" s="1767">
        <v>0</v>
      </c>
      <c r="K143" s="1767">
        <v>0</v>
      </c>
      <c r="L143" s="1767">
        <v>0</v>
      </c>
      <c r="M143" s="1767">
        <v>0</v>
      </c>
      <c r="N143" s="1767">
        <v>0</v>
      </c>
      <c r="O143" s="1767">
        <v>0</v>
      </c>
      <c r="P143" s="1767">
        <v>0</v>
      </c>
      <c r="Q143" s="1767">
        <v>0</v>
      </c>
      <c r="R143" s="1767">
        <v>0</v>
      </c>
      <c r="S143" s="1767">
        <v>0</v>
      </c>
      <c r="T143" s="1767">
        <v>0</v>
      </c>
      <c r="U143" s="1767">
        <v>0</v>
      </c>
      <c r="V143" s="1767">
        <v>0</v>
      </c>
      <c r="W143" s="1767">
        <v>0</v>
      </c>
      <c r="X143" s="1767">
        <v>0</v>
      </c>
      <c r="Y143" s="1767">
        <v>0</v>
      </c>
      <c r="Z143" s="1767">
        <v>0</v>
      </c>
      <c r="AA143" s="1767">
        <v>0</v>
      </c>
      <c r="AB143" s="1767">
        <v>0</v>
      </c>
      <c r="AC143" s="1767">
        <v>0</v>
      </c>
      <c r="AD143" s="1767">
        <v>0</v>
      </c>
      <c r="AE143" s="1767">
        <v>0</v>
      </c>
      <c r="AF143" s="1767">
        <v>0</v>
      </c>
      <c r="AG143" s="1767">
        <v>0</v>
      </c>
      <c r="AH143" s="1767">
        <v>0</v>
      </c>
      <c r="AI143" s="1767">
        <v>0</v>
      </c>
      <c r="AJ143" s="1767">
        <v>0</v>
      </c>
      <c r="AK143" s="1767">
        <v>0</v>
      </c>
      <c r="AL143" s="1767">
        <v>0</v>
      </c>
      <c r="AM143" s="1767">
        <v>0</v>
      </c>
      <c r="AN143" s="1767">
        <v>0</v>
      </c>
      <c r="AO143" s="1767">
        <v>0</v>
      </c>
      <c r="AP143" s="1767">
        <v>0</v>
      </c>
      <c r="AQ143" s="1767">
        <v>0</v>
      </c>
      <c r="AR143" s="1767">
        <v>0</v>
      </c>
      <c r="AS143" s="1767">
        <v>0</v>
      </c>
      <c r="AT143" s="1767">
        <v>0</v>
      </c>
      <c r="AU143" s="1767">
        <v>0</v>
      </c>
      <c r="AV143" s="1767">
        <v>0</v>
      </c>
      <c r="AW143" s="1767">
        <v>0</v>
      </c>
      <c r="AX143" s="1767">
        <v>0</v>
      </c>
      <c r="AY143" s="1767">
        <v>0</v>
      </c>
      <c r="AZ143" s="1767">
        <v>0</v>
      </c>
      <c r="BA143" s="1767">
        <v>0</v>
      </c>
      <c r="BB143" s="1767">
        <v>0</v>
      </c>
      <c r="BC143" s="1767">
        <v>0</v>
      </c>
      <c r="BD143" s="1767">
        <v>0</v>
      </c>
      <c r="BE143" s="1767">
        <v>0</v>
      </c>
      <c r="BF143" s="1767">
        <v>0</v>
      </c>
      <c r="BG143" s="1767">
        <v>0</v>
      </c>
      <c r="BH143" s="1767">
        <v>0</v>
      </c>
      <c r="BI143" s="1767">
        <v>0</v>
      </c>
      <c r="BJ143" s="1767">
        <v>0</v>
      </c>
      <c r="BK143" s="1767">
        <v>0</v>
      </c>
      <c r="BL143" s="1767">
        <v>0</v>
      </c>
      <c r="BM143" s="1767">
        <v>0</v>
      </c>
      <c r="BN143" s="1767">
        <v>0</v>
      </c>
      <c r="BO143" s="1767">
        <v>0</v>
      </c>
      <c r="BP143" s="1767">
        <v>0</v>
      </c>
      <c r="BQ143" s="1767">
        <v>0</v>
      </c>
      <c r="BR143" s="1767">
        <v>0</v>
      </c>
      <c r="BS143" s="1767">
        <v>0</v>
      </c>
      <c r="BT143" s="1767">
        <v>0</v>
      </c>
      <c r="BU143" s="1767">
        <v>0</v>
      </c>
      <c r="BV143" s="1767">
        <v>0</v>
      </c>
      <c r="BW143" s="1767">
        <v>0</v>
      </c>
      <c r="BX143" s="1767">
        <v>0</v>
      </c>
      <c r="BY143" s="1767">
        <v>0</v>
      </c>
      <c r="BZ143" s="1767">
        <v>0</v>
      </c>
      <c r="CA143" s="1767">
        <v>0</v>
      </c>
      <c r="CB143" s="1767">
        <v>0</v>
      </c>
      <c r="CC143" s="1767">
        <v>0</v>
      </c>
      <c r="CD143" s="1767">
        <v>0</v>
      </c>
      <c r="CE143" s="1767">
        <v>0</v>
      </c>
      <c r="CF143" s="1767">
        <v>0</v>
      </c>
      <c r="CG143" s="1767">
        <v>0</v>
      </c>
      <c r="CH143" s="1767">
        <v>0</v>
      </c>
      <c r="CI143" s="1767">
        <v>0</v>
      </c>
      <c r="CJ143" s="1767">
        <v>0</v>
      </c>
      <c r="CK143" s="1767">
        <v>0</v>
      </c>
      <c r="CL143" s="1767">
        <v>0</v>
      </c>
      <c r="CM143" s="1767">
        <v>0</v>
      </c>
      <c r="CN143" s="1767">
        <v>0</v>
      </c>
      <c r="CO143" s="1767">
        <v>0</v>
      </c>
      <c r="CP143" s="1767">
        <v>0</v>
      </c>
    </row>
    <row r="144" spans="1:94" ht="15" customHeight="1" x14ac:dyDescent="0.2">
      <c r="A144" s="1847"/>
      <c r="B144" s="1834"/>
      <c r="C144" s="663" t="s">
        <v>447</v>
      </c>
      <c r="D144" s="936"/>
      <c r="E144" s="1834"/>
      <c r="F144" s="1225"/>
      <c r="G144" s="1767">
        <v>0</v>
      </c>
      <c r="H144" s="1767">
        <v>0</v>
      </c>
      <c r="I144" s="1767">
        <v>0</v>
      </c>
      <c r="J144" s="1767">
        <v>0</v>
      </c>
      <c r="K144" s="1767">
        <v>0</v>
      </c>
      <c r="L144" s="1767">
        <v>0</v>
      </c>
      <c r="M144" s="1767">
        <v>0</v>
      </c>
      <c r="N144" s="1767">
        <v>0</v>
      </c>
      <c r="O144" s="1767">
        <v>0</v>
      </c>
      <c r="P144" s="1767">
        <v>0</v>
      </c>
      <c r="Q144" s="1767">
        <v>0</v>
      </c>
      <c r="R144" s="1767">
        <v>0</v>
      </c>
      <c r="S144" s="1767">
        <v>0</v>
      </c>
      <c r="T144" s="1767">
        <v>0</v>
      </c>
      <c r="U144" s="1767">
        <v>0</v>
      </c>
      <c r="V144" s="1767">
        <v>0</v>
      </c>
      <c r="W144" s="1767">
        <v>0</v>
      </c>
      <c r="X144" s="1767">
        <v>0</v>
      </c>
      <c r="Y144" s="1767">
        <v>0</v>
      </c>
      <c r="Z144" s="1767">
        <v>0</v>
      </c>
      <c r="AA144" s="1767">
        <v>0</v>
      </c>
      <c r="AB144" s="1767">
        <v>0</v>
      </c>
      <c r="AC144" s="1767">
        <v>0</v>
      </c>
      <c r="AD144" s="1767">
        <v>0</v>
      </c>
      <c r="AE144" s="1767">
        <v>0</v>
      </c>
      <c r="AF144" s="1767">
        <v>0</v>
      </c>
      <c r="AG144" s="1767">
        <v>0</v>
      </c>
      <c r="AH144" s="1767">
        <v>0</v>
      </c>
      <c r="AI144" s="1767">
        <v>0</v>
      </c>
      <c r="AJ144" s="1767">
        <v>0</v>
      </c>
      <c r="AK144" s="1767">
        <v>0</v>
      </c>
      <c r="AL144" s="1767">
        <v>0</v>
      </c>
      <c r="AM144" s="1767">
        <v>0</v>
      </c>
      <c r="AN144" s="1767">
        <v>0</v>
      </c>
      <c r="AO144" s="1767">
        <v>0</v>
      </c>
      <c r="AP144" s="1767">
        <v>0</v>
      </c>
      <c r="AQ144" s="1767">
        <v>0</v>
      </c>
      <c r="AR144" s="1767">
        <v>0</v>
      </c>
      <c r="AS144" s="1767">
        <v>0</v>
      </c>
      <c r="AT144" s="1767">
        <v>0</v>
      </c>
      <c r="AU144" s="1767">
        <v>0</v>
      </c>
      <c r="AV144" s="1767">
        <v>0</v>
      </c>
      <c r="AW144" s="1767">
        <v>0</v>
      </c>
      <c r="AX144" s="1767">
        <v>0</v>
      </c>
      <c r="AY144" s="1767">
        <v>0</v>
      </c>
      <c r="AZ144" s="1767">
        <v>0</v>
      </c>
      <c r="BA144" s="1767">
        <v>0</v>
      </c>
      <c r="BB144" s="1767">
        <v>0</v>
      </c>
      <c r="BC144" s="1767">
        <v>0</v>
      </c>
      <c r="BD144" s="1767">
        <v>0</v>
      </c>
      <c r="BE144" s="1767">
        <v>0</v>
      </c>
      <c r="BF144" s="1767">
        <v>0</v>
      </c>
      <c r="BG144" s="1767">
        <v>0</v>
      </c>
      <c r="BH144" s="1767">
        <v>0</v>
      </c>
      <c r="BI144" s="1767">
        <v>0</v>
      </c>
      <c r="BJ144" s="1767">
        <v>0</v>
      </c>
      <c r="BK144" s="1767">
        <v>0</v>
      </c>
      <c r="BL144" s="1767">
        <v>0</v>
      </c>
      <c r="BM144" s="1767">
        <v>0</v>
      </c>
      <c r="BN144" s="1767">
        <v>0</v>
      </c>
      <c r="BO144" s="1767">
        <v>0</v>
      </c>
      <c r="BP144" s="1767">
        <v>0</v>
      </c>
      <c r="BQ144" s="1767">
        <v>0</v>
      </c>
      <c r="BR144" s="1767">
        <v>0</v>
      </c>
      <c r="BS144" s="1767">
        <v>0</v>
      </c>
      <c r="BT144" s="1767">
        <v>0</v>
      </c>
      <c r="BU144" s="1767">
        <v>0</v>
      </c>
      <c r="BV144" s="1767">
        <v>0</v>
      </c>
      <c r="BW144" s="1767">
        <v>0</v>
      </c>
      <c r="BX144" s="1767">
        <v>0</v>
      </c>
      <c r="BY144" s="1767">
        <v>0</v>
      </c>
      <c r="BZ144" s="1767">
        <v>0</v>
      </c>
      <c r="CA144" s="1767">
        <v>0</v>
      </c>
      <c r="CB144" s="1767">
        <v>0</v>
      </c>
      <c r="CC144" s="1767">
        <v>0</v>
      </c>
      <c r="CD144" s="1767">
        <v>0</v>
      </c>
      <c r="CE144" s="1767">
        <v>0</v>
      </c>
      <c r="CF144" s="1767">
        <v>0</v>
      </c>
      <c r="CG144" s="1767">
        <v>0</v>
      </c>
      <c r="CH144" s="1767">
        <v>0</v>
      </c>
      <c r="CI144" s="1767">
        <v>0</v>
      </c>
      <c r="CJ144" s="1767">
        <v>0</v>
      </c>
      <c r="CK144" s="1767">
        <v>0</v>
      </c>
      <c r="CL144" s="1767">
        <v>0</v>
      </c>
      <c r="CM144" s="1767">
        <v>0</v>
      </c>
      <c r="CN144" s="1767">
        <v>0</v>
      </c>
      <c r="CO144" s="1767">
        <v>0</v>
      </c>
      <c r="CP144" s="1767">
        <v>0</v>
      </c>
    </row>
    <row r="145" spans="1:94" ht="15" customHeight="1" x14ac:dyDescent="0.2">
      <c r="A145" s="1847"/>
      <c r="B145" s="1834"/>
      <c r="C145" s="663" t="s">
        <v>448</v>
      </c>
      <c r="D145" s="936"/>
      <c r="E145" s="1834"/>
      <c r="F145" s="1225"/>
      <c r="G145" s="1767">
        <v>0</v>
      </c>
      <c r="H145" s="1767">
        <v>0</v>
      </c>
      <c r="I145" s="1767">
        <v>0</v>
      </c>
      <c r="J145" s="1767">
        <v>0</v>
      </c>
      <c r="K145" s="1767">
        <v>0</v>
      </c>
      <c r="L145" s="1767">
        <v>0</v>
      </c>
      <c r="M145" s="1767">
        <v>0</v>
      </c>
      <c r="N145" s="1767">
        <v>0</v>
      </c>
      <c r="O145" s="1767">
        <v>0</v>
      </c>
      <c r="P145" s="1767">
        <v>0</v>
      </c>
      <c r="Q145" s="1767">
        <v>0</v>
      </c>
      <c r="R145" s="1767">
        <v>0</v>
      </c>
      <c r="S145" s="1767">
        <v>0</v>
      </c>
      <c r="T145" s="1767">
        <v>0</v>
      </c>
      <c r="U145" s="1767">
        <v>0</v>
      </c>
      <c r="V145" s="1767">
        <v>0</v>
      </c>
      <c r="W145" s="1767">
        <v>0</v>
      </c>
      <c r="X145" s="1767">
        <v>0</v>
      </c>
      <c r="Y145" s="1767">
        <v>0</v>
      </c>
      <c r="Z145" s="1767">
        <v>0</v>
      </c>
      <c r="AA145" s="1767">
        <v>0</v>
      </c>
      <c r="AB145" s="1767">
        <v>0</v>
      </c>
      <c r="AC145" s="1767">
        <v>0</v>
      </c>
      <c r="AD145" s="1767">
        <v>0</v>
      </c>
      <c r="AE145" s="1767">
        <v>0</v>
      </c>
      <c r="AF145" s="1767">
        <v>0</v>
      </c>
      <c r="AG145" s="1767">
        <v>0</v>
      </c>
      <c r="AH145" s="1767">
        <v>0</v>
      </c>
      <c r="AI145" s="1767">
        <v>0</v>
      </c>
      <c r="AJ145" s="1767">
        <v>0</v>
      </c>
      <c r="AK145" s="1767">
        <v>0</v>
      </c>
      <c r="AL145" s="1767">
        <v>0</v>
      </c>
      <c r="AM145" s="1767">
        <v>0</v>
      </c>
      <c r="AN145" s="1767">
        <v>0</v>
      </c>
      <c r="AO145" s="1767">
        <v>0</v>
      </c>
      <c r="AP145" s="1767">
        <v>0</v>
      </c>
      <c r="AQ145" s="1767">
        <v>0</v>
      </c>
      <c r="AR145" s="1767">
        <v>0</v>
      </c>
      <c r="AS145" s="1767">
        <v>0</v>
      </c>
      <c r="AT145" s="1767">
        <v>0</v>
      </c>
      <c r="AU145" s="1767">
        <v>0</v>
      </c>
      <c r="AV145" s="1767">
        <v>0</v>
      </c>
      <c r="AW145" s="1767">
        <v>0</v>
      </c>
      <c r="AX145" s="1767">
        <v>0</v>
      </c>
      <c r="AY145" s="1767">
        <v>0</v>
      </c>
      <c r="AZ145" s="1767">
        <v>0</v>
      </c>
      <c r="BA145" s="1767">
        <v>0</v>
      </c>
      <c r="BB145" s="1767">
        <v>0</v>
      </c>
      <c r="BC145" s="1767">
        <v>0</v>
      </c>
      <c r="BD145" s="1767">
        <v>0</v>
      </c>
      <c r="BE145" s="1767">
        <v>0</v>
      </c>
      <c r="BF145" s="1767">
        <v>0</v>
      </c>
      <c r="BG145" s="1767">
        <v>0</v>
      </c>
      <c r="BH145" s="1767">
        <v>0</v>
      </c>
      <c r="BI145" s="1767">
        <v>0</v>
      </c>
      <c r="BJ145" s="1767">
        <v>0</v>
      </c>
      <c r="BK145" s="1767">
        <v>0</v>
      </c>
      <c r="BL145" s="1767">
        <v>0</v>
      </c>
      <c r="BM145" s="1767">
        <v>0</v>
      </c>
      <c r="BN145" s="1767">
        <v>0</v>
      </c>
      <c r="BO145" s="1767">
        <v>0</v>
      </c>
      <c r="BP145" s="1767">
        <v>0</v>
      </c>
      <c r="BQ145" s="1767">
        <v>0</v>
      </c>
      <c r="BR145" s="1767">
        <v>0</v>
      </c>
      <c r="BS145" s="1767">
        <v>0</v>
      </c>
      <c r="BT145" s="1767">
        <v>0</v>
      </c>
      <c r="BU145" s="1767">
        <v>0</v>
      </c>
      <c r="BV145" s="1767">
        <v>0</v>
      </c>
      <c r="BW145" s="1767">
        <v>0</v>
      </c>
      <c r="BX145" s="1767">
        <v>0</v>
      </c>
      <c r="BY145" s="1767">
        <v>0</v>
      </c>
      <c r="BZ145" s="1767">
        <v>0</v>
      </c>
      <c r="CA145" s="1767">
        <v>0</v>
      </c>
      <c r="CB145" s="1767">
        <v>0</v>
      </c>
      <c r="CC145" s="1767">
        <v>0</v>
      </c>
      <c r="CD145" s="1767">
        <v>0</v>
      </c>
      <c r="CE145" s="1767">
        <v>0</v>
      </c>
      <c r="CF145" s="1767">
        <v>0</v>
      </c>
      <c r="CG145" s="1767">
        <v>0</v>
      </c>
      <c r="CH145" s="1767">
        <v>0</v>
      </c>
      <c r="CI145" s="1767">
        <v>0</v>
      </c>
      <c r="CJ145" s="1767">
        <v>0</v>
      </c>
      <c r="CK145" s="1767">
        <v>0</v>
      </c>
      <c r="CL145" s="1767">
        <v>0</v>
      </c>
      <c r="CM145" s="1767">
        <v>0</v>
      </c>
      <c r="CN145" s="1767">
        <v>0</v>
      </c>
      <c r="CO145" s="1767">
        <v>0</v>
      </c>
      <c r="CP145" s="1767">
        <v>0</v>
      </c>
    </row>
    <row r="146" spans="1:94" ht="15" customHeight="1" x14ac:dyDescent="0.2">
      <c r="A146" s="1847"/>
      <c r="B146" s="1834"/>
      <c r="C146" s="663" t="s">
        <v>449</v>
      </c>
      <c r="D146" s="936"/>
      <c r="E146" s="1834"/>
      <c r="F146" s="1225"/>
      <c r="G146" s="1767">
        <v>0</v>
      </c>
      <c r="H146" s="1767">
        <v>0</v>
      </c>
      <c r="I146" s="1767">
        <v>0</v>
      </c>
      <c r="J146" s="1767">
        <v>0</v>
      </c>
      <c r="K146" s="1767">
        <v>0</v>
      </c>
      <c r="L146" s="1767">
        <v>0</v>
      </c>
      <c r="M146" s="1767">
        <v>0</v>
      </c>
      <c r="N146" s="1767">
        <v>0</v>
      </c>
      <c r="O146" s="1767">
        <v>0</v>
      </c>
      <c r="P146" s="1767">
        <v>0</v>
      </c>
      <c r="Q146" s="1767">
        <v>0</v>
      </c>
      <c r="R146" s="1767">
        <v>0</v>
      </c>
      <c r="S146" s="1767">
        <v>0</v>
      </c>
      <c r="T146" s="1767">
        <v>0</v>
      </c>
      <c r="U146" s="1767">
        <v>0</v>
      </c>
      <c r="V146" s="1767">
        <v>0</v>
      </c>
      <c r="W146" s="1767">
        <v>0</v>
      </c>
      <c r="X146" s="1767">
        <v>0</v>
      </c>
      <c r="Y146" s="1767">
        <v>0</v>
      </c>
      <c r="Z146" s="1767">
        <v>0</v>
      </c>
      <c r="AA146" s="1767">
        <v>0</v>
      </c>
      <c r="AB146" s="1767">
        <v>0</v>
      </c>
      <c r="AC146" s="1767">
        <v>0</v>
      </c>
      <c r="AD146" s="1767">
        <v>0</v>
      </c>
      <c r="AE146" s="1767">
        <v>0</v>
      </c>
      <c r="AF146" s="1767">
        <v>0</v>
      </c>
      <c r="AG146" s="1767">
        <v>0</v>
      </c>
      <c r="AH146" s="1767">
        <v>0</v>
      </c>
      <c r="AI146" s="1767">
        <v>0</v>
      </c>
      <c r="AJ146" s="1767">
        <v>0</v>
      </c>
      <c r="AK146" s="1767">
        <v>0</v>
      </c>
      <c r="AL146" s="1767">
        <v>0</v>
      </c>
      <c r="AM146" s="1767">
        <v>0</v>
      </c>
      <c r="AN146" s="1767">
        <v>0</v>
      </c>
      <c r="AO146" s="1767">
        <v>0</v>
      </c>
      <c r="AP146" s="1767">
        <v>0</v>
      </c>
      <c r="AQ146" s="1767">
        <v>0</v>
      </c>
      <c r="AR146" s="1767">
        <v>0</v>
      </c>
      <c r="AS146" s="1767">
        <v>0</v>
      </c>
      <c r="AT146" s="1767">
        <v>0</v>
      </c>
      <c r="AU146" s="1767">
        <v>0</v>
      </c>
      <c r="AV146" s="1767">
        <v>0</v>
      </c>
      <c r="AW146" s="1767">
        <v>0</v>
      </c>
      <c r="AX146" s="1767">
        <v>0</v>
      </c>
      <c r="AY146" s="1767">
        <v>0</v>
      </c>
      <c r="AZ146" s="1767">
        <v>0</v>
      </c>
      <c r="BA146" s="1767">
        <v>0</v>
      </c>
      <c r="BB146" s="1767">
        <v>0</v>
      </c>
      <c r="BC146" s="1767">
        <v>0</v>
      </c>
      <c r="BD146" s="1767">
        <v>0</v>
      </c>
      <c r="BE146" s="1767">
        <v>0</v>
      </c>
      <c r="BF146" s="1767">
        <v>0</v>
      </c>
      <c r="BG146" s="1767">
        <v>0</v>
      </c>
      <c r="BH146" s="1767">
        <v>0</v>
      </c>
      <c r="BI146" s="1767">
        <v>0</v>
      </c>
      <c r="BJ146" s="1767">
        <v>0</v>
      </c>
      <c r="BK146" s="1767">
        <v>0</v>
      </c>
      <c r="BL146" s="1767">
        <v>0</v>
      </c>
      <c r="BM146" s="1767">
        <v>0</v>
      </c>
      <c r="BN146" s="1767">
        <v>0</v>
      </c>
      <c r="BO146" s="1767">
        <v>0</v>
      </c>
      <c r="BP146" s="1767">
        <v>0</v>
      </c>
      <c r="BQ146" s="1767">
        <v>0</v>
      </c>
      <c r="BR146" s="1767">
        <v>0</v>
      </c>
      <c r="BS146" s="1767">
        <v>0</v>
      </c>
      <c r="BT146" s="1767">
        <v>0</v>
      </c>
      <c r="BU146" s="1767">
        <v>0</v>
      </c>
      <c r="BV146" s="1767">
        <v>0</v>
      </c>
      <c r="BW146" s="1767">
        <v>0</v>
      </c>
      <c r="BX146" s="1767">
        <v>0</v>
      </c>
      <c r="BY146" s="1767">
        <v>0</v>
      </c>
      <c r="BZ146" s="1767">
        <v>0</v>
      </c>
      <c r="CA146" s="1767">
        <v>0</v>
      </c>
      <c r="CB146" s="1767">
        <v>0</v>
      </c>
      <c r="CC146" s="1767">
        <v>0</v>
      </c>
      <c r="CD146" s="1767">
        <v>0</v>
      </c>
      <c r="CE146" s="1767">
        <v>0</v>
      </c>
      <c r="CF146" s="1767">
        <v>0</v>
      </c>
      <c r="CG146" s="1767">
        <v>0</v>
      </c>
      <c r="CH146" s="1767">
        <v>0</v>
      </c>
      <c r="CI146" s="1767">
        <v>0</v>
      </c>
      <c r="CJ146" s="1767">
        <v>0</v>
      </c>
      <c r="CK146" s="1767">
        <v>0</v>
      </c>
      <c r="CL146" s="1767">
        <v>0</v>
      </c>
      <c r="CM146" s="1767">
        <v>0</v>
      </c>
      <c r="CN146" s="1767">
        <v>0</v>
      </c>
      <c r="CO146" s="1767">
        <v>0</v>
      </c>
      <c r="CP146" s="1767">
        <v>0</v>
      </c>
    </row>
    <row r="147" spans="1:94" ht="15" customHeight="1" thickBot="1" x14ac:dyDescent="0.25">
      <c r="A147" s="1847"/>
      <c r="B147" s="1834"/>
      <c r="C147" s="649" t="s">
        <v>450</v>
      </c>
      <c r="D147" s="949"/>
      <c r="E147" s="1834"/>
      <c r="F147" s="1225"/>
      <c r="G147" s="1767">
        <v>0</v>
      </c>
      <c r="H147" s="1767">
        <v>0</v>
      </c>
      <c r="I147" s="1767">
        <v>0</v>
      </c>
      <c r="J147" s="1767">
        <v>0</v>
      </c>
      <c r="K147" s="1767">
        <v>0</v>
      </c>
      <c r="L147" s="1767">
        <v>0</v>
      </c>
      <c r="M147" s="1767">
        <v>0</v>
      </c>
      <c r="N147" s="1767">
        <v>0</v>
      </c>
      <c r="O147" s="1767">
        <v>0</v>
      </c>
      <c r="P147" s="1767">
        <v>0</v>
      </c>
      <c r="Q147" s="1767">
        <v>0</v>
      </c>
      <c r="R147" s="1767">
        <v>0</v>
      </c>
      <c r="S147" s="1767">
        <v>0</v>
      </c>
      <c r="T147" s="1767">
        <v>0</v>
      </c>
      <c r="U147" s="1767">
        <v>0</v>
      </c>
      <c r="V147" s="1767">
        <v>0</v>
      </c>
      <c r="W147" s="1767">
        <v>0</v>
      </c>
      <c r="X147" s="1767">
        <v>0</v>
      </c>
      <c r="Y147" s="1767">
        <v>0</v>
      </c>
      <c r="Z147" s="1767">
        <v>0</v>
      </c>
      <c r="AA147" s="1767">
        <v>0</v>
      </c>
      <c r="AB147" s="1767">
        <v>0</v>
      </c>
      <c r="AC147" s="1767">
        <v>0</v>
      </c>
      <c r="AD147" s="1767">
        <v>0</v>
      </c>
      <c r="AE147" s="1767">
        <v>0</v>
      </c>
      <c r="AF147" s="1767">
        <v>0</v>
      </c>
      <c r="AG147" s="1767">
        <v>0</v>
      </c>
      <c r="AH147" s="1767">
        <v>0</v>
      </c>
      <c r="AI147" s="1767">
        <v>0</v>
      </c>
      <c r="AJ147" s="1767">
        <v>0</v>
      </c>
      <c r="AK147" s="1767">
        <v>0</v>
      </c>
      <c r="AL147" s="1767">
        <v>0</v>
      </c>
      <c r="AM147" s="1767">
        <v>0</v>
      </c>
      <c r="AN147" s="1767">
        <v>0</v>
      </c>
      <c r="AO147" s="1767">
        <v>0</v>
      </c>
      <c r="AP147" s="1767">
        <v>0</v>
      </c>
      <c r="AQ147" s="1767">
        <v>0</v>
      </c>
      <c r="AR147" s="1767">
        <v>0</v>
      </c>
      <c r="AS147" s="1767">
        <v>0</v>
      </c>
      <c r="AT147" s="1767">
        <v>0</v>
      </c>
      <c r="AU147" s="1767">
        <v>0</v>
      </c>
      <c r="AV147" s="1767">
        <v>0</v>
      </c>
      <c r="AW147" s="1767">
        <v>0</v>
      </c>
      <c r="AX147" s="1767">
        <v>0</v>
      </c>
      <c r="AY147" s="1767">
        <v>0</v>
      </c>
      <c r="AZ147" s="1767">
        <v>0</v>
      </c>
      <c r="BA147" s="1767">
        <v>0</v>
      </c>
      <c r="BB147" s="1767">
        <v>0</v>
      </c>
      <c r="BC147" s="1767">
        <v>0</v>
      </c>
      <c r="BD147" s="1767">
        <v>0</v>
      </c>
      <c r="BE147" s="1767">
        <v>0</v>
      </c>
      <c r="BF147" s="1767">
        <v>0</v>
      </c>
      <c r="BG147" s="1767">
        <v>0</v>
      </c>
      <c r="BH147" s="1767">
        <v>0</v>
      </c>
      <c r="BI147" s="1767">
        <v>0</v>
      </c>
      <c r="BJ147" s="1767">
        <v>0</v>
      </c>
      <c r="BK147" s="1767">
        <v>0</v>
      </c>
      <c r="BL147" s="1767">
        <v>0</v>
      </c>
      <c r="BM147" s="1767">
        <v>0</v>
      </c>
      <c r="BN147" s="1767">
        <v>0</v>
      </c>
      <c r="BO147" s="1767">
        <v>0</v>
      </c>
      <c r="BP147" s="1767">
        <v>0</v>
      </c>
      <c r="BQ147" s="1767">
        <v>0</v>
      </c>
      <c r="BR147" s="1767">
        <v>0</v>
      </c>
      <c r="BS147" s="1767">
        <v>0</v>
      </c>
      <c r="BT147" s="1767">
        <v>0</v>
      </c>
      <c r="BU147" s="1767">
        <v>0</v>
      </c>
      <c r="BV147" s="1767">
        <v>0</v>
      </c>
      <c r="BW147" s="1767">
        <v>0</v>
      </c>
      <c r="BX147" s="1767">
        <v>0</v>
      </c>
      <c r="BY147" s="1767">
        <v>0</v>
      </c>
      <c r="BZ147" s="1767">
        <v>0</v>
      </c>
      <c r="CA147" s="1767">
        <v>0</v>
      </c>
      <c r="CB147" s="1767">
        <v>0</v>
      </c>
      <c r="CC147" s="1767">
        <v>0</v>
      </c>
      <c r="CD147" s="1767">
        <v>0</v>
      </c>
      <c r="CE147" s="1767">
        <v>0</v>
      </c>
      <c r="CF147" s="1767">
        <v>0</v>
      </c>
      <c r="CG147" s="1767">
        <v>0</v>
      </c>
      <c r="CH147" s="1767">
        <v>0</v>
      </c>
      <c r="CI147" s="1767">
        <v>0</v>
      </c>
      <c r="CJ147" s="1767">
        <v>0</v>
      </c>
      <c r="CK147" s="1767">
        <v>0</v>
      </c>
      <c r="CL147" s="1767">
        <v>0</v>
      </c>
      <c r="CM147" s="1767">
        <v>0</v>
      </c>
      <c r="CN147" s="1767">
        <v>0</v>
      </c>
      <c r="CO147" s="1767">
        <v>0</v>
      </c>
      <c r="CP147" s="1767">
        <v>0</v>
      </c>
    </row>
    <row r="148" spans="1:94" ht="21" customHeight="1" thickBot="1" x14ac:dyDescent="0.25">
      <c r="A148" s="1849" t="s">
        <v>1303</v>
      </c>
      <c r="B148" s="1833" t="s">
        <v>454</v>
      </c>
      <c r="C148" s="1779" t="s">
        <v>2522</v>
      </c>
      <c r="D148" s="947"/>
      <c r="E148" s="1833" t="s">
        <v>1817</v>
      </c>
      <c r="F148" s="1225"/>
      <c r="G148" s="1742"/>
      <c r="H148" s="1742"/>
      <c r="I148" s="1742"/>
      <c r="J148" s="1742"/>
      <c r="K148" s="1742"/>
      <c r="L148" s="1742"/>
      <c r="M148" s="1742"/>
      <c r="N148" s="1742"/>
      <c r="O148" s="1742"/>
      <c r="P148" s="1742"/>
      <c r="Q148" s="1742"/>
      <c r="R148" s="1742"/>
      <c r="S148" s="1742"/>
      <c r="T148" s="1742"/>
      <c r="U148" s="1742"/>
      <c r="V148" s="1742"/>
      <c r="W148" s="1742"/>
      <c r="X148" s="1742"/>
      <c r="Y148" s="1742"/>
      <c r="Z148" s="1742"/>
      <c r="AA148" s="1742"/>
      <c r="AB148" s="1742"/>
      <c r="AC148" s="1742"/>
      <c r="AD148" s="1742"/>
      <c r="AE148" s="1742"/>
      <c r="AF148" s="1742"/>
      <c r="AG148" s="1742"/>
      <c r="AH148" s="1742"/>
      <c r="AI148" s="1742"/>
      <c r="AJ148" s="1742"/>
      <c r="AK148" s="1742"/>
      <c r="AL148" s="1742"/>
      <c r="AM148" s="1742"/>
      <c r="AN148" s="1742"/>
      <c r="AO148" s="1742"/>
      <c r="AP148" s="1742"/>
      <c r="AQ148" s="1742"/>
      <c r="AR148" s="1742"/>
      <c r="AS148" s="1742"/>
      <c r="AT148" s="1742"/>
      <c r="AU148" s="1742"/>
      <c r="AV148" s="1742"/>
      <c r="AW148" s="1742"/>
      <c r="AX148" s="1742"/>
      <c r="AY148" s="1742"/>
      <c r="AZ148" s="1742"/>
      <c r="BA148" s="1742"/>
      <c r="BB148" s="1742"/>
      <c r="BC148" s="1742"/>
      <c r="BD148" s="1742"/>
      <c r="BE148" s="1742"/>
      <c r="BF148" s="1742"/>
      <c r="BG148" s="1742"/>
      <c r="BH148" s="1742"/>
      <c r="BI148" s="1742"/>
      <c r="BJ148" s="1742"/>
      <c r="BK148" s="1742"/>
      <c r="BL148" s="1742"/>
      <c r="BM148" s="1742"/>
      <c r="BN148" s="1742"/>
      <c r="BO148" s="1742"/>
      <c r="BP148" s="1742"/>
      <c r="BQ148" s="1742"/>
      <c r="BR148" s="1742"/>
      <c r="BS148" s="1742"/>
      <c r="BT148" s="1742"/>
      <c r="BU148" s="1742"/>
      <c r="BV148" s="1742"/>
      <c r="BW148" s="1742"/>
      <c r="BX148" s="1742"/>
      <c r="BY148" s="1742"/>
      <c r="BZ148" s="1742"/>
      <c r="CA148" s="1742"/>
      <c r="CB148" s="1742"/>
      <c r="CC148" s="1742"/>
      <c r="CD148" s="1742"/>
      <c r="CE148" s="1742"/>
      <c r="CF148" s="1742"/>
      <c r="CG148" s="1742"/>
      <c r="CH148" s="1742"/>
      <c r="CI148" s="1742"/>
      <c r="CJ148" s="1742"/>
      <c r="CK148" s="1742"/>
      <c r="CL148" s="1742"/>
      <c r="CM148" s="1742"/>
      <c r="CN148" s="1742"/>
      <c r="CO148" s="1742"/>
      <c r="CP148" s="1742"/>
    </row>
    <row r="149" spans="1:94" ht="15" customHeight="1" x14ac:dyDescent="0.2">
      <c r="A149" s="1847"/>
      <c r="B149" s="1834"/>
      <c r="C149" s="649" t="s">
        <v>1695</v>
      </c>
      <c r="D149" s="936"/>
      <c r="E149" s="1834"/>
      <c r="F149" s="1225"/>
      <c r="G149" s="1767">
        <v>0</v>
      </c>
      <c r="H149" s="1767">
        <v>0</v>
      </c>
      <c r="I149" s="1767">
        <v>0</v>
      </c>
      <c r="J149" s="1767">
        <v>0</v>
      </c>
      <c r="K149" s="1767">
        <v>0</v>
      </c>
      <c r="L149" s="1767">
        <v>0</v>
      </c>
      <c r="M149" s="1767">
        <v>0</v>
      </c>
      <c r="N149" s="1767">
        <v>0</v>
      </c>
      <c r="O149" s="1767">
        <v>0</v>
      </c>
      <c r="P149" s="1767">
        <v>0</v>
      </c>
      <c r="Q149" s="1767">
        <v>0</v>
      </c>
      <c r="R149" s="1767">
        <v>0</v>
      </c>
      <c r="S149" s="1767">
        <v>0</v>
      </c>
      <c r="T149" s="1767">
        <v>0</v>
      </c>
      <c r="U149" s="1767">
        <v>0</v>
      </c>
      <c r="V149" s="1767">
        <v>0</v>
      </c>
      <c r="W149" s="1767">
        <v>0</v>
      </c>
      <c r="X149" s="1767">
        <v>0</v>
      </c>
      <c r="Y149" s="1767">
        <v>0</v>
      </c>
      <c r="Z149" s="1767">
        <v>0</v>
      </c>
      <c r="AA149" s="1767">
        <v>0</v>
      </c>
      <c r="AB149" s="1767">
        <v>0</v>
      </c>
      <c r="AC149" s="1767">
        <v>0</v>
      </c>
      <c r="AD149" s="1767">
        <v>0</v>
      </c>
      <c r="AE149" s="1767">
        <v>0</v>
      </c>
      <c r="AF149" s="1767">
        <v>0</v>
      </c>
      <c r="AG149" s="1767">
        <v>0</v>
      </c>
      <c r="AH149" s="1767">
        <v>0</v>
      </c>
      <c r="AI149" s="1767">
        <v>0</v>
      </c>
      <c r="AJ149" s="1767">
        <v>0</v>
      </c>
      <c r="AK149" s="1767">
        <v>0</v>
      </c>
      <c r="AL149" s="1767">
        <v>0</v>
      </c>
      <c r="AM149" s="1767">
        <v>0</v>
      </c>
      <c r="AN149" s="1767">
        <v>0</v>
      </c>
      <c r="AO149" s="1767">
        <v>0</v>
      </c>
      <c r="AP149" s="1767">
        <v>0</v>
      </c>
      <c r="AQ149" s="1767">
        <v>0</v>
      </c>
      <c r="AR149" s="1767">
        <v>0</v>
      </c>
      <c r="AS149" s="1767">
        <v>0</v>
      </c>
      <c r="AT149" s="1767">
        <v>0</v>
      </c>
      <c r="AU149" s="1767">
        <v>0</v>
      </c>
      <c r="AV149" s="1767">
        <v>0</v>
      </c>
      <c r="AW149" s="1767">
        <v>0</v>
      </c>
      <c r="AX149" s="1767">
        <v>0</v>
      </c>
      <c r="AY149" s="1767">
        <v>0</v>
      </c>
      <c r="AZ149" s="1767">
        <v>0</v>
      </c>
      <c r="BA149" s="1767">
        <v>0</v>
      </c>
      <c r="BB149" s="1767">
        <v>0</v>
      </c>
      <c r="BC149" s="1767">
        <v>0</v>
      </c>
      <c r="BD149" s="1767">
        <v>0</v>
      </c>
      <c r="BE149" s="1767">
        <v>0</v>
      </c>
      <c r="BF149" s="1767">
        <v>0</v>
      </c>
      <c r="BG149" s="1767">
        <v>0</v>
      </c>
      <c r="BH149" s="1767">
        <v>0</v>
      </c>
      <c r="BI149" s="1767">
        <v>0</v>
      </c>
      <c r="BJ149" s="1767">
        <v>0</v>
      </c>
      <c r="BK149" s="1767">
        <v>0</v>
      </c>
      <c r="BL149" s="1767">
        <v>0</v>
      </c>
      <c r="BM149" s="1767">
        <v>0</v>
      </c>
      <c r="BN149" s="1767">
        <v>0</v>
      </c>
      <c r="BO149" s="1767">
        <v>0</v>
      </c>
      <c r="BP149" s="1767">
        <v>0</v>
      </c>
      <c r="BQ149" s="1767">
        <v>0</v>
      </c>
      <c r="BR149" s="1767">
        <v>0</v>
      </c>
      <c r="BS149" s="1767">
        <v>0</v>
      </c>
      <c r="BT149" s="1767">
        <v>0</v>
      </c>
      <c r="BU149" s="1767">
        <v>0</v>
      </c>
      <c r="BV149" s="1767">
        <v>0</v>
      </c>
      <c r="BW149" s="1767">
        <v>0</v>
      </c>
      <c r="BX149" s="1767">
        <v>0</v>
      </c>
      <c r="BY149" s="1767">
        <v>0</v>
      </c>
      <c r="BZ149" s="1767">
        <v>0</v>
      </c>
      <c r="CA149" s="1767">
        <v>0</v>
      </c>
      <c r="CB149" s="1767">
        <v>0</v>
      </c>
      <c r="CC149" s="1767">
        <v>0</v>
      </c>
      <c r="CD149" s="1767">
        <v>0</v>
      </c>
      <c r="CE149" s="1767">
        <v>0</v>
      </c>
      <c r="CF149" s="1767">
        <v>0</v>
      </c>
      <c r="CG149" s="1767">
        <v>0</v>
      </c>
      <c r="CH149" s="1767">
        <v>0</v>
      </c>
      <c r="CI149" s="1767">
        <v>0</v>
      </c>
      <c r="CJ149" s="1767">
        <v>0</v>
      </c>
      <c r="CK149" s="1767">
        <v>0</v>
      </c>
      <c r="CL149" s="1767">
        <v>0</v>
      </c>
      <c r="CM149" s="1767">
        <v>0</v>
      </c>
      <c r="CN149" s="1767">
        <v>0</v>
      </c>
      <c r="CO149" s="1767">
        <v>0</v>
      </c>
      <c r="CP149" s="1767">
        <v>0</v>
      </c>
    </row>
    <row r="150" spans="1:94" ht="15" customHeight="1" x14ac:dyDescent="0.2">
      <c r="A150" s="1847"/>
      <c r="B150" s="1834"/>
      <c r="C150" s="663" t="s">
        <v>567</v>
      </c>
      <c r="D150" s="936"/>
      <c r="E150" s="1834"/>
      <c r="F150" s="1225"/>
      <c r="G150" s="1767">
        <v>0</v>
      </c>
      <c r="H150" s="1767">
        <v>0</v>
      </c>
      <c r="I150" s="1767">
        <v>0</v>
      </c>
      <c r="J150" s="1767">
        <v>0</v>
      </c>
      <c r="K150" s="1767">
        <v>0</v>
      </c>
      <c r="L150" s="1767">
        <v>0</v>
      </c>
      <c r="M150" s="1767">
        <v>0</v>
      </c>
      <c r="N150" s="1767">
        <v>0</v>
      </c>
      <c r="O150" s="1767">
        <v>0</v>
      </c>
      <c r="P150" s="1767">
        <v>0</v>
      </c>
      <c r="Q150" s="1767">
        <v>0</v>
      </c>
      <c r="R150" s="1767">
        <v>0</v>
      </c>
      <c r="S150" s="1767">
        <v>0</v>
      </c>
      <c r="T150" s="1767">
        <v>0</v>
      </c>
      <c r="U150" s="1767">
        <v>0</v>
      </c>
      <c r="V150" s="1767">
        <v>0</v>
      </c>
      <c r="W150" s="1767">
        <v>0</v>
      </c>
      <c r="X150" s="1767">
        <v>0</v>
      </c>
      <c r="Y150" s="1767">
        <v>0</v>
      </c>
      <c r="Z150" s="1767">
        <v>0</v>
      </c>
      <c r="AA150" s="1767">
        <v>0</v>
      </c>
      <c r="AB150" s="1767">
        <v>0</v>
      </c>
      <c r="AC150" s="1767">
        <v>0</v>
      </c>
      <c r="AD150" s="1767">
        <v>0</v>
      </c>
      <c r="AE150" s="1767">
        <v>0</v>
      </c>
      <c r="AF150" s="1767">
        <v>0</v>
      </c>
      <c r="AG150" s="1767">
        <v>0</v>
      </c>
      <c r="AH150" s="1767">
        <v>0</v>
      </c>
      <c r="AI150" s="1767">
        <v>0</v>
      </c>
      <c r="AJ150" s="1767">
        <v>0</v>
      </c>
      <c r="AK150" s="1767">
        <v>0</v>
      </c>
      <c r="AL150" s="1767">
        <v>0</v>
      </c>
      <c r="AM150" s="1767">
        <v>0</v>
      </c>
      <c r="AN150" s="1767">
        <v>0</v>
      </c>
      <c r="AO150" s="1767">
        <v>0</v>
      </c>
      <c r="AP150" s="1767">
        <v>0</v>
      </c>
      <c r="AQ150" s="1767">
        <v>0</v>
      </c>
      <c r="AR150" s="1767">
        <v>0</v>
      </c>
      <c r="AS150" s="1767">
        <v>0</v>
      </c>
      <c r="AT150" s="1767">
        <v>0</v>
      </c>
      <c r="AU150" s="1767">
        <v>0</v>
      </c>
      <c r="AV150" s="1767">
        <v>0</v>
      </c>
      <c r="AW150" s="1767">
        <v>0</v>
      </c>
      <c r="AX150" s="1767">
        <v>0</v>
      </c>
      <c r="AY150" s="1767">
        <v>0</v>
      </c>
      <c r="AZ150" s="1767">
        <v>0</v>
      </c>
      <c r="BA150" s="1767">
        <v>0</v>
      </c>
      <c r="BB150" s="1767">
        <v>0</v>
      </c>
      <c r="BC150" s="1767">
        <v>0</v>
      </c>
      <c r="BD150" s="1767">
        <v>0</v>
      </c>
      <c r="BE150" s="1767">
        <v>0</v>
      </c>
      <c r="BF150" s="1767">
        <v>0</v>
      </c>
      <c r="BG150" s="1767">
        <v>0</v>
      </c>
      <c r="BH150" s="1767">
        <v>0</v>
      </c>
      <c r="BI150" s="1767">
        <v>0</v>
      </c>
      <c r="BJ150" s="1767">
        <v>0</v>
      </c>
      <c r="BK150" s="1767">
        <v>0</v>
      </c>
      <c r="BL150" s="1767">
        <v>0</v>
      </c>
      <c r="BM150" s="1767">
        <v>0</v>
      </c>
      <c r="BN150" s="1767">
        <v>0</v>
      </c>
      <c r="BO150" s="1767">
        <v>0</v>
      </c>
      <c r="BP150" s="1767">
        <v>0</v>
      </c>
      <c r="BQ150" s="1767">
        <v>0</v>
      </c>
      <c r="BR150" s="1767">
        <v>0</v>
      </c>
      <c r="BS150" s="1767">
        <v>0</v>
      </c>
      <c r="BT150" s="1767">
        <v>0</v>
      </c>
      <c r="BU150" s="1767">
        <v>0</v>
      </c>
      <c r="BV150" s="1767">
        <v>0</v>
      </c>
      <c r="BW150" s="1767">
        <v>0</v>
      </c>
      <c r="BX150" s="1767">
        <v>0</v>
      </c>
      <c r="BY150" s="1767">
        <v>0</v>
      </c>
      <c r="BZ150" s="1767">
        <v>0</v>
      </c>
      <c r="CA150" s="1767">
        <v>0</v>
      </c>
      <c r="CB150" s="1767">
        <v>0</v>
      </c>
      <c r="CC150" s="1767">
        <v>0</v>
      </c>
      <c r="CD150" s="1767">
        <v>0</v>
      </c>
      <c r="CE150" s="1767">
        <v>0</v>
      </c>
      <c r="CF150" s="1767">
        <v>0</v>
      </c>
      <c r="CG150" s="1767">
        <v>0</v>
      </c>
      <c r="CH150" s="1767">
        <v>0</v>
      </c>
      <c r="CI150" s="1767">
        <v>0</v>
      </c>
      <c r="CJ150" s="1767">
        <v>0</v>
      </c>
      <c r="CK150" s="1767">
        <v>0</v>
      </c>
      <c r="CL150" s="1767">
        <v>0</v>
      </c>
      <c r="CM150" s="1767">
        <v>0</v>
      </c>
      <c r="CN150" s="1767">
        <v>0</v>
      </c>
      <c r="CO150" s="1767">
        <v>0</v>
      </c>
      <c r="CP150" s="1767">
        <v>0</v>
      </c>
    </row>
    <row r="151" spans="1:94" ht="15" customHeight="1" x14ac:dyDescent="0.2">
      <c r="A151" s="1847"/>
      <c r="B151" s="1834"/>
      <c r="C151" s="663" t="s">
        <v>568</v>
      </c>
      <c r="D151" s="936"/>
      <c r="E151" s="1834"/>
      <c r="F151" s="1225"/>
      <c r="G151" s="1767">
        <v>0</v>
      </c>
      <c r="H151" s="1767">
        <v>0</v>
      </c>
      <c r="I151" s="1767">
        <v>0</v>
      </c>
      <c r="J151" s="1767">
        <v>0</v>
      </c>
      <c r="K151" s="1767">
        <v>0</v>
      </c>
      <c r="L151" s="1767">
        <v>0</v>
      </c>
      <c r="M151" s="1767">
        <v>0</v>
      </c>
      <c r="N151" s="1767">
        <v>0</v>
      </c>
      <c r="O151" s="1767">
        <v>0</v>
      </c>
      <c r="P151" s="1767">
        <v>0</v>
      </c>
      <c r="Q151" s="1767">
        <v>0</v>
      </c>
      <c r="R151" s="1767">
        <v>0</v>
      </c>
      <c r="S151" s="1767">
        <v>0</v>
      </c>
      <c r="T151" s="1767">
        <v>0</v>
      </c>
      <c r="U151" s="1767">
        <v>0</v>
      </c>
      <c r="V151" s="1767">
        <v>0</v>
      </c>
      <c r="W151" s="1767">
        <v>0</v>
      </c>
      <c r="X151" s="1767">
        <v>0</v>
      </c>
      <c r="Y151" s="1767">
        <v>0</v>
      </c>
      <c r="Z151" s="1767">
        <v>0</v>
      </c>
      <c r="AA151" s="1767">
        <v>0</v>
      </c>
      <c r="AB151" s="1767">
        <v>0</v>
      </c>
      <c r="AC151" s="1767">
        <v>0</v>
      </c>
      <c r="AD151" s="1767">
        <v>0</v>
      </c>
      <c r="AE151" s="1767">
        <v>0</v>
      </c>
      <c r="AF151" s="1767">
        <v>0</v>
      </c>
      <c r="AG151" s="1767">
        <v>0</v>
      </c>
      <c r="AH151" s="1767">
        <v>0</v>
      </c>
      <c r="AI151" s="1767">
        <v>0</v>
      </c>
      <c r="AJ151" s="1767">
        <v>0</v>
      </c>
      <c r="AK151" s="1767">
        <v>0</v>
      </c>
      <c r="AL151" s="1767">
        <v>0</v>
      </c>
      <c r="AM151" s="1767">
        <v>0</v>
      </c>
      <c r="AN151" s="1767">
        <v>0</v>
      </c>
      <c r="AO151" s="1767">
        <v>0</v>
      </c>
      <c r="AP151" s="1767">
        <v>0</v>
      </c>
      <c r="AQ151" s="1767">
        <v>0</v>
      </c>
      <c r="AR151" s="1767">
        <v>0</v>
      </c>
      <c r="AS151" s="1767">
        <v>0</v>
      </c>
      <c r="AT151" s="1767">
        <v>0</v>
      </c>
      <c r="AU151" s="1767">
        <v>0</v>
      </c>
      <c r="AV151" s="1767">
        <v>0</v>
      </c>
      <c r="AW151" s="1767">
        <v>0</v>
      </c>
      <c r="AX151" s="1767">
        <v>0</v>
      </c>
      <c r="AY151" s="1767">
        <v>0</v>
      </c>
      <c r="AZ151" s="1767">
        <v>0</v>
      </c>
      <c r="BA151" s="1767">
        <v>0</v>
      </c>
      <c r="BB151" s="1767">
        <v>0</v>
      </c>
      <c r="BC151" s="1767">
        <v>0</v>
      </c>
      <c r="BD151" s="1767">
        <v>0</v>
      </c>
      <c r="BE151" s="1767">
        <v>0</v>
      </c>
      <c r="BF151" s="1767">
        <v>0</v>
      </c>
      <c r="BG151" s="1767">
        <v>0</v>
      </c>
      <c r="BH151" s="1767">
        <v>0</v>
      </c>
      <c r="BI151" s="1767">
        <v>0</v>
      </c>
      <c r="BJ151" s="1767">
        <v>0</v>
      </c>
      <c r="BK151" s="1767">
        <v>0</v>
      </c>
      <c r="BL151" s="1767">
        <v>0</v>
      </c>
      <c r="BM151" s="1767">
        <v>0</v>
      </c>
      <c r="BN151" s="1767">
        <v>0</v>
      </c>
      <c r="BO151" s="1767">
        <v>0</v>
      </c>
      <c r="BP151" s="1767">
        <v>0</v>
      </c>
      <c r="BQ151" s="1767">
        <v>0</v>
      </c>
      <c r="BR151" s="1767">
        <v>0</v>
      </c>
      <c r="BS151" s="1767">
        <v>0</v>
      </c>
      <c r="BT151" s="1767">
        <v>0</v>
      </c>
      <c r="BU151" s="1767">
        <v>0</v>
      </c>
      <c r="BV151" s="1767">
        <v>0</v>
      </c>
      <c r="BW151" s="1767">
        <v>0</v>
      </c>
      <c r="BX151" s="1767">
        <v>0</v>
      </c>
      <c r="BY151" s="1767">
        <v>0</v>
      </c>
      <c r="BZ151" s="1767">
        <v>0</v>
      </c>
      <c r="CA151" s="1767">
        <v>0</v>
      </c>
      <c r="CB151" s="1767">
        <v>0</v>
      </c>
      <c r="CC151" s="1767">
        <v>0</v>
      </c>
      <c r="CD151" s="1767">
        <v>0</v>
      </c>
      <c r="CE151" s="1767">
        <v>0</v>
      </c>
      <c r="CF151" s="1767">
        <v>0</v>
      </c>
      <c r="CG151" s="1767">
        <v>0</v>
      </c>
      <c r="CH151" s="1767">
        <v>0</v>
      </c>
      <c r="CI151" s="1767">
        <v>0</v>
      </c>
      <c r="CJ151" s="1767">
        <v>0</v>
      </c>
      <c r="CK151" s="1767">
        <v>0</v>
      </c>
      <c r="CL151" s="1767">
        <v>0</v>
      </c>
      <c r="CM151" s="1767">
        <v>0</v>
      </c>
      <c r="CN151" s="1767">
        <v>0</v>
      </c>
      <c r="CO151" s="1767">
        <v>0</v>
      </c>
      <c r="CP151" s="1767">
        <v>0</v>
      </c>
    </row>
    <row r="152" spans="1:94" ht="15" customHeight="1" x14ac:dyDescent="0.2">
      <c r="A152" s="1847"/>
      <c r="B152" s="1834"/>
      <c r="C152" s="663" t="s">
        <v>569</v>
      </c>
      <c r="D152" s="936"/>
      <c r="E152" s="1834"/>
      <c r="F152" s="1225"/>
      <c r="G152" s="1767">
        <v>0</v>
      </c>
      <c r="H152" s="1767">
        <v>0</v>
      </c>
      <c r="I152" s="1767">
        <v>0</v>
      </c>
      <c r="J152" s="1767">
        <v>0</v>
      </c>
      <c r="K152" s="1767">
        <v>0</v>
      </c>
      <c r="L152" s="1767">
        <v>0</v>
      </c>
      <c r="M152" s="1767">
        <v>0</v>
      </c>
      <c r="N152" s="1767">
        <v>0</v>
      </c>
      <c r="O152" s="1767">
        <v>0</v>
      </c>
      <c r="P152" s="1767">
        <v>0</v>
      </c>
      <c r="Q152" s="1767">
        <v>0</v>
      </c>
      <c r="R152" s="1767">
        <v>0</v>
      </c>
      <c r="S152" s="1767">
        <v>0</v>
      </c>
      <c r="T152" s="1767">
        <v>0</v>
      </c>
      <c r="U152" s="1767">
        <v>0</v>
      </c>
      <c r="V152" s="1767">
        <v>0</v>
      </c>
      <c r="W152" s="1767">
        <v>0</v>
      </c>
      <c r="X152" s="1767">
        <v>0</v>
      </c>
      <c r="Y152" s="1767">
        <v>0</v>
      </c>
      <c r="Z152" s="1767">
        <v>0</v>
      </c>
      <c r="AA152" s="1767">
        <v>0</v>
      </c>
      <c r="AB152" s="1767">
        <v>0</v>
      </c>
      <c r="AC152" s="1767">
        <v>0</v>
      </c>
      <c r="AD152" s="1767">
        <v>0</v>
      </c>
      <c r="AE152" s="1767">
        <v>0</v>
      </c>
      <c r="AF152" s="1767">
        <v>0</v>
      </c>
      <c r="AG152" s="1767">
        <v>0</v>
      </c>
      <c r="AH152" s="1767">
        <v>0</v>
      </c>
      <c r="AI152" s="1767">
        <v>0</v>
      </c>
      <c r="AJ152" s="1767">
        <v>0</v>
      </c>
      <c r="AK152" s="1767">
        <v>0</v>
      </c>
      <c r="AL152" s="1767">
        <v>0</v>
      </c>
      <c r="AM152" s="1767">
        <v>0</v>
      </c>
      <c r="AN152" s="1767">
        <v>0</v>
      </c>
      <c r="AO152" s="1767">
        <v>0</v>
      </c>
      <c r="AP152" s="1767">
        <v>0</v>
      </c>
      <c r="AQ152" s="1767">
        <v>0</v>
      </c>
      <c r="AR152" s="1767">
        <v>0</v>
      </c>
      <c r="AS152" s="1767">
        <v>0</v>
      </c>
      <c r="AT152" s="1767">
        <v>0</v>
      </c>
      <c r="AU152" s="1767">
        <v>0</v>
      </c>
      <c r="AV152" s="1767">
        <v>0</v>
      </c>
      <c r="AW152" s="1767">
        <v>0</v>
      </c>
      <c r="AX152" s="1767">
        <v>0</v>
      </c>
      <c r="AY152" s="1767">
        <v>0</v>
      </c>
      <c r="AZ152" s="1767">
        <v>0</v>
      </c>
      <c r="BA152" s="1767">
        <v>0</v>
      </c>
      <c r="BB152" s="1767">
        <v>0</v>
      </c>
      <c r="BC152" s="1767">
        <v>0</v>
      </c>
      <c r="BD152" s="1767">
        <v>0</v>
      </c>
      <c r="BE152" s="1767">
        <v>0</v>
      </c>
      <c r="BF152" s="1767">
        <v>0</v>
      </c>
      <c r="BG152" s="1767">
        <v>0</v>
      </c>
      <c r="BH152" s="1767">
        <v>0</v>
      </c>
      <c r="BI152" s="1767">
        <v>0</v>
      </c>
      <c r="BJ152" s="1767">
        <v>0</v>
      </c>
      <c r="BK152" s="1767">
        <v>0</v>
      </c>
      <c r="BL152" s="1767">
        <v>0</v>
      </c>
      <c r="BM152" s="1767">
        <v>0</v>
      </c>
      <c r="BN152" s="1767">
        <v>0</v>
      </c>
      <c r="BO152" s="1767">
        <v>0</v>
      </c>
      <c r="BP152" s="1767">
        <v>0</v>
      </c>
      <c r="BQ152" s="1767">
        <v>0</v>
      </c>
      <c r="BR152" s="1767">
        <v>0</v>
      </c>
      <c r="BS152" s="1767">
        <v>0</v>
      </c>
      <c r="BT152" s="1767">
        <v>0</v>
      </c>
      <c r="BU152" s="1767">
        <v>0</v>
      </c>
      <c r="BV152" s="1767">
        <v>0</v>
      </c>
      <c r="BW152" s="1767">
        <v>0</v>
      </c>
      <c r="BX152" s="1767">
        <v>0</v>
      </c>
      <c r="BY152" s="1767">
        <v>0</v>
      </c>
      <c r="BZ152" s="1767">
        <v>0</v>
      </c>
      <c r="CA152" s="1767">
        <v>0</v>
      </c>
      <c r="CB152" s="1767">
        <v>0</v>
      </c>
      <c r="CC152" s="1767">
        <v>0</v>
      </c>
      <c r="CD152" s="1767">
        <v>0</v>
      </c>
      <c r="CE152" s="1767">
        <v>0</v>
      </c>
      <c r="CF152" s="1767">
        <v>0</v>
      </c>
      <c r="CG152" s="1767">
        <v>0</v>
      </c>
      <c r="CH152" s="1767">
        <v>0</v>
      </c>
      <c r="CI152" s="1767">
        <v>0</v>
      </c>
      <c r="CJ152" s="1767">
        <v>0</v>
      </c>
      <c r="CK152" s="1767">
        <v>0</v>
      </c>
      <c r="CL152" s="1767">
        <v>0</v>
      </c>
      <c r="CM152" s="1767">
        <v>0</v>
      </c>
      <c r="CN152" s="1767">
        <v>0</v>
      </c>
      <c r="CO152" s="1767">
        <v>0</v>
      </c>
      <c r="CP152" s="1767">
        <v>0</v>
      </c>
    </row>
    <row r="153" spans="1:94" ht="15" customHeight="1" thickBot="1" x14ac:dyDescent="0.25">
      <c r="A153" s="1848"/>
      <c r="B153" s="1835"/>
      <c r="C153" s="650" t="s">
        <v>570</v>
      </c>
      <c r="D153" s="950"/>
      <c r="E153" s="1835"/>
      <c r="F153" s="1225"/>
      <c r="G153" s="1767">
        <v>0</v>
      </c>
      <c r="H153" s="1767">
        <v>0</v>
      </c>
      <c r="I153" s="1767">
        <v>0</v>
      </c>
      <c r="J153" s="1767">
        <v>0</v>
      </c>
      <c r="K153" s="1767">
        <v>0</v>
      </c>
      <c r="L153" s="1767">
        <v>0</v>
      </c>
      <c r="M153" s="1767">
        <v>0</v>
      </c>
      <c r="N153" s="1767">
        <v>0</v>
      </c>
      <c r="O153" s="1767">
        <v>0</v>
      </c>
      <c r="P153" s="1767">
        <v>0</v>
      </c>
      <c r="Q153" s="1767">
        <v>0</v>
      </c>
      <c r="R153" s="1767">
        <v>0</v>
      </c>
      <c r="S153" s="1767">
        <v>0</v>
      </c>
      <c r="T153" s="1767">
        <v>0</v>
      </c>
      <c r="U153" s="1767">
        <v>0</v>
      </c>
      <c r="V153" s="1767">
        <v>0</v>
      </c>
      <c r="W153" s="1767">
        <v>0</v>
      </c>
      <c r="X153" s="1767">
        <v>0</v>
      </c>
      <c r="Y153" s="1767">
        <v>0</v>
      </c>
      <c r="Z153" s="1767">
        <v>0</v>
      </c>
      <c r="AA153" s="1767">
        <v>0</v>
      </c>
      <c r="AB153" s="1767">
        <v>0</v>
      </c>
      <c r="AC153" s="1767">
        <v>0</v>
      </c>
      <c r="AD153" s="1767">
        <v>0</v>
      </c>
      <c r="AE153" s="1767">
        <v>0</v>
      </c>
      <c r="AF153" s="1767">
        <v>0</v>
      </c>
      <c r="AG153" s="1767">
        <v>0</v>
      </c>
      <c r="AH153" s="1767">
        <v>0</v>
      </c>
      <c r="AI153" s="1767">
        <v>0</v>
      </c>
      <c r="AJ153" s="1767">
        <v>0</v>
      </c>
      <c r="AK153" s="1767">
        <v>0</v>
      </c>
      <c r="AL153" s="1767">
        <v>0</v>
      </c>
      <c r="AM153" s="1767">
        <v>0</v>
      </c>
      <c r="AN153" s="1767">
        <v>0</v>
      </c>
      <c r="AO153" s="1767">
        <v>0</v>
      </c>
      <c r="AP153" s="1767">
        <v>0</v>
      </c>
      <c r="AQ153" s="1767">
        <v>0</v>
      </c>
      <c r="AR153" s="1767">
        <v>0</v>
      </c>
      <c r="AS153" s="1767">
        <v>0</v>
      </c>
      <c r="AT153" s="1767">
        <v>0</v>
      </c>
      <c r="AU153" s="1767">
        <v>0</v>
      </c>
      <c r="AV153" s="1767">
        <v>0</v>
      </c>
      <c r="AW153" s="1767">
        <v>0</v>
      </c>
      <c r="AX153" s="1767">
        <v>0</v>
      </c>
      <c r="AY153" s="1767">
        <v>0</v>
      </c>
      <c r="AZ153" s="1767">
        <v>0</v>
      </c>
      <c r="BA153" s="1767">
        <v>0</v>
      </c>
      <c r="BB153" s="1767">
        <v>0</v>
      </c>
      <c r="BC153" s="1767">
        <v>0</v>
      </c>
      <c r="BD153" s="1767">
        <v>0</v>
      </c>
      <c r="BE153" s="1767">
        <v>0</v>
      </c>
      <c r="BF153" s="1767">
        <v>0</v>
      </c>
      <c r="BG153" s="1767">
        <v>0</v>
      </c>
      <c r="BH153" s="1767">
        <v>0</v>
      </c>
      <c r="BI153" s="1767">
        <v>0</v>
      </c>
      <c r="BJ153" s="1767">
        <v>0</v>
      </c>
      <c r="BK153" s="1767">
        <v>0</v>
      </c>
      <c r="BL153" s="1767">
        <v>0</v>
      </c>
      <c r="BM153" s="1767">
        <v>0</v>
      </c>
      <c r="BN153" s="1767">
        <v>0</v>
      </c>
      <c r="BO153" s="1767">
        <v>0</v>
      </c>
      <c r="BP153" s="1767">
        <v>0</v>
      </c>
      <c r="BQ153" s="1767">
        <v>0</v>
      </c>
      <c r="BR153" s="1767">
        <v>0</v>
      </c>
      <c r="BS153" s="1767">
        <v>0</v>
      </c>
      <c r="BT153" s="1767">
        <v>0</v>
      </c>
      <c r="BU153" s="1767">
        <v>0</v>
      </c>
      <c r="BV153" s="1767">
        <v>0</v>
      </c>
      <c r="BW153" s="1767">
        <v>0</v>
      </c>
      <c r="BX153" s="1767">
        <v>0</v>
      </c>
      <c r="BY153" s="1767">
        <v>0</v>
      </c>
      <c r="BZ153" s="1767">
        <v>0</v>
      </c>
      <c r="CA153" s="1767">
        <v>0</v>
      </c>
      <c r="CB153" s="1767">
        <v>0</v>
      </c>
      <c r="CC153" s="1767">
        <v>0</v>
      </c>
      <c r="CD153" s="1767">
        <v>0</v>
      </c>
      <c r="CE153" s="1767">
        <v>0</v>
      </c>
      <c r="CF153" s="1767">
        <v>0</v>
      </c>
      <c r="CG153" s="1767">
        <v>0</v>
      </c>
      <c r="CH153" s="1767">
        <v>0</v>
      </c>
      <c r="CI153" s="1767">
        <v>0</v>
      </c>
      <c r="CJ153" s="1767">
        <v>0</v>
      </c>
      <c r="CK153" s="1767">
        <v>0</v>
      </c>
      <c r="CL153" s="1767">
        <v>0</v>
      </c>
      <c r="CM153" s="1767">
        <v>0</v>
      </c>
      <c r="CN153" s="1767">
        <v>0</v>
      </c>
      <c r="CO153" s="1767">
        <v>0</v>
      </c>
      <c r="CP153" s="1767">
        <v>0</v>
      </c>
    </row>
    <row r="154" spans="1:94" ht="36" customHeight="1" thickBot="1" x14ac:dyDescent="0.25">
      <c r="A154" s="1907" t="s">
        <v>2352</v>
      </c>
      <c r="B154" s="1908"/>
      <c r="C154" s="1909"/>
      <c r="D154" s="1281"/>
      <c r="E154" s="861"/>
      <c r="F154" s="1225"/>
      <c r="G154" s="1767">
        <v>0</v>
      </c>
      <c r="H154" s="1767">
        <v>0</v>
      </c>
      <c r="I154" s="1767">
        <v>0</v>
      </c>
      <c r="J154" s="1767">
        <v>0</v>
      </c>
      <c r="K154" s="1767">
        <v>0</v>
      </c>
      <c r="L154" s="1767">
        <v>0</v>
      </c>
      <c r="M154" s="1767">
        <v>0</v>
      </c>
      <c r="N154" s="1767">
        <v>0</v>
      </c>
      <c r="O154" s="1767">
        <v>0</v>
      </c>
      <c r="P154" s="1767">
        <v>0</v>
      </c>
      <c r="Q154" s="1767">
        <v>0</v>
      </c>
      <c r="R154" s="1767">
        <v>0</v>
      </c>
      <c r="S154" s="1767">
        <v>0</v>
      </c>
      <c r="T154" s="1767">
        <v>0</v>
      </c>
      <c r="U154" s="1767">
        <v>0</v>
      </c>
      <c r="V154" s="1767">
        <v>0</v>
      </c>
      <c r="W154" s="1767">
        <v>0</v>
      </c>
      <c r="X154" s="1767">
        <v>0</v>
      </c>
      <c r="Y154" s="1767">
        <v>0</v>
      </c>
      <c r="Z154" s="1767">
        <v>0</v>
      </c>
      <c r="AA154" s="1767">
        <v>0</v>
      </c>
      <c r="AB154" s="1767">
        <v>0</v>
      </c>
      <c r="AC154" s="1767">
        <v>0</v>
      </c>
      <c r="AD154" s="1767">
        <v>0</v>
      </c>
      <c r="AE154" s="1767">
        <v>0</v>
      </c>
      <c r="AF154" s="1767">
        <v>0</v>
      </c>
      <c r="AG154" s="1767">
        <v>0</v>
      </c>
      <c r="AH154" s="1767">
        <v>0</v>
      </c>
      <c r="AI154" s="1767">
        <v>0</v>
      </c>
      <c r="AJ154" s="1767">
        <v>0</v>
      </c>
      <c r="AK154" s="1767">
        <v>0</v>
      </c>
      <c r="AL154" s="1767">
        <v>0</v>
      </c>
      <c r="AM154" s="1767">
        <v>0</v>
      </c>
      <c r="AN154" s="1767">
        <v>0</v>
      </c>
      <c r="AO154" s="1767">
        <v>0</v>
      </c>
      <c r="AP154" s="1767">
        <v>0</v>
      </c>
      <c r="AQ154" s="1767">
        <v>0</v>
      </c>
      <c r="AR154" s="1767">
        <v>0</v>
      </c>
      <c r="AS154" s="1767">
        <v>0</v>
      </c>
      <c r="AT154" s="1767">
        <v>0</v>
      </c>
      <c r="AU154" s="1767">
        <v>0</v>
      </c>
      <c r="AV154" s="1767">
        <v>0</v>
      </c>
      <c r="AW154" s="1767">
        <v>0</v>
      </c>
      <c r="AX154" s="1767">
        <v>0</v>
      </c>
      <c r="AY154" s="1767">
        <v>0</v>
      </c>
      <c r="AZ154" s="1767">
        <v>0</v>
      </c>
      <c r="BA154" s="1767">
        <v>0</v>
      </c>
      <c r="BB154" s="1767">
        <v>0</v>
      </c>
      <c r="BC154" s="1767">
        <v>0</v>
      </c>
      <c r="BD154" s="1767">
        <v>0</v>
      </c>
      <c r="BE154" s="1767">
        <v>0</v>
      </c>
      <c r="BF154" s="1767">
        <v>0</v>
      </c>
      <c r="BG154" s="1767">
        <v>0</v>
      </c>
      <c r="BH154" s="1767">
        <v>0</v>
      </c>
      <c r="BI154" s="1767">
        <v>0</v>
      </c>
      <c r="BJ154" s="1767">
        <v>0</v>
      </c>
      <c r="BK154" s="1767">
        <v>0</v>
      </c>
      <c r="BL154" s="1767">
        <v>0</v>
      </c>
      <c r="BM154" s="1767">
        <v>0</v>
      </c>
      <c r="BN154" s="1767">
        <v>0</v>
      </c>
      <c r="BO154" s="1767">
        <v>0</v>
      </c>
      <c r="BP154" s="1767">
        <v>0</v>
      </c>
      <c r="BQ154" s="1767">
        <v>0</v>
      </c>
      <c r="BR154" s="1767">
        <v>0</v>
      </c>
      <c r="BS154" s="1767">
        <v>0</v>
      </c>
      <c r="BT154" s="1767">
        <v>0</v>
      </c>
      <c r="BU154" s="1767">
        <v>0</v>
      </c>
      <c r="BV154" s="1767">
        <v>0</v>
      </c>
      <c r="BW154" s="1767">
        <v>0</v>
      </c>
      <c r="BX154" s="1767">
        <v>0</v>
      </c>
      <c r="BY154" s="1767">
        <v>0</v>
      </c>
      <c r="BZ154" s="1767">
        <v>0</v>
      </c>
      <c r="CA154" s="1767">
        <v>0</v>
      </c>
      <c r="CB154" s="1767">
        <v>0</v>
      </c>
      <c r="CC154" s="1767">
        <v>0</v>
      </c>
      <c r="CD154" s="1767">
        <v>0</v>
      </c>
      <c r="CE154" s="1767">
        <v>0</v>
      </c>
      <c r="CF154" s="1767">
        <v>0</v>
      </c>
      <c r="CG154" s="1767">
        <v>0</v>
      </c>
      <c r="CH154" s="1767">
        <v>0</v>
      </c>
      <c r="CI154" s="1767">
        <v>0</v>
      </c>
      <c r="CJ154" s="1767">
        <v>0</v>
      </c>
      <c r="CK154" s="1767">
        <v>0</v>
      </c>
      <c r="CL154" s="1767">
        <v>0</v>
      </c>
      <c r="CM154" s="1767">
        <v>0</v>
      </c>
      <c r="CN154" s="1767">
        <v>0</v>
      </c>
      <c r="CO154" s="1767">
        <v>0</v>
      </c>
      <c r="CP154" s="1767">
        <v>0</v>
      </c>
    </row>
    <row r="155" spans="1:94" ht="45" customHeight="1" thickBot="1" x14ac:dyDescent="0.25">
      <c r="A155" s="1849" t="s">
        <v>1304</v>
      </c>
      <c r="B155" s="1833" t="s">
        <v>166</v>
      </c>
      <c r="C155" s="1779" t="s">
        <v>2523</v>
      </c>
      <c r="D155" s="947"/>
      <c r="E155" s="1836" t="s">
        <v>2319</v>
      </c>
      <c r="F155" s="1225"/>
      <c r="G155" s="1742"/>
      <c r="H155" s="1742"/>
      <c r="I155" s="1742"/>
      <c r="J155" s="1742"/>
      <c r="K155" s="1742"/>
      <c r="L155" s="1742"/>
      <c r="M155" s="1742"/>
      <c r="N155" s="1742"/>
      <c r="O155" s="1742"/>
      <c r="P155" s="1742"/>
      <c r="Q155" s="1742"/>
      <c r="R155" s="1742"/>
      <c r="S155" s="1742"/>
      <c r="T155" s="1742"/>
      <c r="U155" s="1742"/>
      <c r="V155" s="1742"/>
      <c r="W155" s="1742"/>
      <c r="X155" s="1742"/>
      <c r="Y155" s="1742"/>
      <c r="Z155" s="1742"/>
      <c r="AA155" s="1742"/>
      <c r="AB155" s="1742"/>
      <c r="AC155" s="1742"/>
      <c r="AD155" s="1742"/>
      <c r="AE155" s="1742"/>
      <c r="AF155" s="1742"/>
      <c r="AG155" s="1742"/>
      <c r="AH155" s="1742"/>
      <c r="AI155" s="1742"/>
      <c r="AJ155" s="1742"/>
      <c r="AK155" s="1742"/>
      <c r="AL155" s="1742"/>
      <c r="AM155" s="1742"/>
      <c r="AN155" s="1742"/>
      <c r="AO155" s="1742"/>
      <c r="AP155" s="1742"/>
      <c r="AQ155" s="1742"/>
      <c r="AR155" s="1742"/>
      <c r="AS155" s="1742"/>
      <c r="AT155" s="1742"/>
      <c r="AU155" s="1742"/>
      <c r="AV155" s="1742"/>
      <c r="AW155" s="1742"/>
      <c r="AX155" s="1742"/>
      <c r="AY155" s="1742"/>
      <c r="AZ155" s="1742"/>
      <c r="BA155" s="1742"/>
      <c r="BB155" s="1742"/>
      <c r="BC155" s="1742"/>
      <c r="BD155" s="1742"/>
      <c r="BE155" s="1742"/>
      <c r="BF155" s="1742"/>
      <c r="BG155" s="1742"/>
      <c r="BH155" s="1742"/>
      <c r="BI155" s="1742"/>
      <c r="BJ155" s="1742"/>
      <c r="BK155" s="1742"/>
      <c r="BL155" s="1742"/>
      <c r="BM155" s="1742"/>
      <c r="BN155" s="1742"/>
      <c r="BO155" s="1742"/>
      <c r="BP155" s="1742"/>
      <c r="BQ155" s="1742"/>
      <c r="BR155" s="1742"/>
      <c r="BS155" s="1742"/>
      <c r="BT155" s="1742"/>
      <c r="BU155" s="1742"/>
      <c r="BV155" s="1742"/>
      <c r="BW155" s="1742"/>
      <c r="BX155" s="1742"/>
      <c r="BY155" s="1742"/>
      <c r="BZ155" s="1742"/>
      <c r="CA155" s="1742"/>
      <c r="CB155" s="1742"/>
      <c r="CC155" s="1742"/>
      <c r="CD155" s="1742"/>
      <c r="CE155" s="1742"/>
      <c r="CF155" s="1742"/>
      <c r="CG155" s="1742"/>
      <c r="CH155" s="1742"/>
      <c r="CI155" s="1742"/>
      <c r="CJ155" s="1742"/>
      <c r="CK155" s="1742"/>
      <c r="CL155" s="1742"/>
      <c r="CM155" s="1742"/>
      <c r="CN155" s="1742"/>
      <c r="CO155" s="1742"/>
      <c r="CP155" s="1742"/>
    </row>
    <row r="156" spans="1:94" ht="15" customHeight="1" x14ac:dyDescent="0.2">
      <c r="A156" s="1847"/>
      <c r="B156" s="1834"/>
      <c r="C156" s="649" t="s">
        <v>2118</v>
      </c>
      <c r="D156" s="936"/>
      <c r="E156" s="1837"/>
      <c r="F156" s="1225"/>
      <c r="G156" s="1767">
        <v>0</v>
      </c>
      <c r="H156" s="1767">
        <v>0</v>
      </c>
      <c r="I156" s="1767">
        <v>0</v>
      </c>
      <c r="J156" s="1767">
        <v>0</v>
      </c>
      <c r="K156" s="1767">
        <v>0</v>
      </c>
      <c r="L156" s="1767">
        <v>0</v>
      </c>
      <c r="M156" s="1767">
        <v>0</v>
      </c>
      <c r="N156" s="1767">
        <v>0</v>
      </c>
      <c r="O156" s="1767">
        <v>0</v>
      </c>
      <c r="P156" s="1767">
        <v>0</v>
      </c>
      <c r="Q156" s="1767">
        <v>0</v>
      </c>
      <c r="R156" s="1767">
        <v>0</v>
      </c>
      <c r="S156" s="1767">
        <v>0</v>
      </c>
      <c r="T156" s="1767">
        <v>0</v>
      </c>
      <c r="U156" s="1767">
        <v>0</v>
      </c>
      <c r="V156" s="1767">
        <v>0</v>
      </c>
      <c r="W156" s="1767">
        <v>0</v>
      </c>
      <c r="X156" s="1767">
        <v>0</v>
      </c>
      <c r="Y156" s="1767">
        <v>0</v>
      </c>
      <c r="Z156" s="1767">
        <v>0</v>
      </c>
      <c r="AA156" s="1767">
        <v>0</v>
      </c>
      <c r="AB156" s="1767">
        <v>0</v>
      </c>
      <c r="AC156" s="1767">
        <v>0</v>
      </c>
      <c r="AD156" s="1767">
        <v>0</v>
      </c>
      <c r="AE156" s="1767">
        <v>0</v>
      </c>
      <c r="AF156" s="1767">
        <v>0</v>
      </c>
      <c r="AG156" s="1767">
        <v>0</v>
      </c>
      <c r="AH156" s="1767">
        <v>0</v>
      </c>
      <c r="AI156" s="1767">
        <v>0</v>
      </c>
      <c r="AJ156" s="1767">
        <v>0</v>
      </c>
      <c r="AK156" s="1767">
        <v>0</v>
      </c>
      <c r="AL156" s="1767">
        <v>0</v>
      </c>
      <c r="AM156" s="1767">
        <v>0</v>
      </c>
      <c r="AN156" s="1767">
        <v>0</v>
      </c>
      <c r="AO156" s="1767">
        <v>0</v>
      </c>
      <c r="AP156" s="1767">
        <v>0</v>
      </c>
      <c r="AQ156" s="1767">
        <v>0</v>
      </c>
      <c r="AR156" s="1767">
        <v>0</v>
      </c>
      <c r="AS156" s="1767">
        <v>0</v>
      </c>
      <c r="AT156" s="1767">
        <v>0</v>
      </c>
      <c r="AU156" s="1767">
        <v>0</v>
      </c>
      <c r="AV156" s="1767">
        <v>0</v>
      </c>
      <c r="AW156" s="1767">
        <v>0</v>
      </c>
      <c r="AX156" s="1767">
        <v>0</v>
      </c>
      <c r="AY156" s="1767">
        <v>0</v>
      </c>
      <c r="AZ156" s="1767">
        <v>0</v>
      </c>
      <c r="BA156" s="1767">
        <v>0</v>
      </c>
      <c r="BB156" s="1767">
        <v>0</v>
      </c>
      <c r="BC156" s="1767">
        <v>0</v>
      </c>
      <c r="BD156" s="1767">
        <v>0</v>
      </c>
      <c r="BE156" s="1767">
        <v>0</v>
      </c>
      <c r="BF156" s="1767">
        <v>0</v>
      </c>
      <c r="BG156" s="1767">
        <v>0</v>
      </c>
      <c r="BH156" s="1767">
        <v>0</v>
      </c>
      <c r="BI156" s="1767">
        <v>0</v>
      </c>
      <c r="BJ156" s="1767">
        <v>0</v>
      </c>
      <c r="BK156" s="1767">
        <v>0</v>
      </c>
      <c r="BL156" s="1767">
        <v>0</v>
      </c>
      <c r="BM156" s="1767">
        <v>0</v>
      </c>
      <c r="BN156" s="1767">
        <v>0</v>
      </c>
      <c r="BO156" s="1767">
        <v>0</v>
      </c>
      <c r="BP156" s="1767">
        <v>0</v>
      </c>
      <c r="BQ156" s="1767">
        <v>0</v>
      </c>
      <c r="BR156" s="1767">
        <v>0</v>
      </c>
      <c r="BS156" s="1767">
        <v>0</v>
      </c>
      <c r="BT156" s="1767">
        <v>0</v>
      </c>
      <c r="BU156" s="1767">
        <v>0</v>
      </c>
      <c r="BV156" s="1767">
        <v>0</v>
      </c>
      <c r="BW156" s="1767">
        <v>0</v>
      </c>
      <c r="BX156" s="1767">
        <v>0</v>
      </c>
      <c r="BY156" s="1767">
        <v>0</v>
      </c>
      <c r="BZ156" s="1767">
        <v>0</v>
      </c>
      <c r="CA156" s="1767">
        <v>0</v>
      </c>
      <c r="CB156" s="1767">
        <v>0</v>
      </c>
      <c r="CC156" s="1767">
        <v>0</v>
      </c>
      <c r="CD156" s="1767">
        <v>0</v>
      </c>
      <c r="CE156" s="1767">
        <v>0</v>
      </c>
      <c r="CF156" s="1767">
        <v>0</v>
      </c>
      <c r="CG156" s="1767">
        <v>0</v>
      </c>
      <c r="CH156" s="1767">
        <v>0</v>
      </c>
      <c r="CI156" s="1767">
        <v>0</v>
      </c>
      <c r="CJ156" s="1767">
        <v>0</v>
      </c>
      <c r="CK156" s="1767">
        <v>0</v>
      </c>
      <c r="CL156" s="1767">
        <v>0</v>
      </c>
      <c r="CM156" s="1767">
        <v>0</v>
      </c>
      <c r="CN156" s="1767">
        <v>0</v>
      </c>
      <c r="CO156" s="1767">
        <v>0</v>
      </c>
      <c r="CP156" s="1767">
        <v>0</v>
      </c>
    </row>
    <row r="157" spans="1:94" ht="15" customHeight="1" x14ac:dyDescent="0.2">
      <c r="A157" s="1847"/>
      <c r="B157" s="1834"/>
      <c r="C157" s="663" t="s">
        <v>2119</v>
      </c>
      <c r="D157" s="936"/>
      <c r="E157" s="1837"/>
      <c r="F157" s="1225"/>
      <c r="G157" s="1767">
        <v>0</v>
      </c>
      <c r="H157" s="1767">
        <v>0</v>
      </c>
      <c r="I157" s="1767">
        <v>0</v>
      </c>
      <c r="J157" s="1767">
        <v>0</v>
      </c>
      <c r="K157" s="1767">
        <v>0</v>
      </c>
      <c r="L157" s="1767">
        <v>0</v>
      </c>
      <c r="M157" s="1767">
        <v>0</v>
      </c>
      <c r="N157" s="1767">
        <v>0</v>
      </c>
      <c r="O157" s="1767">
        <v>0</v>
      </c>
      <c r="P157" s="1767">
        <v>0</v>
      </c>
      <c r="Q157" s="1767">
        <v>0</v>
      </c>
      <c r="R157" s="1767">
        <v>0</v>
      </c>
      <c r="S157" s="1767">
        <v>0</v>
      </c>
      <c r="T157" s="1767">
        <v>0</v>
      </c>
      <c r="U157" s="1767">
        <v>0</v>
      </c>
      <c r="V157" s="1767">
        <v>0</v>
      </c>
      <c r="W157" s="1767">
        <v>0</v>
      </c>
      <c r="X157" s="1767">
        <v>0</v>
      </c>
      <c r="Y157" s="1767">
        <v>0</v>
      </c>
      <c r="Z157" s="1767">
        <v>0</v>
      </c>
      <c r="AA157" s="1767">
        <v>0</v>
      </c>
      <c r="AB157" s="1767">
        <v>0</v>
      </c>
      <c r="AC157" s="1767">
        <v>0</v>
      </c>
      <c r="AD157" s="1767">
        <v>0</v>
      </c>
      <c r="AE157" s="1767">
        <v>0</v>
      </c>
      <c r="AF157" s="1767">
        <v>0</v>
      </c>
      <c r="AG157" s="1767">
        <v>0</v>
      </c>
      <c r="AH157" s="1767">
        <v>0</v>
      </c>
      <c r="AI157" s="1767">
        <v>0</v>
      </c>
      <c r="AJ157" s="1767">
        <v>0</v>
      </c>
      <c r="AK157" s="1767">
        <v>0</v>
      </c>
      <c r="AL157" s="1767">
        <v>0</v>
      </c>
      <c r="AM157" s="1767">
        <v>0</v>
      </c>
      <c r="AN157" s="1767">
        <v>0</v>
      </c>
      <c r="AO157" s="1767">
        <v>0</v>
      </c>
      <c r="AP157" s="1767">
        <v>0</v>
      </c>
      <c r="AQ157" s="1767">
        <v>0</v>
      </c>
      <c r="AR157" s="1767">
        <v>0</v>
      </c>
      <c r="AS157" s="1767">
        <v>0</v>
      </c>
      <c r="AT157" s="1767">
        <v>0</v>
      </c>
      <c r="AU157" s="1767">
        <v>0</v>
      </c>
      <c r="AV157" s="1767">
        <v>0</v>
      </c>
      <c r="AW157" s="1767">
        <v>0</v>
      </c>
      <c r="AX157" s="1767">
        <v>0</v>
      </c>
      <c r="AY157" s="1767">
        <v>0</v>
      </c>
      <c r="AZ157" s="1767">
        <v>0</v>
      </c>
      <c r="BA157" s="1767">
        <v>0</v>
      </c>
      <c r="BB157" s="1767">
        <v>0</v>
      </c>
      <c r="BC157" s="1767">
        <v>0</v>
      </c>
      <c r="BD157" s="1767">
        <v>0</v>
      </c>
      <c r="BE157" s="1767">
        <v>0</v>
      </c>
      <c r="BF157" s="1767">
        <v>0</v>
      </c>
      <c r="BG157" s="1767">
        <v>0</v>
      </c>
      <c r="BH157" s="1767">
        <v>0</v>
      </c>
      <c r="BI157" s="1767">
        <v>0</v>
      </c>
      <c r="BJ157" s="1767">
        <v>0</v>
      </c>
      <c r="BK157" s="1767">
        <v>0</v>
      </c>
      <c r="BL157" s="1767">
        <v>0</v>
      </c>
      <c r="BM157" s="1767">
        <v>0</v>
      </c>
      <c r="BN157" s="1767">
        <v>0</v>
      </c>
      <c r="BO157" s="1767">
        <v>0</v>
      </c>
      <c r="BP157" s="1767">
        <v>0</v>
      </c>
      <c r="BQ157" s="1767">
        <v>0</v>
      </c>
      <c r="BR157" s="1767">
        <v>0</v>
      </c>
      <c r="BS157" s="1767">
        <v>0</v>
      </c>
      <c r="BT157" s="1767">
        <v>0</v>
      </c>
      <c r="BU157" s="1767">
        <v>0</v>
      </c>
      <c r="BV157" s="1767">
        <v>0</v>
      </c>
      <c r="BW157" s="1767">
        <v>0</v>
      </c>
      <c r="BX157" s="1767">
        <v>0</v>
      </c>
      <c r="BY157" s="1767">
        <v>0</v>
      </c>
      <c r="BZ157" s="1767">
        <v>0</v>
      </c>
      <c r="CA157" s="1767">
        <v>0</v>
      </c>
      <c r="CB157" s="1767">
        <v>0</v>
      </c>
      <c r="CC157" s="1767">
        <v>0</v>
      </c>
      <c r="CD157" s="1767">
        <v>0</v>
      </c>
      <c r="CE157" s="1767">
        <v>0</v>
      </c>
      <c r="CF157" s="1767">
        <v>0</v>
      </c>
      <c r="CG157" s="1767">
        <v>0</v>
      </c>
      <c r="CH157" s="1767">
        <v>0</v>
      </c>
      <c r="CI157" s="1767">
        <v>0</v>
      </c>
      <c r="CJ157" s="1767">
        <v>0</v>
      </c>
      <c r="CK157" s="1767">
        <v>0</v>
      </c>
      <c r="CL157" s="1767">
        <v>0</v>
      </c>
      <c r="CM157" s="1767">
        <v>0</v>
      </c>
      <c r="CN157" s="1767">
        <v>0</v>
      </c>
      <c r="CO157" s="1767">
        <v>0</v>
      </c>
      <c r="CP157" s="1767">
        <v>0</v>
      </c>
    </row>
    <row r="158" spans="1:94" ht="15" customHeight="1" x14ac:dyDescent="0.2">
      <c r="A158" s="1847"/>
      <c r="B158" s="1834"/>
      <c r="C158" s="663" t="s">
        <v>2120</v>
      </c>
      <c r="D158" s="936"/>
      <c r="E158" s="1837"/>
      <c r="F158" s="1225"/>
      <c r="G158" s="1767">
        <v>0</v>
      </c>
      <c r="H158" s="1767">
        <v>0</v>
      </c>
      <c r="I158" s="1767">
        <v>0</v>
      </c>
      <c r="J158" s="1767">
        <v>0</v>
      </c>
      <c r="K158" s="1767">
        <v>0</v>
      </c>
      <c r="L158" s="1767">
        <v>0</v>
      </c>
      <c r="M158" s="1767">
        <v>0</v>
      </c>
      <c r="N158" s="1767">
        <v>0</v>
      </c>
      <c r="O158" s="1767">
        <v>0</v>
      </c>
      <c r="P158" s="1767">
        <v>0</v>
      </c>
      <c r="Q158" s="1767">
        <v>0</v>
      </c>
      <c r="R158" s="1767">
        <v>0</v>
      </c>
      <c r="S158" s="1767">
        <v>0</v>
      </c>
      <c r="T158" s="1767">
        <v>0</v>
      </c>
      <c r="U158" s="1767">
        <v>0</v>
      </c>
      <c r="V158" s="1767">
        <v>0</v>
      </c>
      <c r="W158" s="1767">
        <v>0</v>
      </c>
      <c r="X158" s="1767">
        <v>0</v>
      </c>
      <c r="Y158" s="1767">
        <v>0</v>
      </c>
      <c r="Z158" s="1767">
        <v>0</v>
      </c>
      <c r="AA158" s="1767">
        <v>0</v>
      </c>
      <c r="AB158" s="1767">
        <v>0</v>
      </c>
      <c r="AC158" s="1767">
        <v>0</v>
      </c>
      <c r="AD158" s="1767">
        <v>0</v>
      </c>
      <c r="AE158" s="1767">
        <v>0</v>
      </c>
      <c r="AF158" s="1767">
        <v>0</v>
      </c>
      <c r="AG158" s="1767">
        <v>0</v>
      </c>
      <c r="AH158" s="1767">
        <v>0</v>
      </c>
      <c r="AI158" s="1767">
        <v>0</v>
      </c>
      <c r="AJ158" s="1767">
        <v>0</v>
      </c>
      <c r="AK158" s="1767">
        <v>0</v>
      </c>
      <c r="AL158" s="1767">
        <v>0</v>
      </c>
      <c r="AM158" s="1767">
        <v>0</v>
      </c>
      <c r="AN158" s="1767">
        <v>0</v>
      </c>
      <c r="AO158" s="1767">
        <v>0</v>
      </c>
      <c r="AP158" s="1767">
        <v>0</v>
      </c>
      <c r="AQ158" s="1767">
        <v>0</v>
      </c>
      <c r="AR158" s="1767">
        <v>0</v>
      </c>
      <c r="AS158" s="1767">
        <v>0</v>
      </c>
      <c r="AT158" s="1767">
        <v>0</v>
      </c>
      <c r="AU158" s="1767">
        <v>0</v>
      </c>
      <c r="AV158" s="1767">
        <v>0</v>
      </c>
      <c r="AW158" s="1767">
        <v>0</v>
      </c>
      <c r="AX158" s="1767">
        <v>0</v>
      </c>
      <c r="AY158" s="1767">
        <v>0</v>
      </c>
      <c r="AZ158" s="1767">
        <v>0</v>
      </c>
      <c r="BA158" s="1767">
        <v>0</v>
      </c>
      <c r="BB158" s="1767">
        <v>0</v>
      </c>
      <c r="BC158" s="1767">
        <v>0</v>
      </c>
      <c r="BD158" s="1767">
        <v>0</v>
      </c>
      <c r="BE158" s="1767">
        <v>0</v>
      </c>
      <c r="BF158" s="1767">
        <v>0</v>
      </c>
      <c r="BG158" s="1767">
        <v>0</v>
      </c>
      <c r="BH158" s="1767">
        <v>0</v>
      </c>
      <c r="BI158" s="1767">
        <v>0</v>
      </c>
      <c r="BJ158" s="1767">
        <v>0</v>
      </c>
      <c r="BK158" s="1767">
        <v>0</v>
      </c>
      <c r="BL158" s="1767">
        <v>0</v>
      </c>
      <c r="BM158" s="1767">
        <v>0</v>
      </c>
      <c r="BN158" s="1767">
        <v>0</v>
      </c>
      <c r="BO158" s="1767">
        <v>0</v>
      </c>
      <c r="BP158" s="1767">
        <v>0</v>
      </c>
      <c r="BQ158" s="1767">
        <v>0</v>
      </c>
      <c r="BR158" s="1767">
        <v>0</v>
      </c>
      <c r="BS158" s="1767">
        <v>0</v>
      </c>
      <c r="BT158" s="1767">
        <v>0</v>
      </c>
      <c r="BU158" s="1767">
        <v>0</v>
      </c>
      <c r="BV158" s="1767">
        <v>0</v>
      </c>
      <c r="BW158" s="1767">
        <v>0</v>
      </c>
      <c r="BX158" s="1767">
        <v>0</v>
      </c>
      <c r="BY158" s="1767">
        <v>0</v>
      </c>
      <c r="BZ158" s="1767">
        <v>0</v>
      </c>
      <c r="CA158" s="1767">
        <v>0</v>
      </c>
      <c r="CB158" s="1767">
        <v>0</v>
      </c>
      <c r="CC158" s="1767">
        <v>0</v>
      </c>
      <c r="CD158" s="1767">
        <v>0</v>
      </c>
      <c r="CE158" s="1767">
        <v>0</v>
      </c>
      <c r="CF158" s="1767">
        <v>0</v>
      </c>
      <c r="CG158" s="1767">
        <v>0</v>
      </c>
      <c r="CH158" s="1767">
        <v>0</v>
      </c>
      <c r="CI158" s="1767">
        <v>0</v>
      </c>
      <c r="CJ158" s="1767">
        <v>0</v>
      </c>
      <c r="CK158" s="1767">
        <v>0</v>
      </c>
      <c r="CL158" s="1767">
        <v>0</v>
      </c>
      <c r="CM158" s="1767">
        <v>0</v>
      </c>
      <c r="CN158" s="1767">
        <v>0</v>
      </c>
      <c r="CO158" s="1767">
        <v>0</v>
      </c>
      <c r="CP158" s="1767">
        <v>0</v>
      </c>
    </row>
    <row r="159" spans="1:94" ht="15" customHeight="1" x14ac:dyDescent="0.2">
      <c r="A159" s="1847"/>
      <c r="B159" s="1834"/>
      <c r="C159" s="663" t="s">
        <v>2121</v>
      </c>
      <c r="D159" s="936"/>
      <c r="E159" s="1837"/>
      <c r="F159" s="1225"/>
      <c r="G159" s="1767">
        <v>0</v>
      </c>
      <c r="H159" s="1767">
        <v>0</v>
      </c>
      <c r="I159" s="1767">
        <v>0</v>
      </c>
      <c r="J159" s="1767">
        <v>0</v>
      </c>
      <c r="K159" s="1767">
        <v>0</v>
      </c>
      <c r="L159" s="1767">
        <v>0</v>
      </c>
      <c r="M159" s="1767">
        <v>0</v>
      </c>
      <c r="N159" s="1767">
        <v>0</v>
      </c>
      <c r="O159" s="1767">
        <v>0</v>
      </c>
      <c r="P159" s="1767">
        <v>0</v>
      </c>
      <c r="Q159" s="1767">
        <v>0</v>
      </c>
      <c r="R159" s="1767">
        <v>0</v>
      </c>
      <c r="S159" s="1767">
        <v>0</v>
      </c>
      <c r="T159" s="1767">
        <v>0</v>
      </c>
      <c r="U159" s="1767">
        <v>0</v>
      </c>
      <c r="V159" s="1767">
        <v>0</v>
      </c>
      <c r="W159" s="1767">
        <v>0</v>
      </c>
      <c r="X159" s="1767">
        <v>0</v>
      </c>
      <c r="Y159" s="1767">
        <v>0</v>
      </c>
      <c r="Z159" s="1767">
        <v>0</v>
      </c>
      <c r="AA159" s="1767">
        <v>0</v>
      </c>
      <c r="AB159" s="1767">
        <v>0</v>
      </c>
      <c r="AC159" s="1767">
        <v>0</v>
      </c>
      <c r="AD159" s="1767">
        <v>0</v>
      </c>
      <c r="AE159" s="1767">
        <v>0</v>
      </c>
      <c r="AF159" s="1767">
        <v>0</v>
      </c>
      <c r="AG159" s="1767">
        <v>0</v>
      </c>
      <c r="AH159" s="1767">
        <v>0</v>
      </c>
      <c r="AI159" s="1767">
        <v>0</v>
      </c>
      <c r="AJ159" s="1767">
        <v>0</v>
      </c>
      <c r="AK159" s="1767">
        <v>0</v>
      </c>
      <c r="AL159" s="1767">
        <v>0</v>
      </c>
      <c r="AM159" s="1767">
        <v>0</v>
      </c>
      <c r="AN159" s="1767">
        <v>0</v>
      </c>
      <c r="AO159" s="1767">
        <v>0</v>
      </c>
      <c r="AP159" s="1767">
        <v>0</v>
      </c>
      <c r="AQ159" s="1767">
        <v>0</v>
      </c>
      <c r="AR159" s="1767">
        <v>0</v>
      </c>
      <c r="AS159" s="1767">
        <v>0</v>
      </c>
      <c r="AT159" s="1767">
        <v>0</v>
      </c>
      <c r="AU159" s="1767">
        <v>0</v>
      </c>
      <c r="AV159" s="1767">
        <v>0</v>
      </c>
      <c r="AW159" s="1767">
        <v>0</v>
      </c>
      <c r="AX159" s="1767">
        <v>0</v>
      </c>
      <c r="AY159" s="1767">
        <v>0</v>
      </c>
      <c r="AZ159" s="1767">
        <v>0</v>
      </c>
      <c r="BA159" s="1767">
        <v>0</v>
      </c>
      <c r="BB159" s="1767">
        <v>0</v>
      </c>
      <c r="BC159" s="1767">
        <v>0</v>
      </c>
      <c r="BD159" s="1767">
        <v>0</v>
      </c>
      <c r="BE159" s="1767">
        <v>0</v>
      </c>
      <c r="BF159" s="1767">
        <v>0</v>
      </c>
      <c r="BG159" s="1767">
        <v>0</v>
      </c>
      <c r="BH159" s="1767">
        <v>0</v>
      </c>
      <c r="BI159" s="1767">
        <v>0</v>
      </c>
      <c r="BJ159" s="1767">
        <v>0</v>
      </c>
      <c r="BK159" s="1767">
        <v>0</v>
      </c>
      <c r="BL159" s="1767">
        <v>0</v>
      </c>
      <c r="BM159" s="1767">
        <v>0</v>
      </c>
      <c r="BN159" s="1767">
        <v>0</v>
      </c>
      <c r="BO159" s="1767">
        <v>0</v>
      </c>
      <c r="BP159" s="1767">
        <v>0</v>
      </c>
      <c r="BQ159" s="1767">
        <v>0</v>
      </c>
      <c r="BR159" s="1767">
        <v>0</v>
      </c>
      <c r="BS159" s="1767">
        <v>0</v>
      </c>
      <c r="BT159" s="1767">
        <v>0</v>
      </c>
      <c r="BU159" s="1767">
        <v>0</v>
      </c>
      <c r="BV159" s="1767">
        <v>0</v>
      </c>
      <c r="BW159" s="1767">
        <v>0</v>
      </c>
      <c r="BX159" s="1767">
        <v>0</v>
      </c>
      <c r="BY159" s="1767">
        <v>0</v>
      </c>
      <c r="BZ159" s="1767">
        <v>0</v>
      </c>
      <c r="CA159" s="1767">
        <v>0</v>
      </c>
      <c r="CB159" s="1767">
        <v>0</v>
      </c>
      <c r="CC159" s="1767">
        <v>0</v>
      </c>
      <c r="CD159" s="1767">
        <v>0</v>
      </c>
      <c r="CE159" s="1767">
        <v>0</v>
      </c>
      <c r="CF159" s="1767">
        <v>0</v>
      </c>
      <c r="CG159" s="1767">
        <v>0</v>
      </c>
      <c r="CH159" s="1767">
        <v>0</v>
      </c>
      <c r="CI159" s="1767">
        <v>0</v>
      </c>
      <c r="CJ159" s="1767">
        <v>0</v>
      </c>
      <c r="CK159" s="1767">
        <v>0</v>
      </c>
      <c r="CL159" s="1767">
        <v>0</v>
      </c>
      <c r="CM159" s="1767">
        <v>0</v>
      </c>
      <c r="CN159" s="1767">
        <v>0</v>
      </c>
      <c r="CO159" s="1767">
        <v>0</v>
      </c>
      <c r="CP159" s="1767">
        <v>0</v>
      </c>
    </row>
    <row r="160" spans="1:94" ht="15" customHeight="1" thickBot="1" x14ac:dyDescent="0.25">
      <c r="A160" s="1848"/>
      <c r="B160" s="1835"/>
      <c r="C160" s="650" t="s">
        <v>571</v>
      </c>
      <c r="D160" s="950"/>
      <c r="E160" s="1838"/>
      <c r="F160" s="1225"/>
      <c r="G160" s="1767">
        <v>0</v>
      </c>
      <c r="H160" s="1767">
        <v>0</v>
      </c>
      <c r="I160" s="1767">
        <v>0</v>
      </c>
      <c r="J160" s="1767">
        <v>0</v>
      </c>
      <c r="K160" s="1767">
        <v>0</v>
      </c>
      <c r="L160" s="1767">
        <v>0</v>
      </c>
      <c r="M160" s="1767">
        <v>0</v>
      </c>
      <c r="N160" s="1767">
        <v>0</v>
      </c>
      <c r="O160" s="1767">
        <v>0</v>
      </c>
      <c r="P160" s="1767">
        <v>0</v>
      </c>
      <c r="Q160" s="1767">
        <v>0</v>
      </c>
      <c r="R160" s="1767">
        <v>0</v>
      </c>
      <c r="S160" s="1767">
        <v>0</v>
      </c>
      <c r="T160" s="1767">
        <v>0</v>
      </c>
      <c r="U160" s="1767">
        <v>0</v>
      </c>
      <c r="V160" s="1767">
        <v>0</v>
      </c>
      <c r="W160" s="1767">
        <v>0</v>
      </c>
      <c r="X160" s="1767">
        <v>0</v>
      </c>
      <c r="Y160" s="1767">
        <v>0</v>
      </c>
      <c r="Z160" s="1767">
        <v>0</v>
      </c>
      <c r="AA160" s="1767">
        <v>0</v>
      </c>
      <c r="AB160" s="1767">
        <v>0</v>
      </c>
      <c r="AC160" s="1767">
        <v>0</v>
      </c>
      <c r="AD160" s="1767">
        <v>0</v>
      </c>
      <c r="AE160" s="1767">
        <v>0</v>
      </c>
      <c r="AF160" s="1767">
        <v>0</v>
      </c>
      <c r="AG160" s="1767">
        <v>0</v>
      </c>
      <c r="AH160" s="1767">
        <v>0</v>
      </c>
      <c r="AI160" s="1767">
        <v>0</v>
      </c>
      <c r="AJ160" s="1767">
        <v>0</v>
      </c>
      <c r="AK160" s="1767">
        <v>0</v>
      </c>
      <c r="AL160" s="1767">
        <v>0</v>
      </c>
      <c r="AM160" s="1767">
        <v>0</v>
      </c>
      <c r="AN160" s="1767">
        <v>0</v>
      </c>
      <c r="AO160" s="1767">
        <v>0</v>
      </c>
      <c r="AP160" s="1767">
        <v>0</v>
      </c>
      <c r="AQ160" s="1767">
        <v>0</v>
      </c>
      <c r="AR160" s="1767">
        <v>0</v>
      </c>
      <c r="AS160" s="1767">
        <v>0</v>
      </c>
      <c r="AT160" s="1767">
        <v>0</v>
      </c>
      <c r="AU160" s="1767">
        <v>0</v>
      </c>
      <c r="AV160" s="1767">
        <v>0</v>
      </c>
      <c r="AW160" s="1767">
        <v>0</v>
      </c>
      <c r="AX160" s="1767">
        <v>0</v>
      </c>
      <c r="AY160" s="1767">
        <v>0</v>
      </c>
      <c r="AZ160" s="1767">
        <v>0</v>
      </c>
      <c r="BA160" s="1767">
        <v>0</v>
      </c>
      <c r="BB160" s="1767">
        <v>0</v>
      </c>
      <c r="BC160" s="1767">
        <v>0</v>
      </c>
      <c r="BD160" s="1767">
        <v>0</v>
      </c>
      <c r="BE160" s="1767">
        <v>0</v>
      </c>
      <c r="BF160" s="1767">
        <v>0</v>
      </c>
      <c r="BG160" s="1767">
        <v>0</v>
      </c>
      <c r="BH160" s="1767">
        <v>0</v>
      </c>
      <c r="BI160" s="1767">
        <v>0</v>
      </c>
      <c r="BJ160" s="1767">
        <v>0</v>
      </c>
      <c r="BK160" s="1767">
        <v>0</v>
      </c>
      <c r="BL160" s="1767">
        <v>0</v>
      </c>
      <c r="BM160" s="1767">
        <v>0</v>
      </c>
      <c r="BN160" s="1767">
        <v>0</v>
      </c>
      <c r="BO160" s="1767">
        <v>0</v>
      </c>
      <c r="BP160" s="1767">
        <v>0</v>
      </c>
      <c r="BQ160" s="1767">
        <v>0</v>
      </c>
      <c r="BR160" s="1767">
        <v>0</v>
      </c>
      <c r="BS160" s="1767">
        <v>0</v>
      </c>
      <c r="BT160" s="1767">
        <v>0</v>
      </c>
      <c r="BU160" s="1767">
        <v>0</v>
      </c>
      <c r="BV160" s="1767">
        <v>0</v>
      </c>
      <c r="BW160" s="1767">
        <v>0</v>
      </c>
      <c r="BX160" s="1767">
        <v>0</v>
      </c>
      <c r="BY160" s="1767">
        <v>0</v>
      </c>
      <c r="BZ160" s="1767">
        <v>0</v>
      </c>
      <c r="CA160" s="1767">
        <v>0</v>
      </c>
      <c r="CB160" s="1767">
        <v>0</v>
      </c>
      <c r="CC160" s="1767">
        <v>0</v>
      </c>
      <c r="CD160" s="1767">
        <v>0</v>
      </c>
      <c r="CE160" s="1767">
        <v>0</v>
      </c>
      <c r="CF160" s="1767">
        <v>0</v>
      </c>
      <c r="CG160" s="1767">
        <v>0</v>
      </c>
      <c r="CH160" s="1767">
        <v>0</v>
      </c>
      <c r="CI160" s="1767">
        <v>0</v>
      </c>
      <c r="CJ160" s="1767">
        <v>0</v>
      </c>
      <c r="CK160" s="1767">
        <v>0</v>
      </c>
      <c r="CL160" s="1767">
        <v>0</v>
      </c>
      <c r="CM160" s="1767">
        <v>0</v>
      </c>
      <c r="CN160" s="1767">
        <v>0</v>
      </c>
      <c r="CO160" s="1767">
        <v>0</v>
      </c>
      <c r="CP160" s="1767">
        <v>0</v>
      </c>
    </row>
    <row r="161" spans="1:94" ht="28.5" customHeight="1" thickBot="1" x14ac:dyDescent="0.25">
      <c r="A161" s="1889" t="s">
        <v>1305</v>
      </c>
      <c r="B161" s="1834" t="s">
        <v>629</v>
      </c>
      <c r="C161" s="1778" t="s">
        <v>2278</v>
      </c>
      <c r="D161" s="946"/>
      <c r="E161" s="1837" t="s">
        <v>1818</v>
      </c>
      <c r="F161" s="1225"/>
      <c r="G161" s="1742"/>
      <c r="H161" s="1742"/>
      <c r="I161" s="1742"/>
      <c r="J161" s="1742"/>
      <c r="K161" s="1742"/>
      <c r="L161" s="1742"/>
      <c r="M161" s="1742"/>
      <c r="N161" s="1742"/>
      <c r="O161" s="1742"/>
      <c r="P161" s="1742"/>
      <c r="Q161" s="1742"/>
      <c r="R161" s="1742"/>
      <c r="S161" s="1742"/>
      <c r="T161" s="1742"/>
      <c r="U161" s="1742"/>
      <c r="V161" s="1742"/>
      <c r="W161" s="1742"/>
      <c r="X161" s="1742"/>
      <c r="Y161" s="1742"/>
      <c r="Z161" s="1742"/>
      <c r="AA161" s="1742"/>
      <c r="AB161" s="1742"/>
      <c r="AC161" s="1742"/>
      <c r="AD161" s="1742"/>
      <c r="AE161" s="1742"/>
      <c r="AF161" s="1742"/>
      <c r="AG161" s="1742"/>
      <c r="AH161" s="1742"/>
      <c r="AI161" s="1742"/>
      <c r="AJ161" s="1742"/>
      <c r="AK161" s="1742"/>
      <c r="AL161" s="1742"/>
      <c r="AM161" s="1742"/>
      <c r="AN161" s="1742"/>
      <c r="AO161" s="1742"/>
      <c r="AP161" s="1742"/>
      <c r="AQ161" s="1742"/>
      <c r="AR161" s="1742"/>
      <c r="AS161" s="1742"/>
      <c r="AT161" s="1742"/>
      <c r="AU161" s="1742"/>
      <c r="AV161" s="1742"/>
      <c r="AW161" s="1742"/>
      <c r="AX161" s="1742"/>
      <c r="AY161" s="1742"/>
      <c r="AZ161" s="1742"/>
      <c r="BA161" s="1742"/>
      <c r="BB161" s="1742"/>
      <c r="BC161" s="1742"/>
      <c r="BD161" s="1742"/>
      <c r="BE161" s="1742"/>
      <c r="BF161" s="1742"/>
      <c r="BG161" s="1742"/>
      <c r="BH161" s="1742"/>
      <c r="BI161" s="1742"/>
      <c r="BJ161" s="1742"/>
      <c r="BK161" s="1742"/>
      <c r="BL161" s="1742"/>
      <c r="BM161" s="1742"/>
      <c r="BN161" s="1742"/>
      <c r="BO161" s="1742"/>
      <c r="BP161" s="1742"/>
      <c r="BQ161" s="1742"/>
      <c r="BR161" s="1742"/>
      <c r="BS161" s="1742"/>
      <c r="BT161" s="1742"/>
      <c r="BU161" s="1742"/>
      <c r="BV161" s="1742"/>
      <c r="BW161" s="1742"/>
      <c r="BX161" s="1742"/>
      <c r="BY161" s="1742"/>
      <c r="BZ161" s="1742"/>
      <c r="CA161" s="1742"/>
      <c r="CB161" s="1742"/>
      <c r="CC161" s="1742"/>
      <c r="CD161" s="1742"/>
      <c r="CE161" s="1742"/>
      <c r="CF161" s="1742"/>
      <c r="CG161" s="1742"/>
      <c r="CH161" s="1742"/>
      <c r="CI161" s="1742"/>
      <c r="CJ161" s="1742"/>
      <c r="CK161" s="1742"/>
      <c r="CL161" s="1742"/>
      <c r="CM161" s="1742"/>
      <c r="CN161" s="1742"/>
      <c r="CO161" s="1742"/>
      <c r="CP161" s="1742"/>
    </row>
    <row r="162" spans="1:94" ht="15" customHeight="1" x14ac:dyDescent="0.2">
      <c r="A162" s="1847"/>
      <c r="B162" s="1834"/>
      <c r="C162" s="649" t="s">
        <v>2279</v>
      </c>
      <c r="D162" s="936"/>
      <c r="E162" s="1837"/>
      <c r="F162" s="1225"/>
      <c r="G162" s="1767">
        <v>0</v>
      </c>
      <c r="H162" s="1767">
        <v>0</v>
      </c>
      <c r="I162" s="1767">
        <v>0</v>
      </c>
      <c r="J162" s="1767">
        <v>0</v>
      </c>
      <c r="K162" s="1767">
        <v>0</v>
      </c>
      <c r="L162" s="1767">
        <v>0</v>
      </c>
      <c r="M162" s="1767">
        <v>0</v>
      </c>
      <c r="N162" s="1767">
        <v>0</v>
      </c>
      <c r="O162" s="1767">
        <v>0</v>
      </c>
      <c r="P162" s="1767">
        <v>0</v>
      </c>
      <c r="Q162" s="1767">
        <v>0</v>
      </c>
      <c r="R162" s="1767">
        <v>0</v>
      </c>
      <c r="S162" s="1767">
        <v>0</v>
      </c>
      <c r="T162" s="1767">
        <v>0</v>
      </c>
      <c r="U162" s="1767">
        <v>0</v>
      </c>
      <c r="V162" s="1767">
        <v>0</v>
      </c>
      <c r="W162" s="1767">
        <v>0</v>
      </c>
      <c r="X162" s="1767">
        <v>0</v>
      </c>
      <c r="Y162" s="1767">
        <v>0</v>
      </c>
      <c r="Z162" s="1767">
        <v>0</v>
      </c>
      <c r="AA162" s="1767">
        <v>0</v>
      </c>
      <c r="AB162" s="1767">
        <v>0</v>
      </c>
      <c r="AC162" s="1767">
        <v>0</v>
      </c>
      <c r="AD162" s="1767">
        <v>0</v>
      </c>
      <c r="AE162" s="1767">
        <v>0</v>
      </c>
      <c r="AF162" s="1767">
        <v>0</v>
      </c>
      <c r="AG162" s="1767">
        <v>0</v>
      </c>
      <c r="AH162" s="1767">
        <v>0</v>
      </c>
      <c r="AI162" s="1767">
        <v>0</v>
      </c>
      <c r="AJ162" s="1767">
        <v>0</v>
      </c>
      <c r="AK162" s="1767">
        <v>0</v>
      </c>
      <c r="AL162" s="1767">
        <v>0</v>
      </c>
      <c r="AM162" s="1767">
        <v>0</v>
      </c>
      <c r="AN162" s="1767">
        <v>0</v>
      </c>
      <c r="AO162" s="1767">
        <v>0</v>
      </c>
      <c r="AP162" s="1767">
        <v>0</v>
      </c>
      <c r="AQ162" s="1767">
        <v>0</v>
      </c>
      <c r="AR162" s="1767">
        <v>0</v>
      </c>
      <c r="AS162" s="1767">
        <v>0</v>
      </c>
      <c r="AT162" s="1767">
        <v>0</v>
      </c>
      <c r="AU162" s="1767">
        <v>0</v>
      </c>
      <c r="AV162" s="1767">
        <v>0</v>
      </c>
      <c r="AW162" s="1767">
        <v>0</v>
      </c>
      <c r="AX162" s="1767">
        <v>0</v>
      </c>
      <c r="AY162" s="1767">
        <v>0</v>
      </c>
      <c r="AZ162" s="1767">
        <v>0</v>
      </c>
      <c r="BA162" s="1767">
        <v>0</v>
      </c>
      <c r="BB162" s="1767">
        <v>0</v>
      </c>
      <c r="BC162" s="1767">
        <v>0</v>
      </c>
      <c r="BD162" s="1767">
        <v>0</v>
      </c>
      <c r="BE162" s="1767">
        <v>0</v>
      </c>
      <c r="BF162" s="1767">
        <v>0</v>
      </c>
      <c r="BG162" s="1767">
        <v>0</v>
      </c>
      <c r="BH162" s="1767">
        <v>0</v>
      </c>
      <c r="BI162" s="1767">
        <v>0</v>
      </c>
      <c r="BJ162" s="1767">
        <v>0</v>
      </c>
      <c r="BK162" s="1767">
        <v>0</v>
      </c>
      <c r="BL162" s="1767">
        <v>0</v>
      </c>
      <c r="BM162" s="1767">
        <v>0</v>
      </c>
      <c r="BN162" s="1767">
        <v>0</v>
      </c>
      <c r="BO162" s="1767">
        <v>0</v>
      </c>
      <c r="BP162" s="1767">
        <v>0</v>
      </c>
      <c r="BQ162" s="1767">
        <v>0</v>
      </c>
      <c r="BR162" s="1767">
        <v>0</v>
      </c>
      <c r="BS162" s="1767">
        <v>0</v>
      </c>
      <c r="BT162" s="1767">
        <v>0</v>
      </c>
      <c r="BU162" s="1767">
        <v>0</v>
      </c>
      <c r="BV162" s="1767">
        <v>0</v>
      </c>
      <c r="BW162" s="1767">
        <v>0</v>
      </c>
      <c r="BX162" s="1767">
        <v>0</v>
      </c>
      <c r="BY162" s="1767">
        <v>0</v>
      </c>
      <c r="BZ162" s="1767">
        <v>0</v>
      </c>
      <c r="CA162" s="1767">
        <v>0</v>
      </c>
      <c r="CB162" s="1767">
        <v>0</v>
      </c>
      <c r="CC162" s="1767">
        <v>0</v>
      </c>
      <c r="CD162" s="1767">
        <v>0</v>
      </c>
      <c r="CE162" s="1767">
        <v>0</v>
      </c>
      <c r="CF162" s="1767">
        <v>0</v>
      </c>
      <c r="CG162" s="1767">
        <v>0</v>
      </c>
      <c r="CH162" s="1767">
        <v>0</v>
      </c>
      <c r="CI162" s="1767">
        <v>0</v>
      </c>
      <c r="CJ162" s="1767">
        <v>0</v>
      </c>
      <c r="CK162" s="1767">
        <v>0</v>
      </c>
      <c r="CL162" s="1767">
        <v>0</v>
      </c>
      <c r="CM162" s="1767">
        <v>0</v>
      </c>
      <c r="CN162" s="1767">
        <v>0</v>
      </c>
      <c r="CO162" s="1767">
        <v>0</v>
      </c>
      <c r="CP162" s="1767">
        <v>0</v>
      </c>
    </row>
    <row r="163" spans="1:94" ht="15" customHeight="1" x14ac:dyDescent="0.2">
      <c r="A163" s="1847"/>
      <c r="B163" s="1834"/>
      <c r="C163" s="663" t="s">
        <v>2280</v>
      </c>
      <c r="D163" s="936"/>
      <c r="E163" s="1837"/>
      <c r="F163" s="1225"/>
      <c r="G163" s="1767">
        <v>0</v>
      </c>
      <c r="H163" s="1767">
        <v>0</v>
      </c>
      <c r="I163" s="1767">
        <v>0</v>
      </c>
      <c r="J163" s="1767">
        <v>0</v>
      </c>
      <c r="K163" s="1767">
        <v>0</v>
      </c>
      <c r="L163" s="1767">
        <v>0</v>
      </c>
      <c r="M163" s="1767">
        <v>0</v>
      </c>
      <c r="N163" s="1767">
        <v>0</v>
      </c>
      <c r="O163" s="1767">
        <v>0</v>
      </c>
      <c r="P163" s="1767">
        <v>0</v>
      </c>
      <c r="Q163" s="1767">
        <v>0</v>
      </c>
      <c r="R163" s="1767">
        <v>0</v>
      </c>
      <c r="S163" s="1767">
        <v>0</v>
      </c>
      <c r="T163" s="1767">
        <v>0</v>
      </c>
      <c r="U163" s="1767">
        <v>0</v>
      </c>
      <c r="V163" s="1767">
        <v>0</v>
      </c>
      <c r="W163" s="1767">
        <v>0</v>
      </c>
      <c r="X163" s="1767">
        <v>0</v>
      </c>
      <c r="Y163" s="1767">
        <v>0</v>
      </c>
      <c r="Z163" s="1767">
        <v>0</v>
      </c>
      <c r="AA163" s="1767">
        <v>0</v>
      </c>
      <c r="AB163" s="1767">
        <v>0</v>
      </c>
      <c r="AC163" s="1767">
        <v>0</v>
      </c>
      <c r="AD163" s="1767">
        <v>0</v>
      </c>
      <c r="AE163" s="1767">
        <v>0</v>
      </c>
      <c r="AF163" s="1767">
        <v>0</v>
      </c>
      <c r="AG163" s="1767">
        <v>0</v>
      </c>
      <c r="AH163" s="1767">
        <v>0</v>
      </c>
      <c r="AI163" s="1767">
        <v>0</v>
      </c>
      <c r="AJ163" s="1767">
        <v>0</v>
      </c>
      <c r="AK163" s="1767">
        <v>0</v>
      </c>
      <c r="AL163" s="1767">
        <v>0</v>
      </c>
      <c r="AM163" s="1767">
        <v>0</v>
      </c>
      <c r="AN163" s="1767">
        <v>0</v>
      </c>
      <c r="AO163" s="1767">
        <v>0</v>
      </c>
      <c r="AP163" s="1767">
        <v>0</v>
      </c>
      <c r="AQ163" s="1767">
        <v>0</v>
      </c>
      <c r="AR163" s="1767">
        <v>0</v>
      </c>
      <c r="AS163" s="1767">
        <v>0</v>
      </c>
      <c r="AT163" s="1767">
        <v>0</v>
      </c>
      <c r="AU163" s="1767">
        <v>0</v>
      </c>
      <c r="AV163" s="1767">
        <v>0</v>
      </c>
      <c r="AW163" s="1767">
        <v>0</v>
      </c>
      <c r="AX163" s="1767">
        <v>0</v>
      </c>
      <c r="AY163" s="1767">
        <v>0</v>
      </c>
      <c r="AZ163" s="1767">
        <v>0</v>
      </c>
      <c r="BA163" s="1767">
        <v>0</v>
      </c>
      <c r="BB163" s="1767">
        <v>0</v>
      </c>
      <c r="BC163" s="1767">
        <v>0</v>
      </c>
      <c r="BD163" s="1767">
        <v>0</v>
      </c>
      <c r="BE163" s="1767">
        <v>0</v>
      </c>
      <c r="BF163" s="1767">
        <v>0</v>
      </c>
      <c r="BG163" s="1767">
        <v>0</v>
      </c>
      <c r="BH163" s="1767">
        <v>0</v>
      </c>
      <c r="BI163" s="1767">
        <v>0</v>
      </c>
      <c r="BJ163" s="1767">
        <v>0</v>
      </c>
      <c r="BK163" s="1767">
        <v>0</v>
      </c>
      <c r="BL163" s="1767">
        <v>0</v>
      </c>
      <c r="BM163" s="1767">
        <v>0</v>
      </c>
      <c r="BN163" s="1767">
        <v>0</v>
      </c>
      <c r="BO163" s="1767">
        <v>0</v>
      </c>
      <c r="BP163" s="1767">
        <v>0</v>
      </c>
      <c r="BQ163" s="1767">
        <v>0</v>
      </c>
      <c r="BR163" s="1767">
        <v>0</v>
      </c>
      <c r="BS163" s="1767">
        <v>0</v>
      </c>
      <c r="BT163" s="1767">
        <v>0</v>
      </c>
      <c r="BU163" s="1767">
        <v>0</v>
      </c>
      <c r="BV163" s="1767">
        <v>0</v>
      </c>
      <c r="BW163" s="1767">
        <v>0</v>
      </c>
      <c r="BX163" s="1767">
        <v>0</v>
      </c>
      <c r="BY163" s="1767">
        <v>0</v>
      </c>
      <c r="BZ163" s="1767">
        <v>0</v>
      </c>
      <c r="CA163" s="1767">
        <v>0</v>
      </c>
      <c r="CB163" s="1767">
        <v>0</v>
      </c>
      <c r="CC163" s="1767">
        <v>0</v>
      </c>
      <c r="CD163" s="1767">
        <v>0</v>
      </c>
      <c r="CE163" s="1767">
        <v>0</v>
      </c>
      <c r="CF163" s="1767">
        <v>0</v>
      </c>
      <c r="CG163" s="1767">
        <v>0</v>
      </c>
      <c r="CH163" s="1767">
        <v>0</v>
      </c>
      <c r="CI163" s="1767">
        <v>0</v>
      </c>
      <c r="CJ163" s="1767">
        <v>0</v>
      </c>
      <c r="CK163" s="1767">
        <v>0</v>
      </c>
      <c r="CL163" s="1767">
        <v>0</v>
      </c>
      <c r="CM163" s="1767">
        <v>0</v>
      </c>
      <c r="CN163" s="1767">
        <v>0</v>
      </c>
      <c r="CO163" s="1767">
        <v>0</v>
      </c>
      <c r="CP163" s="1767">
        <v>0</v>
      </c>
    </row>
    <row r="164" spans="1:94" ht="15" customHeight="1" thickBot="1" x14ac:dyDescent="0.25">
      <c r="A164" s="1897"/>
      <c r="B164" s="1835"/>
      <c r="C164" s="657" t="s">
        <v>1696</v>
      </c>
      <c r="D164" s="936"/>
      <c r="E164" s="1838"/>
      <c r="F164" s="1225"/>
      <c r="G164" s="1767">
        <v>0</v>
      </c>
      <c r="H164" s="1767">
        <v>0</v>
      </c>
      <c r="I164" s="1767">
        <v>0</v>
      </c>
      <c r="J164" s="1767">
        <v>0</v>
      </c>
      <c r="K164" s="1767">
        <v>0</v>
      </c>
      <c r="L164" s="1767">
        <v>0</v>
      </c>
      <c r="M164" s="1767">
        <v>0</v>
      </c>
      <c r="N164" s="1767">
        <v>0</v>
      </c>
      <c r="O164" s="1767">
        <v>0</v>
      </c>
      <c r="P164" s="1767">
        <v>0</v>
      </c>
      <c r="Q164" s="1767">
        <v>0</v>
      </c>
      <c r="R164" s="1767">
        <v>0</v>
      </c>
      <c r="S164" s="1767">
        <v>0</v>
      </c>
      <c r="T164" s="1767">
        <v>0</v>
      </c>
      <c r="U164" s="1767">
        <v>0</v>
      </c>
      <c r="V164" s="1767">
        <v>0</v>
      </c>
      <c r="W164" s="1767">
        <v>0</v>
      </c>
      <c r="X164" s="1767">
        <v>0</v>
      </c>
      <c r="Y164" s="1767">
        <v>0</v>
      </c>
      <c r="Z164" s="1767">
        <v>0</v>
      </c>
      <c r="AA164" s="1767">
        <v>0</v>
      </c>
      <c r="AB164" s="1767">
        <v>0</v>
      </c>
      <c r="AC164" s="1767">
        <v>0</v>
      </c>
      <c r="AD164" s="1767">
        <v>0</v>
      </c>
      <c r="AE164" s="1767">
        <v>0</v>
      </c>
      <c r="AF164" s="1767">
        <v>0</v>
      </c>
      <c r="AG164" s="1767">
        <v>0</v>
      </c>
      <c r="AH164" s="1767">
        <v>0</v>
      </c>
      <c r="AI164" s="1767">
        <v>0</v>
      </c>
      <c r="AJ164" s="1767">
        <v>0</v>
      </c>
      <c r="AK164" s="1767">
        <v>0</v>
      </c>
      <c r="AL164" s="1767">
        <v>0</v>
      </c>
      <c r="AM164" s="1767">
        <v>0</v>
      </c>
      <c r="AN164" s="1767">
        <v>0</v>
      </c>
      <c r="AO164" s="1767">
        <v>0</v>
      </c>
      <c r="AP164" s="1767">
        <v>0</v>
      </c>
      <c r="AQ164" s="1767">
        <v>0</v>
      </c>
      <c r="AR164" s="1767">
        <v>0</v>
      </c>
      <c r="AS164" s="1767">
        <v>0</v>
      </c>
      <c r="AT164" s="1767">
        <v>0</v>
      </c>
      <c r="AU164" s="1767">
        <v>0</v>
      </c>
      <c r="AV164" s="1767">
        <v>0</v>
      </c>
      <c r="AW164" s="1767">
        <v>0</v>
      </c>
      <c r="AX164" s="1767">
        <v>0</v>
      </c>
      <c r="AY164" s="1767">
        <v>0</v>
      </c>
      <c r="AZ164" s="1767">
        <v>0</v>
      </c>
      <c r="BA164" s="1767">
        <v>0</v>
      </c>
      <c r="BB164" s="1767">
        <v>0</v>
      </c>
      <c r="BC164" s="1767">
        <v>0</v>
      </c>
      <c r="BD164" s="1767">
        <v>0</v>
      </c>
      <c r="BE164" s="1767">
        <v>0</v>
      </c>
      <c r="BF164" s="1767">
        <v>0</v>
      </c>
      <c r="BG164" s="1767">
        <v>0</v>
      </c>
      <c r="BH164" s="1767">
        <v>0</v>
      </c>
      <c r="BI164" s="1767">
        <v>0</v>
      </c>
      <c r="BJ164" s="1767">
        <v>0</v>
      </c>
      <c r="BK164" s="1767">
        <v>0</v>
      </c>
      <c r="BL164" s="1767">
        <v>0</v>
      </c>
      <c r="BM164" s="1767">
        <v>0</v>
      </c>
      <c r="BN164" s="1767">
        <v>0</v>
      </c>
      <c r="BO164" s="1767">
        <v>0</v>
      </c>
      <c r="BP164" s="1767">
        <v>0</v>
      </c>
      <c r="BQ164" s="1767">
        <v>0</v>
      </c>
      <c r="BR164" s="1767">
        <v>0</v>
      </c>
      <c r="BS164" s="1767">
        <v>0</v>
      </c>
      <c r="BT164" s="1767">
        <v>0</v>
      </c>
      <c r="BU164" s="1767">
        <v>0</v>
      </c>
      <c r="BV164" s="1767">
        <v>0</v>
      </c>
      <c r="BW164" s="1767">
        <v>0</v>
      </c>
      <c r="BX164" s="1767">
        <v>0</v>
      </c>
      <c r="BY164" s="1767">
        <v>0</v>
      </c>
      <c r="BZ164" s="1767">
        <v>0</v>
      </c>
      <c r="CA164" s="1767">
        <v>0</v>
      </c>
      <c r="CB164" s="1767">
        <v>0</v>
      </c>
      <c r="CC164" s="1767">
        <v>0</v>
      </c>
      <c r="CD164" s="1767">
        <v>0</v>
      </c>
      <c r="CE164" s="1767">
        <v>0</v>
      </c>
      <c r="CF164" s="1767">
        <v>0</v>
      </c>
      <c r="CG164" s="1767">
        <v>0</v>
      </c>
      <c r="CH164" s="1767">
        <v>0</v>
      </c>
      <c r="CI164" s="1767">
        <v>0</v>
      </c>
      <c r="CJ164" s="1767">
        <v>0</v>
      </c>
      <c r="CK164" s="1767">
        <v>0</v>
      </c>
      <c r="CL164" s="1767">
        <v>0</v>
      </c>
      <c r="CM164" s="1767">
        <v>0</v>
      </c>
      <c r="CN164" s="1767">
        <v>0</v>
      </c>
      <c r="CO164" s="1767">
        <v>0</v>
      </c>
      <c r="CP164" s="1767">
        <v>0</v>
      </c>
    </row>
    <row r="165" spans="1:94" ht="39.75" customHeight="1" thickBot="1" x14ac:dyDescent="0.25">
      <c r="A165" s="1888" t="s">
        <v>1306</v>
      </c>
      <c r="B165" s="1833" t="s">
        <v>855</v>
      </c>
      <c r="C165" s="1779" t="s">
        <v>2524</v>
      </c>
      <c r="D165" s="947"/>
      <c r="E165" s="1836" t="s">
        <v>2320</v>
      </c>
      <c r="F165" s="1225"/>
      <c r="G165" s="1742"/>
      <c r="H165" s="1742"/>
      <c r="I165" s="1742"/>
      <c r="J165" s="1742"/>
      <c r="K165" s="1742"/>
      <c r="L165" s="1742"/>
      <c r="M165" s="1742"/>
      <c r="N165" s="1742"/>
      <c r="O165" s="1742"/>
      <c r="P165" s="1742"/>
      <c r="Q165" s="1742"/>
      <c r="R165" s="1742"/>
      <c r="S165" s="1742"/>
      <c r="T165" s="1742"/>
      <c r="U165" s="1742"/>
      <c r="V165" s="1742"/>
      <c r="W165" s="1742"/>
      <c r="X165" s="1742"/>
      <c r="Y165" s="1742"/>
      <c r="Z165" s="1742"/>
      <c r="AA165" s="1742"/>
      <c r="AB165" s="1742"/>
      <c r="AC165" s="1742"/>
      <c r="AD165" s="1742"/>
      <c r="AE165" s="1742"/>
      <c r="AF165" s="1742"/>
      <c r="AG165" s="1742"/>
      <c r="AH165" s="1742"/>
      <c r="AI165" s="1742"/>
      <c r="AJ165" s="1742"/>
      <c r="AK165" s="1742"/>
      <c r="AL165" s="1742"/>
      <c r="AM165" s="1742"/>
      <c r="AN165" s="1742"/>
      <c r="AO165" s="1742"/>
      <c r="AP165" s="1742"/>
      <c r="AQ165" s="1742"/>
      <c r="AR165" s="1742"/>
      <c r="AS165" s="1742"/>
      <c r="AT165" s="1742"/>
      <c r="AU165" s="1742"/>
      <c r="AV165" s="1742"/>
      <c r="AW165" s="1742"/>
      <c r="AX165" s="1742"/>
      <c r="AY165" s="1742"/>
      <c r="AZ165" s="1742"/>
      <c r="BA165" s="1742"/>
      <c r="BB165" s="1742"/>
      <c r="BC165" s="1742"/>
      <c r="BD165" s="1742"/>
      <c r="BE165" s="1742"/>
      <c r="BF165" s="1742"/>
      <c r="BG165" s="1742"/>
      <c r="BH165" s="1742"/>
      <c r="BI165" s="1742"/>
      <c r="BJ165" s="1742"/>
      <c r="BK165" s="1742"/>
      <c r="BL165" s="1742"/>
      <c r="BM165" s="1742"/>
      <c r="BN165" s="1742"/>
      <c r="BO165" s="1742"/>
      <c r="BP165" s="1742"/>
      <c r="BQ165" s="1742"/>
      <c r="BR165" s="1742"/>
      <c r="BS165" s="1742"/>
      <c r="BT165" s="1742"/>
      <c r="BU165" s="1742"/>
      <c r="BV165" s="1742"/>
      <c r="BW165" s="1742"/>
      <c r="BX165" s="1742"/>
      <c r="BY165" s="1742"/>
      <c r="BZ165" s="1742"/>
      <c r="CA165" s="1742"/>
      <c r="CB165" s="1742"/>
      <c r="CC165" s="1742"/>
      <c r="CD165" s="1742"/>
      <c r="CE165" s="1742"/>
      <c r="CF165" s="1742"/>
      <c r="CG165" s="1742"/>
      <c r="CH165" s="1742"/>
      <c r="CI165" s="1742"/>
      <c r="CJ165" s="1742"/>
      <c r="CK165" s="1742"/>
      <c r="CL165" s="1742"/>
      <c r="CM165" s="1742"/>
      <c r="CN165" s="1742"/>
      <c r="CO165" s="1742"/>
      <c r="CP165" s="1742"/>
    </row>
    <row r="166" spans="1:94" ht="18.75" customHeight="1" x14ac:dyDescent="0.2">
      <c r="A166" s="1847"/>
      <c r="B166" s="1834"/>
      <c r="C166" s="649" t="s">
        <v>2361</v>
      </c>
      <c r="D166" s="936"/>
      <c r="E166" s="1837"/>
      <c r="F166" s="1225"/>
      <c r="G166" s="1767">
        <v>0</v>
      </c>
      <c r="H166" s="1767">
        <v>0</v>
      </c>
      <c r="I166" s="1767">
        <v>0</v>
      </c>
      <c r="J166" s="1767">
        <v>0</v>
      </c>
      <c r="K166" s="1767">
        <v>0</v>
      </c>
      <c r="L166" s="1767">
        <v>0</v>
      </c>
      <c r="M166" s="1767">
        <v>0</v>
      </c>
      <c r="N166" s="1767">
        <v>0</v>
      </c>
      <c r="O166" s="1767">
        <v>0</v>
      </c>
      <c r="P166" s="1767">
        <v>0</v>
      </c>
      <c r="Q166" s="1767">
        <v>0</v>
      </c>
      <c r="R166" s="1767">
        <v>0</v>
      </c>
      <c r="S166" s="1767">
        <v>0</v>
      </c>
      <c r="T166" s="1767">
        <v>0</v>
      </c>
      <c r="U166" s="1767">
        <v>0</v>
      </c>
      <c r="V166" s="1767">
        <v>0</v>
      </c>
      <c r="W166" s="1767">
        <v>0</v>
      </c>
      <c r="X166" s="1767">
        <v>0</v>
      </c>
      <c r="Y166" s="1767">
        <v>0</v>
      </c>
      <c r="Z166" s="1767">
        <v>0</v>
      </c>
      <c r="AA166" s="1767">
        <v>0</v>
      </c>
      <c r="AB166" s="1767">
        <v>0</v>
      </c>
      <c r="AC166" s="1767">
        <v>0</v>
      </c>
      <c r="AD166" s="1767">
        <v>0</v>
      </c>
      <c r="AE166" s="1767">
        <v>0</v>
      </c>
      <c r="AF166" s="1767">
        <v>0</v>
      </c>
      <c r="AG166" s="1767">
        <v>0</v>
      </c>
      <c r="AH166" s="1767">
        <v>0</v>
      </c>
      <c r="AI166" s="1767">
        <v>0</v>
      </c>
      <c r="AJ166" s="1767">
        <v>0</v>
      </c>
      <c r="AK166" s="1767">
        <v>0</v>
      </c>
      <c r="AL166" s="1767">
        <v>0</v>
      </c>
      <c r="AM166" s="1767">
        <v>0</v>
      </c>
      <c r="AN166" s="1767">
        <v>0</v>
      </c>
      <c r="AO166" s="1767">
        <v>0</v>
      </c>
      <c r="AP166" s="1767">
        <v>0</v>
      </c>
      <c r="AQ166" s="1767">
        <v>0</v>
      </c>
      <c r="AR166" s="1767">
        <v>0</v>
      </c>
      <c r="AS166" s="1767">
        <v>0</v>
      </c>
      <c r="AT166" s="1767">
        <v>0</v>
      </c>
      <c r="AU166" s="1767">
        <v>0</v>
      </c>
      <c r="AV166" s="1767">
        <v>0</v>
      </c>
      <c r="AW166" s="1767">
        <v>0</v>
      </c>
      <c r="AX166" s="1767">
        <v>0</v>
      </c>
      <c r="AY166" s="1767">
        <v>0</v>
      </c>
      <c r="AZ166" s="1767">
        <v>0</v>
      </c>
      <c r="BA166" s="1767">
        <v>0</v>
      </c>
      <c r="BB166" s="1767">
        <v>0</v>
      </c>
      <c r="BC166" s="1767">
        <v>0</v>
      </c>
      <c r="BD166" s="1767">
        <v>0</v>
      </c>
      <c r="BE166" s="1767">
        <v>0</v>
      </c>
      <c r="BF166" s="1767">
        <v>0</v>
      </c>
      <c r="BG166" s="1767">
        <v>0</v>
      </c>
      <c r="BH166" s="1767">
        <v>0</v>
      </c>
      <c r="BI166" s="1767">
        <v>0</v>
      </c>
      <c r="BJ166" s="1767">
        <v>0</v>
      </c>
      <c r="BK166" s="1767">
        <v>0</v>
      </c>
      <c r="BL166" s="1767">
        <v>0</v>
      </c>
      <c r="BM166" s="1767">
        <v>0</v>
      </c>
      <c r="BN166" s="1767">
        <v>0</v>
      </c>
      <c r="BO166" s="1767">
        <v>0</v>
      </c>
      <c r="BP166" s="1767">
        <v>0</v>
      </c>
      <c r="BQ166" s="1767">
        <v>0</v>
      </c>
      <c r="BR166" s="1767">
        <v>0</v>
      </c>
      <c r="BS166" s="1767">
        <v>0</v>
      </c>
      <c r="BT166" s="1767">
        <v>0</v>
      </c>
      <c r="BU166" s="1767">
        <v>0</v>
      </c>
      <c r="BV166" s="1767">
        <v>0</v>
      </c>
      <c r="BW166" s="1767">
        <v>0</v>
      </c>
      <c r="BX166" s="1767">
        <v>0</v>
      </c>
      <c r="BY166" s="1767">
        <v>0</v>
      </c>
      <c r="BZ166" s="1767">
        <v>0</v>
      </c>
      <c r="CA166" s="1767">
        <v>0</v>
      </c>
      <c r="CB166" s="1767">
        <v>0</v>
      </c>
      <c r="CC166" s="1767">
        <v>0</v>
      </c>
      <c r="CD166" s="1767">
        <v>0</v>
      </c>
      <c r="CE166" s="1767">
        <v>0</v>
      </c>
      <c r="CF166" s="1767">
        <v>0</v>
      </c>
      <c r="CG166" s="1767">
        <v>0</v>
      </c>
      <c r="CH166" s="1767">
        <v>0</v>
      </c>
      <c r="CI166" s="1767">
        <v>0</v>
      </c>
      <c r="CJ166" s="1767">
        <v>0</v>
      </c>
      <c r="CK166" s="1767">
        <v>0</v>
      </c>
      <c r="CL166" s="1767">
        <v>0</v>
      </c>
      <c r="CM166" s="1767">
        <v>0</v>
      </c>
      <c r="CN166" s="1767">
        <v>0</v>
      </c>
      <c r="CO166" s="1767">
        <v>0</v>
      </c>
      <c r="CP166" s="1767">
        <v>0</v>
      </c>
    </row>
    <row r="167" spans="1:94" ht="15" customHeight="1" x14ac:dyDescent="0.2">
      <c r="A167" s="1847"/>
      <c r="B167" s="1834"/>
      <c r="C167" s="663" t="s">
        <v>1698</v>
      </c>
      <c r="D167" s="936"/>
      <c r="E167" s="1837"/>
      <c r="F167" s="1225"/>
      <c r="G167" s="1767">
        <v>0</v>
      </c>
      <c r="H167" s="1767">
        <v>0</v>
      </c>
      <c r="I167" s="1767">
        <v>0</v>
      </c>
      <c r="J167" s="1767">
        <v>0</v>
      </c>
      <c r="K167" s="1767">
        <v>0</v>
      </c>
      <c r="L167" s="1767">
        <v>0</v>
      </c>
      <c r="M167" s="1767">
        <v>0</v>
      </c>
      <c r="N167" s="1767">
        <v>0</v>
      </c>
      <c r="O167" s="1767">
        <v>0</v>
      </c>
      <c r="P167" s="1767">
        <v>0</v>
      </c>
      <c r="Q167" s="1767">
        <v>0</v>
      </c>
      <c r="R167" s="1767">
        <v>0</v>
      </c>
      <c r="S167" s="1767">
        <v>0</v>
      </c>
      <c r="T167" s="1767">
        <v>0</v>
      </c>
      <c r="U167" s="1767">
        <v>0</v>
      </c>
      <c r="V167" s="1767">
        <v>0</v>
      </c>
      <c r="W167" s="1767">
        <v>0</v>
      </c>
      <c r="X167" s="1767">
        <v>0</v>
      </c>
      <c r="Y167" s="1767">
        <v>0</v>
      </c>
      <c r="Z167" s="1767">
        <v>0</v>
      </c>
      <c r="AA167" s="1767">
        <v>0</v>
      </c>
      <c r="AB167" s="1767">
        <v>0</v>
      </c>
      <c r="AC167" s="1767">
        <v>0</v>
      </c>
      <c r="AD167" s="1767">
        <v>0</v>
      </c>
      <c r="AE167" s="1767">
        <v>0</v>
      </c>
      <c r="AF167" s="1767">
        <v>0</v>
      </c>
      <c r="AG167" s="1767">
        <v>0</v>
      </c>
      <c r="AH167" s="1767">
        <v>0</v>
      </c>
      <c r="AI167" s="1767">
        <v>0</v>
      </c>
      <c r="AJ167" s="1767">
        <v>0</v>
      </c>
      <c r="AK167" s="1767">
        <v>0</v>
      </c>
      <c r="AL167" s="1767">
        <v>0</v>
      </c>
      <c r="AM167" s="1767">
        <v>0</v>
      </c>
      <c r="AN167" s="1767">
        <v>0</v>
      </c>
      <c r="AO167" s="1767">
        <v>0</v>
      </c>
      <c r="AP167" s="1767">
        <v>0</v>
      </c>
      <c r="AQ167" s="1767">
        <v>0</v>
      </c>
      <c r="AR167" s="1767">
        <v>0</v>
      </c>
      <c r="AS167" s="1767">
        <v>0</v>
      </c>
      <c r="AT167" s="1767">
        <v>0</v>
      </c>
      <c r="AU167" s="1767">
        <v>0</v>
      </c>
      <c r="AV167" s="1767">
        <v>0</v>
      </c>
      <c r="AW167" s="1767">
        <v>0</v>
      </c>
      <c r="AX167" s="1767">
        <v>0</v>
      </c>
      <c r="AY167" s="1767">
        <v>0</v>
      </c>
      <c r="AZ167" s="1767">
        <v>0</v>
      </c>
      <c r="BA167" s="1767">
        <v>0</v>
      </c>
      <c r="BB167" s="1767">
        <v>0</v>
      </c>
      <c r="BC167" s="1767">
        <v>0</v>
      </c>
      <c r="BD167" s="1767">
        <v>0</v>
      </c>
      <c r="BE167" s="1767">
        <v>0</v>
      </c>
      <c r="BF167" s="1767">
        <v>0</v>
      </c>
      <c r="BG167" s="1767">
        <v>0</v>
      </c>
      <c r="BH167" s="1767">
        <v>0</v>
      </c>
      <c r="BI167" s="1767">
        <v>0</v>
      </c>
      <c r="BJ167" s="1767">
        <v>0</v>
      </c>
      <c r="BK167" s="1767">
        <v>0</v>
      </c>
      <c r="BL167" s="1767">
        <v>0</v>
      </c>
      <c r="BM167" s="1767">
        <v>0</v>
      </c>
      <c r="BN167" s="1767">
        <v>0</v>
      </c>
      <c r="BO167" s="1767">
        <v>0</v>
      </c>
      <c r="BP167" s="1767">
        <v>0</v>
      </c>
      <c r="BQ167" s="1767">
        <v>0</v>
      </c>
      <c r="BR167" s="1767">
        <v>0</v>
      </c>
      <c r="BS167" s="1767">
        <v>0</v>
      </c>
      <c r="BT167" s="1767">
        <v>0</v>
      </c>
      <c r="BU167" s="1767">
        <v>0</v>
      </c>
      <c r="BV167" s="1767">
        <v>0</v>
      </c>
      <c r="BW167" s="1767">
        <v>0</v>
      </c>
      <c r="BX167" s="1767">
        <v>0</v>
      </c>
      <c r="BY167" s="1767">
        <v>0</v>
      </c>
      <c r="BZ167" s="1767">
        <v>0</v>
      </c>
      <c r="CA167" s="1767">
        <v>0</v>
      </c>
      <c r="CB167" s="1767">
        <v>0</v>
      </c>
      <c r="CC167" s="1767">
        <v>0</v>
      </c>
      <c r="CD167" s="1767">
        <v>0</v>
      </c>
      <c r="CE167" s="1767">
        <v>0</v>
      </c>
      <c r="CF167" s="1767">
        <v>0</v>
      </c>
      <c r="CG167" s="1767">
        <v>0</v>
      </c>
      <c r="CH167" s="1767">
        <v>0</v>
      </c>
      <c r="CI167" s="1767">
        <v>0</v>
      </c>
      <c r="CJ167" s="1767">
        <v>0</v>
      </c>
      <c r="CK167" s="1767">
        <v>0</v>
      </c>
      <c r="CL167" s="1767">
        <v>0</v>
      </c>
      <c r="CM167" s="1767">
        <v>0</v>
      </c>
      <c r="CN167" s="1767">
        <v>0</v>
      </c>
      <c r="CO167" s="1767">
        <v>0</v>
      </c>
      <c r="CP167" s="1767">
        <v>0</v>
      </c>
    </row>
    <row r="168" spans="1:94" ht="15" customHeight="1" x14ac:dyDescent="0.2">
      <c r="A168" s="1847"/>
      <c r="B168" s="1834"/>
      <c r="C168" s="663" t="s">
        <v>2122</v>
      </c>
      <c r="D168" s="936"/>
      <c r="E168" s="1837"/>
      <c r="F168" s="1225"/>
      <c r="G168" s="1767">
        <v>0</v>
      </c>
      <c r="H168" s="1767">
        <v>0</v>
      </c>
      <c r="I168" s="1767">
        <v>0</v>
      </c>
      <c r="J168" s="1767">
        <v>0</v>
      </c>
      <c r="K168" s="1767">
        <v>0</v>
      </c>
      <c r="L168" s="1767">
        <v>0</v>
      </c>
      <c r="M168" s="1767">
        <v>0</v>
      </c>
      <c r="N168" s="1767">
        <v>0</v>
      </c>
      <c r="O168" s="1767">
        <v>0</v>
      </c>
      <c r="P168" s="1767">
        <v>0</v>
      </c>
      <c r="Q168" s="1767">
        <v>0</v>
      </c>
      <c r="R168" s="1767">
        <v>0</v>
      </c>
      <c r="S168" s="1767">
        <v>0</v>
      </c>
      <c r="T168" s="1767">
        <v>0</v>
      </c>
      <c r="U168" s="1767">
        <v>0</v>
      </c>
      <c r="V168" s="1767">
        <v>0</v>
      </c>
      <c r="W168" s="1767">
        <v>0</v>
      </c>
      <c r="X168" s="1767">
        <v>0</v>
      </c>
      <c r="Y168" s="1767">
        <v>0</v>
      </c>
      <c r="Z168" s="1767">
        <v>0</v>
      </c>
      <c r="AA168" s="1767">
        <v>0</v>
      </c>
      <c r="AB168" s="1767">
        <v>0</v>
      </c>
      <c r="AC168" s="1767">
        <v>0</v>
      </c>
      <c r="AD168" s="1767">
        <v>0</v>
      </c>
      <c r="AE168" s="1767">
        <v>0</v>
      </c>
      <c r="AF168" s="1767">
        <v>0</v>
      </c>
      <c r="AG168" s="1767">
        <v>0</v>
      </c>
      <c r="AH168" s="1767">
        <v>0</v>
      </c>
      <c r="AI168" s="1767">
        <v>0</v>
      </c>
      <c r="AJ168" s="1767">
        <v>0</v>
      </c>
      <c r="AK168" s="1767">
        <v>0</v>
      </c>
      <c r="AL168" s="1767">
        <v>0</v>
      </c>
      <c r="AM168" s="1767">
        <v>0</v>
      </c>
      <c r="AN168" s="1767">
        <v>0</v>
      </c>
      <c r="AO168" s="1767">
        <v>0</v>
      </c>
      <c r="AP168" s="1767">
        <v>0</v>
      </c>
      <c r="AQ168" s="1767">
        <v>0</v>
      </c>
      <c r="AR168" s="1767">
        <v>0</v>
      </c>
      <c r="AS168" s="1767">
        <v>0</v>
      </c>
      <c r="AT168" s="1767">
        <v>0</v>
      </c>
      <c r="AU168" s="1767">
        <v>0</v>
      </c>
      <c r="AV168" s="1767">
        <v>0</v>
      </c>
      <c r="AW168" s="1767">
        <v>0</v>
      </c>
      <c r="AX168" s="1767">
        <v>0</v>
      </c>
      <c r="AY168" s="1767">
        <v>0</v>
      </c>
      <c r="AZ168" s="1767">
        <v>0</v>
      </c>
      <c r="BA168" s="1767">
        <v>0</v>
      </c>
      <c r="BB168" s="1767">
        <v>0</v>
      </c>
      <c r="BC168" s="1767">
        <v>0</v>
      </c>
      <c r="BD168" s="1767">
        <v>0</v>
      </c>
      <c r="BE168" s="1767">
        <v>0</v>
      </c>
      <c r="BF168" s="1767">
        <v>0</v>
      </c>
      <c r="BG168" s="1767">
        <v>0</v>
      </c>
      <c r="BH168" s="1767">
        <v>0</v>
      </c>
      <c r="BI168" s="1767">
        <v>0</v>
      </c>
      <c r="BJ168" s="1767">
        <v>0</v>
      </c>
      <c r="BK168" s="1767">
        <v>0</v>
      </c>
      <c r="BL168" s="1767">
        <v>0</v>
      </c>
      <c r="BM168" s="1767">
        <v>0</v>
      </c>
      <c r="BN168" s="1767">
        <v>0</v>
      </c>
      <c r="BO168" s="1767">
        <v>0</v>
      </c>
      <c r="BP168" s="1767">
        <v>0</v>
      </c>
      <c r="BQ168" s="1767">
        <v>0</v>
      </c>
      <c r="BR168" s="1767">
        <v>0</v>
      </c>
      <c r="BS168" s="1767">
        <v>0</v>
      </c>
      <c r="BT168" s="1767">
        <v>0</v>
      </c>
      <c r="BU168" s="1767">
        <v>0</v>
      </c>
      <c r="BV168" s="1767">
        <v>0</v>
      </c>
      <c r="BW168" s="1767">
        <v>0</v>
      </c>
      <c r="BX168" s="1767">
        <v>0</v>
      </c>
      <c r="BY168" s="1767">
        <v>0</v>
      </c>
      <c r="BZ168" s="1767">
        <v>0</v>
      </c>
      <c r="CA168" s="1767">
        <v>0</v>
      </c>
      <c r="CB168" s="1767">
        <v>0</v>
      </c>
      <c r="CC168" s="1767">
        <v>0</v>
      </c>
      <c r="CD168" s="1767">
        <v>0</v>
      </c>
      <c r="CE168" s="1767">
        <v>0</v>
      </c>
      <c r="CF168" s="1767">
        <v>0</v>
      </c>
      <c r="CG168" s="1767">
        <v>0</v>
      </c>
      <c r="CH168" s="1767">
        <v>0</v>
      </c>
      <c r="CI168" s="1767">
        <v>0</v>
      </c>
      <c r="CJ168" s="1767">
        <v>0</v>
      </c>
      <c r="CK168" s="1767">
        <v>0</v>
      </c>
      <c r="CL168" s="1767">
        <v>0</v>
      </c>
      <c r="CM168" s="1767">
        <v>0</v>
      </c>
      <c r="CN168" s="1767">
        <v>0</v>
      </c>
      <c r="CO168" s="1767">
        <v>0</v>
      </c>
      <c r="CP168" s="1767">
        <v>0</v>
      </c>
    </row>
    <row r="169" spans="1:94" ht="15" customHeight="1" x14ac:dyDescent="0.2">
      <c r="A169" s="1847"/>
      <c r="B169" s="1834"/>
      <c r="C169" s="663" t="s">
        <v>2123</v>
      </c>
      <c r="D169" s="936"/>
      <c r="E169" s="1837"/>
      <c r="F169" s="1225"/>
      <c r="G169" s="1767">
        <v>0</v>
      </c>
      <c r="H169" s="1767">
        <v>0</v>
      </c>
      <c r="I169" s="1767">
        <v>0</v>
      </c>
      <c r="J169" s="1767">
        <v>0</v>
      </c>
      <c r="K169" s="1767">
        <v>0</v>
      </c>
      <c r="L169" s="1767">
        <v>0</v>
      </c>
      <c r="M169" s="1767">
        <v>0</v>
      </c>
      <c r="N169" s="1767">
        <v>0</v>
      </c>
      <c r="O169" s="1767">
        <v>0</v>
      </c>
      <c r="P169" s="1767">
        <v>0</v>
      </c>
      <c r="Q169" s="1767">
        <v>0</v>
      </c>
      <c r="R169" s="1767">
        <v>0</v>
      </c>
      <c r="S169" s="1767">
        <v>0</v>
      </c>
      <c r="T169" s="1767">
        <v>0</v>
      </c>
      <c r="U169" s="1767">
        <v>0</v>
      </c>
      <c r="V169" s="1767">
        <v>0</v>
      </c>
      <c r="W169" s="1767">
        <v>0</v>
      </c>
      <c r="X169" s="1767">
        <v>0</v>
      </c>
      <c r="Y169" s="1767">
        <v>0</v>
      </c>
      <c r="Z169" s="1767">
        <v>0</v>
      </c>
      <c r="AA169" s="1767">
        <v>0</v>
      </c>
      <c r="AB169" s="1767">
        <v>0</v>
      </c>
      <c r="AC169" s="1767">
        <v>0</v>
      </c>
      <c r="AD169" s="1767">
        <v>0</v>
      </c>
      <c r="AE169" s="1767">
        <v>0</v>
      </c>
      <c r="AF169" s="1767">
        <v>0</v>
      </c>
      <c r="AG169" s="1767">
        <v>0</v>
      </c>
      <c r="AH169" s="1767">
        <v>0</v>
      </c>
      <c r="AI169" s="1767">
        <v>0</v>
      </c>
      <c r="AJ169" s="1767">
        <v>0</v>
      </c>
      <c r="AK169" s="1767">
        <v>0</v>
      </c>
      <c r="AL169" s="1767">
        <v>0</v>
      </c>
      <c r="AM169" s="1767">
        <v>0</v>
      </c>
      <c r="AN169" s="1767">
        <v>0</v>
      </c>
      <c r="AO169" s="1767">
        <v>0</v>
      </c>
      <c r="AP169" s="1767">
        <v>0</v>
      </c>
      <c r="AQ169" s="1767">
        <v>0</v>
      </c>
      <c r="AR169" s="1767">
        <v>0</v>
      </c>
      <c r="AS169" s="1767">
        <v>0</v>
      </c>
      <c r="AT169" s="1767">
        <v>0</v>
      </c>
      <c r="AU169" s="1767">
        <v>0</v>
      </c>
      <c r="AV169" s="1767">
        <v>0</v>
      </c>
      <c r="AW169" s="1767">
        <v>0</v>
      </c>
      <c r="AX169" s="1767">
        <v>0</v>
      </c>
      <c r="AY169" s="1767">
        <v>0</v>
      </c>
      <c r="AZ169" s="1767">
        <v>0</v>
      </c>
      <c r="BA169" s="1767">
        <v>0</v>
      </c>
      <c r="BB169" s="1767">
        <v>0</v>
      </c>
      <c r="BC169" s="1767">
        <v>0</v>
      </c>
      <c r="BD169" s="1767">
        <v>0</v>
      </c>
      <c r="BE169" s="1767">
        <v>0</v>
      </c>
      <c r="BF169" s="1767">
        <v>0</v>
      </c>
      <c r="BG169" s="1767">
        <v>0</v>
      </c>
      <c r="BH169" s="1767">
        <v>0</v>
      </c>
      <c r="BI169" s="1767">
        <v>0</v>
      </c>
      <c r="BJ169" s="1767">
        <v>0</v>
      </c>
      <c r="BK169" s="1767">
        <v>0</v>
      </c>
      <c r="BL169" s="1767">
        <v>0</v>
      </c>
      <c r="BM169" s="1767">
        <v>0</v>
      </c>
      <c r="BN169" s="1767">
        <v>0</v>
      </c>
      <c r="BO169" s="1767">
        <v>0</v>
      </c>
      <c r="BP169" s="1767">
        <v>0</v>
      </c>
      <c r="BQ169" s="1767">
        <v>0</v>
      </c>
      <c r="BR169" s="1767">
        <v>0</v>
      </c>
      <c r="BS169" s="1767">
        <v>0</v>
      </c>
      <c r="BT169" s="1767">
        <v>0</v>
      </c>
      <c r="BU169" s="1767">
        <v>0</v>
      </c>
      <c r="BV169" s="1767">
        <v>0</v>
      </c>
      <c r="BW169" s="1767">
        <v>0</v>
      </c>
      <c r="BX169" s="1767">
        <v>0</v>
      </c>
      <c r="BY169" s="1767">
        <v>0</v>
      </c>
      <c r="BZ169" s="1767">
        <v>0</v>
      </c>
      <c r="CA169" s="1767">
        <v>0</v>
      </c>
      <c r="CB169" s="1767">
        <v>0</v>
      </c>
      <c r="CC169" s="1767">
        <v>0</v>
      </c>
      <c r="CD169" s="1767">
        <v>0</v>
      </c>
      <c r="CE169" s="1767">
        <v>0</v>
      </c>
      <c r="CF169" s="1767">
        <v>0</v>
      </c>
      <c r="CG169" s="1767">
        <v>0</v>
      </c>
      <c r="CH169" s="1767">
        <v>0</v>
      </c>
      <c r="CI169" s="1767">
        <v>0</v>
      </c>
      <c r="CJ169" s="1767">
        <v>0</v>
      </c>
      <c r="CK169" s="1767">
        <v>0</v>
      </c>
      <c r="CL169" s="1767">
        <v>0</v>
      </c>
      <c r="CM169" s="1767">
        <v>0</v>
      </c>
      <c r="CN169" s="1767">
        <v>0</v>
      </c>
      <c r="CO169" s="1767">
        <v>0</v>
      </c>
      <c r="CP169" s="1767">
        <v>0</v>
      </c>
    </row>
    <row r="170" spans="1:94" ht="15" customHeight="1" x14ac:dyDescent="0.2">
      <c r="A170" s="1847"/>
      <c r="B170" s="1834"/>
      <c r="C170" s="663" t="s">
        <v>2124</v>
      </c>
      <c r="D170" s="936"/>
      <c r="E170" s="1837"/>
      <c r="F170" s="1225"/>
      <c r="G170" s="1767">
        <v>0</v>
      </c>
      <c r="H170" s="1767">
        <v>0</v>
      </c>
      <c r="I170" s="1767">
        <v>0</v>
      </c>
      <c r="J170" s="1767">
        <v>0</v>
      </c>
      <c r="K170" s="1767">
        <v>0</v>
      </c>
      <c r="L170" s="1767">
        <v>0</v>
      </c>
      <c r="M170" s="1767">
        <v>0</v>
      </c>
      <c r="N170" s="1767">
        <v>0</v>
      </c>
      <c r="O170" s="1767">
        <v>0</v>
      </c>
      <c r="P170" s="1767">
        <v>0</v>
      </c>
      <c r="Q170" s="1767">
        <v>0</v>
      </c>
      <c r="R170" s="1767">
        <v>0</v>
      </c>
      <c r="S170" s="1767">
        <v>0</v>
      </c>
      <c r="T170" s="1767">
        <v>0</v>
      </c>
      <c r="U170" s="1767">
        <v>0</v>
      </c>
      <c r="V170" s="1767">
        <v>0</v>
      </c>
      <c r="W170" s="1767">
        <v>0</v>
      </c>
      <c r="X170" s="1767">
        <v>0</v>
      </c>
      <c r="Y170" s="1767">
        <v>0</v>
      </c>
      <c r="Z170" s="1767">
        <v>0</v>
      </c>
      <c r="AA170" s="1767">
        <v>0</v>
      </c>
      <c r="AB170" s="1767">
        <v>0</v>
      </c>
      <c r="AC170" s="1767">
        <v>0</v>
      </c>
      <c r="AD170" s="1767">
        <v>0</v>
      </c>
      <c r="AE170" s="1767">
        <v>0</v>
      </c>
      <c r="AF170" s="1767">
        <v>0</v>
      </c>
      <c r="AG170" s="1767">
        <v>0</v>
      </c>
      <c r="AH170" s="1767">
        <v>0</v>
      </c>
      <c r="AI170" s="1767">
        <v>0</v>
      </c>
      <c r="AJ170" s="1767">
        <v>0</v>
      </c>
      <c r="AK170" s="1767">
        <v>0</v>
      </c>
      <c r="AL170" s="1767">
        <v>0</v>
      </c>
      <c r="AM170" s="1767">
        <v>0</v>
      </c>
      <c r="AN170" s="1767">
        <v>0</v>
      </c>
      <c r="AO170" s="1767">
        <v>0</v>
      </c>
      <c r="AP170" s="1767">
        <v>0</v>
      </c>
      <c r="AQ170" s="1767">
        <v>0</v>
      </c>
      <c r="AR170" s="1767">
        <v>0</v>
      </c>
      <c r="AS170" s="1767">
        <v>0</v>
      </c>
      <c r="AT170" s="1767">
        <v>0</v>
      </c>
      <c r="AU170" s="1767">
        <v>0</v>
      </c>
      <c r="AV170" s="1767">
        <v>0</v>
      </c>
      <c r="AW170" s="1767">
        <v>0</v>
      </c>
      <c r="AX170" s="1767">
        <v>0</v>
      </c>
      <c r="AY170" s="1767">
        <v>0</v>
      </c>
      <c r="AZ170" s="1767">
        <v>0</v>
      </c>
      <c r="BA170" s="1767">
        <v>0</v>
      </c>
      <c r="BB170" s="1767">
        <v>0</v>
      </c>
      <c r="BC170" s="1767">
        <v>0</v>
      </c>
      <c r="BD170" s="1767">
        <v>0</v>
      </c>
      <c r="BE170" s="1767">
        <v>0</v>
      </c>
      <c r="BF170" s="1767">
        <v>0</v>
      </c>
      <c r="BG170" s="1767">
        <v>0</v>
      </c>
      <c r="BH170" s="1767">
        <v>0</v>
      </c>
      <c r="BI170" s="1767">
        <v>0</v>
      </c>
      <c r="BJ170" s="1767">
        <v>0</v>
      </c>
      <c r="BK170" s="1767">
        <v>0</v>
      </c>
      <c r="BL170" s="1767">
        <v>0</v>
      </c>
      <c r="BM170" s="1767">
        <v>0</v>
      </c>
      <c r="BN170" s="1767">
        <v>0</v>
      </c>
      <c r="BO170" s="1767">
        <v>0</v>
      </c>
      <c r="BP170" s="1767">
        <v>0</v>
      </c>
      <c r="BQ170" s="1767">
        <v>0</v>
      </c>
      <c r="BR170" s="1767">
        <v>0</v>
      </c>
      <c r="BS170" s="1767">
        <v>0</v>
      </c>
      <c r="BT170" s="1767">
        <v>0</v>
      </c>
      <c r="BU170" s="1767">
        <v>0</v>
      </c>
      <c r="BV170" s="1767">
        <v>0</v>
      </c>
      <c r="BW170" s="1767">
        <v>0</v>
      </c>
      <c r="BX170" s="1767">
        <v>0</v>
      </c>
      <c r="BY170" s="1767">
        <v>0</v>
      </c>
      <c r="BZ170" s="1767">
        <v>0</v>
      </c>
      <c r="CA170" s="1767">
        <v>0</v>
      </c>
      <c r="CB170" s="1767">
        <v>0</v>
      </c>
      <c r="CC170" s="1767">
        <v>0</v>
      </c>
      <c r="CD170" s="1767">
        <v>0</v>
      </c>
      <c r="CE170" s="1767">
        <v>0</v>
      </c>
      <c r="CF170" s="1767">
        <v>0</v>
      </c>
      <c r="CG170" s="1767">
        <v>0</v>
      </c>
      <c r="CH170" s="1767">
        <v>0</v>
      </c>
      <c r="CI170" s="1767">
        <v>0</v>
      </c>
      <c r="CJ170" s="1767">
        <v>0</v>
      </c>
      <c r="CK170" s="1767">
        <v>0</v>
      </c>
      <c r="CL170" s="1767">
        <v>0</v>
      </c>
      <c r="CM170" s="1767">
        <v>0</v>
      </c>
      <c r="CN170" s="1767">
        <v>0</v>
      </c>
      <c r="CO170" s="1767">
        <v>0</v>
      </c>
      <c r="CP170" s="1767">
        <v>0</v>
      </c>
    </row>
    <row r="171" spans="1:94" ht="15" customHeight="1" thickBot="1" x14ac:dyDescent="0.25">
      <c r="A171" s="1847"/>
      <c r="B171" s="1834"/>
      <c r="C171" s="649" t="s">
        <v>1699</v>
      </c>
      <c r="D171" s="949"/>
      <c r="E171" s="1837"/>
      <c r="F171" s="1225"/>
      <c r="G171" s="1767">
        <v>0</v>
      </c>
      <c r="H171" s="1767">
        <v>0</v>
      </c>
      <c r="I171" s="1767">
        <v>0</v>
      </c>
      <c r="J171" s="1767">
        <v>0</v>
      </c>
      <c r="K171" s="1767">
        <v>0</v>
      </c>
      <c r="L171" s="1767">
        <v>0</v>
      </c>
      <c r="M171" s="1767">
        <v>0</v>
      </c>
      <c r="N171" s="1767">
        <v>0</v>
      </c>
      <c r="O171" s="1767">
        <v>0</v>
      </c>
      <c r="P171" s="1767">
        <v>0</v>
      </c>
      <c r="Q171" s="1767">
        <v>0</v>
      </c>
      <c r="R171" s="1767">
        <v>0</v>
      </c>
      <c r="S171" s="1767">
        <v>0</v>
      </c>
      <c r="T171" s="1767">
        <v>0</v>
      </c>
      <c r="U171" s="1767">
        <v>0</v>
      </c>
      <c r="V171" s="1767">
        <v>0</v>
      </c>
      <c r="W171" s="1767">
        <v>0</v>
      </c>
      <c r="X171" s="1767">
        <v>0</v>
      </c>
      <c r="Y171" s="1767">
        <v>0</v>
      </c>
      <c r="Z171" s="1767">
        <v>0</v>
      </c>
      <c r="AA171" s="1767">
        <v>0</v>
      </c>
      <c r="AB171" s="1767">
        <v>0</v>
      </c>
      <c r="AC171" s="1767">
        <v>0</v>
      </c>
      <c r="AD171" s="1767">
        <v>0</v>
      </c>
      <c r="AE171" s="1767">
        <v>0</v>
      </c>
      <c r="AF171" s="1767">
        <v>0</v>
      </c>
      <c r="AG171" s="1767">
        <v>0</v>
      </c>
      <c r="AH171" s="1767">
        <v>0</v>
      </c>
      <c r="AI171" s="1767">
        <v>0</v>
      </c>
      <c r="AJ171" s="1767">
        <v>0</v>
      </c>
      <c r="AK171" s="1767">
        <v>0</v>
      </c>
      <c r="AL171" s="1767">
        <v>0</v>
      </c>
      <c r="AM171" s="1767">
        <v>0</v>
      </c>
      <c r="AN171" s="1767">
        <v>0</v>
      </c>
      <c r="AO171" s="1767">
        <v>0</v>
      </c>
      <c r="AP171" s="1767">
        <v>0</v>
      </c>
      <c r="AQ171" s="1767">
        <v>0</v>
      </c>
      <c r="AR171" s="1767">
        <v>0</v>
      </c>
      <c r="AS171" s="1767">
        <v>0</v>
      </c>
      <c r="AT171" s="1767">
        <v>0</v>
      </c>
      <c r="AU171" s="1767">
        <v>0</v>
      </c>
      <c r="AV171" s="1767">
        <v>0</v>
      </c>
      <c r="AW171" s="1767">
        <v>0</v>
      </c>
      <c r="AX171" s="1767">
        <v>0</v>
      </c>
      <c r="AY171" s="1767">
        <v>0</v>
      </c>
      <c r="AZ171" s="1767">
        <v>0</v>
      </c>
      <c r="BA171" s="1767">
        <v>0</v>
      </c>
      <c r="BB171" s="1767">
        <v>0</v>
      </c>
      <c r="BC171" s="1767">
        <v>0</v>
      </c>
      <c r="BD171" s="1767">
        <v>0</v>
      </c>
      <c r="BE171" s="1767">
        <v>0</v>
      </c>
      <c r="BF171" s="1767">
        <v>0</v>
      </c>
      <c r="BG171" s="1767">
        <v>0</v>
      </c>
      <c r="BH171" s="1767">
        <v>0</v>
      </c>
      <c r="BI171" s="1767">
        <v>0</v>
      </c>
      <c r="BJ171" s="1767">
        <v>0</v>
      </c>
      <c r="BK171" s="1767">
        <v>0</v>
      </c>
      <c r="BL171" s="1767">
        <v>0</v>
      </c>
      <c r="BM171" s="1767">
        <v>0</v>
      </c>
      <c r="BN171" s="1767">
        <v>0</v>
      </c>
      <c r="BO171" s="1767">
        <v>0</v>
      </c>
      <c r="BP171" s="1767">
        <v>0</v>
      </c>
      <c r="BQ171" s="1767">
        <v>0</v>
      </c>
      <c r="BR171" s="1767">
        <v>0</v>
      </c>
      <c r="BS171" s="1767">
        <v>0</v>
      </c>
      <c r="BT171" s="1767">
        <v>0</v>
      </c>
      <c r="BU171" s="1767">
        <v>0</v>
      </c>
      <c r="BV171" s="1767">
        <v>0</v>
      </c>
      <c r="BW171" s="1767">
        <v>0</v>
      </c>
      <c r="BX171" s="1767">
        <v>0</v>
      </c>
      <c r="BY171" s="1767">
        <v>0</v>
      </c>
      <c r="BZ171" s="1767">
        <v>0</v>
      </c>
      <c r="CA171" s="1767">
        <v>0</v>
      </c>
      <c r="CB171" s="1767">
        <v>0</v>
      </c>
      <c r="CC171" s="1767">
        <v>0</v>
      </c>
      <c r="CD171" s="1767">
        <v>0</v>
      </c>
      <c r="CE171" s="1767">
        <v>0</v>
      </c>
      <c r="CF171" s="1767">
        <v>0</v>
      </c>
      <c r="CG171" s="1767">
        <v>0</v>
      </c>
      <c r="CH171" s="1767">
        <v>0</v>
      </c>
      <c r="CI171" s="1767">
        <v>0</v>
      </c>
      <c r="CJ171" s="1767">
        <v>0</v>
      </c>
      <c r="CK171" s="1767">
        <v>0</v>
      </c>
      <c r="CL171" s="1767">
        <v>0</v>
      </c>
      <c r="CM171" s="1767">
        <v>0</v>
      </c>
      <c r="CN171" s="1767">
        <v>0</v>
      </c>
      <c r="CO171" s="1767">
        <v>0</v>
      </c>
      <c r="CP171" s="1767">
        <v>0</v>
      </c>
    </row>
    <row r="172" spans="1:94" ht="45" customHeight="1" thickBot="1" x14ac:dyDescent="0.25">
      <c r="A172" s="651" t="s">
        <v>1307</v>
      </c>
      <c r="B172" s="716" t="s">
        <v>856</v>
      </c>
      <c r="C172" s="1779" t="s">
        <v>2525</v>
      </c>
      <c r="D172" s="951"/>
      <c r="E172" s="828" t="s">
        <v>1819</v>
      </c>
      <c r="F172" s="1225"/>
      <c r="G172" s="1767">
        <v>0</v>
      </c>
      <c r="H172" s="1767">
        <v>0</v>
      </c>
      <c r="I172" s="1767">
        <v>0</v>
      </c>
      <c r="J172" s="1767">
        <v>0</v>
      </c>
      <c r="K172" s="1767">
        <v>0</v>
      </c>
      <c r="L172" s="1767">
        <v>0</v>
      </c>
      <c r="M172" s="1767">
        <v>0</v>
      </c>
      <c r="N172" s="1767">
        <v>0</v>
      </c>
      <c r="O172" s="1767">
        <v>0</v>
      </c>
      <c r="P172" s="1767">
        <v>0</v>
      </c>
      <c r="Q172" s="1767">
        <v>0</v>
      </c>
      <c r="R172" s="1767">
        <v>0</v>
      </c>
      <c r="S172" s="1767">
        <v>0</v>
      </c>
      <c r="T172" s="1767">
        <v>0</v>
      </c>
      <c r="U172" s="1767">
        <v>0</v>
      </c>
      <c r="V172" s="1767">
        <v>0</v>
      </c>
      <c r="W172" s="1767">
        <v>0</v>
      </c>
      <c r="X172" s="1767">
        <v>0</v>
      </c>
      <c r="Y172" s="1767">
        <v>0</v>
      </c>
      <c r="Z172" s="1767">
        <v>0</v>
      </c>
      <c r="AA172" s="1767">
        <v>0</v>
      </c>
      <c r="AB172" s="1767">
        <v>0</v>
      </c>
      <c r="AC172" s="1767">
        <v>0</v>
      </c>
      <c r="AD172" s="1767">
        <v>0</v>
      </c>
      <c r="AE172" s="1767">
        <v>0</v>
      </c>
      <c r="AF172" s="1767">
        <v>0</v>
      </c>
      <c r="AG172" s="1767">
        <v>0</v>
      </c>
      <c r="AH172" s="1767">
        <v>0</v>
      </c>
      <c r="AI172" s="1767">
        <v>0</v>
      </c>
      <c r="AJ172" s="1767">
        <v>0</v>
      </c>
      <c r="AK172" s="1767">
        <v>0</v>
      </c>
      <c r="AL172" s="1767">
        <v>0</v>
      </c>
      <c r="AM172" s="1767">
        <v>0</v>
      </c>
      <c r="AN172" s="1767">
        <v>0</v>
      </c>
      <c r="AO172" s="1767">
        <v>0</v>
      </c>
      <c r="AP172" s="1767">
        <v>0</v>
      </c>
      <c r="AQ172" s="1767">
        <v>0</v>
      </c>
      <c r="AR172" s="1767">
        <v>0</v>
      </c>
      <c r="AS172" s="1767">
        <v>0</v>
      </c>
      <c r="AT172" s="1767">
        <v>0</v>
      </c>
      <c r="AU172" s="1767">
        <v>0</v>
      </c>
      <c r="AV172" s="1767">
        <v>0</v>
      </c>
      <c r="AW172" s="1767">
        <v>0</v>
      </c>
      <c r="AX172" s="1767">
        <v>0</v>
      </c>
      <c r="AY172" s="1767">
        <v>0</v>
      </c>
      <c r="AZ172" s="1767">
        <v>0</v>
      </c>
      <c r="BA172" s="1767">
        <v>0</v>
      </c>
      <c r="BB172" s="1767">
        <v>0</v>
      </c>
      <c r="BC172" s="1767">
        <v>0</v>
      </c>
      <c r="BD172" s="1767">
        <v>0</v>
      </c>
      <c r="BE172" s="1767">
        <v>0</v>
      </c>
      <c r="BF172" s="1767">
        <v>0</v>
      </c>
      <c r="BG172" s="1767">
        <v>0</v>
      </c>
      <c r="BH172" s="1767">
        <v>0</v>
      </c>
      <c r="BI172" s="1767">
        <v>0</v>
      </c>
      <c r="BJ172" s="1767">
        <v>0</v>
      </c>
      <c r="BK172" s="1767">
        <v>0</v>
      </c>
      <c r="BL172" s="1767">
        <v>0</v>
      </c>
      <c r="BM172" s="1767">
        <v>0</v>
      </c>
      <c r="BN172" s="1767">
        <v>0</v>
      </c>
      <c r="BO172" s="1767">
        <v>0</v>
      </c>
      <c r="BP172" s="1767">
        <v>0</v>
      </c>
      <c r="BQ172" s="1767">
        <v>0</v>
      </c>
      <c r="BR172" s="1767">
        <v>0</v>
      </c>
      <c r="BS172" s="1767">
        <v>0</v>
      </c>
      <c r="BT172" s="1767">
        <v>0</v>
      </c>
      <c r="BU172" s="1767">
        <v>0</v>
      </c>
      <c r="BV172" s="1767">
        <v>0</v>
      </c>
      <c r="BW172" s="1767">
        <v>0</v>
      </c>
      <c r="BX172" s="1767">
        <v>0</v>
      </c>
      <c r="BY172" s="1767">
        <v>0</v>
      </c>
      <c r="BZ172" s="1767">
        <v>0</v>
      </c>
      <c r="CA172" s="1767">
        <v>0</v>
      </c>
      <c r="CB172" s="1767">
        <v>0</v>
      </c>
      <c r="CC172" s="1767">
        <v>0</v>
      </c>
      <c r="CD172" s="1767">
        <v>0</v>
      </c>
      <c r="CE172" s="1767">
        <v>0</v>
      </c>
      <c r="CF172" s="1767">
        <v>0</v>
      </c>
      <c r="CG172" s="1767">
        <v>0</v>
      </c>
      <c r="CH172" s="1767">
        <v>0</v>
      </c>
      <c r="CI172" s="1767">
        <v>0</v>
      </c>
      <c r="CJ172" s="1767">
        <v>0</v>
      </c>
      <c r="CK172" s="1767">
        <v>0</v>
      </c>
      <c r="CL172" s="1767">
        <v>0</v>
      </c>
      <c r="CM172" s="1767">
        <v>0</v>
      </c>
      <c r="CN172" s="1767">
        <v>0</v>
      </c>
      <c r="CO172" s="1767">
        <v>0</v>
      </c>
      <c r="CP172" s="1767">
        <v>0</v>
      </c>
    </row>
    <row r="173" spans="1:94" ht="30" customHeight="1" thickBot="1" x14ac:dyDescent="0.25">
      <c r="A173" s="1849" t="s">
        <v>1308</v>
      </c>
      <c r="B173" s="1846" t="s">
        <v>857</v>
      </c>
      <c r="C173" s="1777" t="s">
        <v>2526</v>
      </c>
      <c r="D173" s="947"/>
      <c r="E173" s="1830" t="s">
        <v>2378</v>
      </c>
      <c r="F173" s="1225"/>
      <c r="G173" s="1742"/>
      <c r="H173" s="1742"/>
      <c r="I173" s="1742"/>
      <c r="J173" s="1742"/>
      <c r="K173" s="1742"/>
      <c r="L173" s="1742"/>
      <c r="M173" s="1742"/>
      <c r="N173" s="1742"/>
      <c r="O173" s="1742"/>
      <c r="P173" s="1742"/>
      <c r="Q173" s="1742"/>
      <c r="R173" s="1742"/>
      <c r="S173" s="1742"/>
      <c r="T173" s="1742"/>
      <c r="U173" s="1742"/>
      <c r="V173" s="1742"/>
      <c r="W173" s="1742"/>
      <c r="X173" s="1742"/>
      <c r="Y173" s="1742"/>
      <c r="Z173" s="1742"/>
      <c r="AA173" s="1742"/>
      <c r="AB173" s="1742"/>
      <c r="AC173" s="1742"/>
      <c r="AD173" s="1742"/>
      <c r="AE173" s="1742"/>
      <c r="AF173" s="1742"/>
      <c r="AG173" s="1742"/>
      <c r="AH173" s="1742"/>
      <c r="AI173" s="1742"/>
      <c r="AJ173" s="1742"/>
      <c r="AK173" s="1742"/>
      <c r="AL173" s="1742"/>
      <c r="AM173" s="1742"/>
      <c r="AN173" s="1742"/>
      <c r="AO173" s="1742"/>
      <c r="AP173" s="1742"/>
      <c r="AQ173" s="1742"/>
      <c r="AR173" s="1742"/>
      <c r="AS173" s="1742"/>
      <c r="AT173" s="1742"/>
      <c r="AU173" s="1742"/>
      <c r="AV173" s="1742"/>
      <c r="AW173" s="1742"/>
      <c r="AX173" s="1742"/>
      <c r="AY173" s="1742"/>
      <c r="AZ173" s="1742"/>
      <c r="BA173" s="1742"/>
      <c r="BB173" s="1742"/>
      <c r="BC173" s="1742"/>
      <c r="BD173" s="1742"/>
      <c r="BE173" s="1742"/>
      <c r="BF173" s="1742"/>
      <c r="BG173" s="1742"/>
      <c r="BH173" s="1742"/>
      <c r="BI173" s="1742"/>
      <c r="BJ173" s="1742"/>
      <c r="BK173" s="1742"/>
      <c r="BL173" s="1742"/>
      <c r="BM173" s="1742"/>
      <c r="BN173" s="1742"/>
      <c r="BO173" s="1742"/>
      <c r="BP173" s="1742"/>
      <c r="BQ173" s="1742"/>
      <c r="BR173" s="1742"/>
      <c r="BS173" s="1742"/>
      <c r="BT173" s="1742"/>
      <c r="BU173" s="1742"/>
      <c r="BV173" s="1742"/>
      <c r="BW173" s="1742"/>
      <c r="BX173" s="1742"/>
      <c r="BY173" s="1742"/>
      <c r="BZ173" s="1742"/>
      <c r="CA173" s="1742"/>
      <c r="CB173" s="1742"/>
      <c r="CC173" s="1742"/>
      <c r="CD173" s="1742"/>
      <c r="CE173" s="1742"/>
      <c r="CF173" s="1742"/>
      <c r="CG173" s="1742"/>
      <c r="CH173" s="1742"/>
      <c r="CI173" s="1742"/>
      <c r="CJ173" s="1742"/>
      <c r="CK173" s="1742"/>
      <c r="CL173" s="1742"/>
      <c r="CM173" s="1742"/>
      <c r="CN173" s="1742"/>
      <c r="CO173" s="1742"/>
      <c r="CP173" s="1742"/>
    </row>
    <row r="174" spans="1:94" ht="29.25" x14ac:dyDescent="0.2">
      <c r="A174" s="1847"/>
      <c r="B174" s="1856"/>
      <c r="C174" s="652" t="s">
        <v>2362</v>
      </c>
      <c r="D174" s="936"/>
      <c r="E174" s="1831"/>
      <c r="F174" s="1225"/>
      <c r="G174" s="1767">
        <v>0</v>
      </c>
      <c r="H174" s="1767">
        <v>0</v>
      </c>
      <c r="I174" s="1767">
        <v>0</v>
      </c>
      <c r="J174" s="1767">
        <v>0</v>
      </c>
      <c r="K174" s="1767">
        <v>0</v>
      </c>
      <c r="L174" s="1767">
        <v>0</v>
      </c>
      <c r="M174" s="1767">
        <v>0</v>
      </c>
      <c r="N174" s="1767">
        <v>0</v>
      </c>
      <c r="O174" s="1767">
        <v>0</v>
      </c>
      <c r="P174" s="1767">
        <v>0</v>
      </c>
      <c r="Q174" s="1767">
        <v>0</v>
      </c>
      <c r="R174" s="1767">
        <v>0</v>
      </c>
      <c r="S174" s="1767">
        <v>0</v>
      </c>
      <c r="T174" s="1767">
        <v>0</v>
      </c>
      <c r="U174" s="1767">
        <v>0</v>
      </c>
      <c r="V174" s="1767">
        <v>0</v>
      </c>
      <c r="W174" s="1767">
        <v>0</v>
      </c>
      <c r="X174" s="1767">
        <v>0</v>
      </c>
      <c r="Y174" s="1767">
        <v>0</v>
      </c>
      <c r="Z174" s="1767">
        <v>0</v>
      </c>
      <c r="AA174" s="1767">
        <v>0</v>
      </c>
      <c r="AB174" s="1767">
        <v>0</v>
      </c>
      <c r="AC174" s="1767">
        <v>0</v>
      </c>
      <c r="AD174" s="1767">
        <v>0</v>
      </c>
      <c r="AE174" s="1767">
        <v>0</v>
      </c>
      <c r="AF174" s="1767">
        <v>0</v>
      </c>
      <c r="AG174" s="1767">
        <v>0</v>
      </c>
      <c r="AH174" s="1767">
        <v>0</v>
      </c>
      <c r="AI174" s="1767">
        <v>0</v>
      </c>
      <c r="AJ174" s="1767">
        <v>0</v>
      </c>
      <c r="AK174" s="1767">
        <v>0</v>
      </c>
      <c r="AL174" s="1767">
        <v>0</v>
      </c>
      <c r="AM174" s="1767">
        <v>0</v>
      </c>
      <c r="AN174" s="1767">
        <v>0</v>
      </c>
      <c r="AO174" s="1767">
        <v>0</v>
      </c>
      <c r="AP174" s="1767">
        <v>0</v>
      </c>
      <c r="AQ174" s="1767">
        <v>0</v>
      </c>
      <c r="AR174" s="1767">
        <v>0</v>
      </c>
      <c r="AS174" s="1767">
        <v>0</v>
      </c>
      <c r="AT174" s="1767">
        <v>0</v>
      </c>
      <c r="AU174" s="1767">
        <v>0</v>
      </c>
      <c r="AV174" s="1767">
        <v>0</v>
      </c>
      <c r="AW174" s="1767">
        <v>0</v>
      </c>
      <c r="AX174" s="1767">
        <v>0</v>
      </c>
      <c r="AY174" s="1767">
        <v>0</v>
      </c>
      <c r="AZ174" s="1767">
        <v>0</v>
      </c>
      <c r="BA174" s="1767">
        <v>0</v>
      </c>
      <c r="BB174" s="1767">
        <v>0</v>
      </c>
      <c r="BC174" s="1767">
        <v>0</v>
      </c>
      <c r="BD174" s="1767">
        <v>0</v>
      </c>
      <c r="BE174" s="1767">
        <v>0</v>
      </c>
      <c r="BF174" s="1767">
        <v>0</v>
      </c>
      <c r="BG174" s="1767">
        <v>0</v>
      </c>
      <c r="BH174" s="1767">
        <v>0</v>
      </c>
      <c r="BI174" s="1767">
        <v>0</v>
      </c>
      <c r="BJ174" s="1767">
        <v>0</v>
      </c>
      <c r="BK174" s="1767">
        <v>0</v>
      </c>
      <c r="BL174" s="1767">
        <v>0</v>
      </c>
      <c r="BM174" s="1767">
        <v>0</v>
      </c>
      <c r="BN174" s="1767">
        <v>0</v>
      </c>
      <c r="BO174" s="1767">
        <v>0</v>
      </c>
      <c r="BP174" s="1767">
        <v>0</v>
      </c>
      <c r="BQ174" s="1767">
        <v>0</v>
      </c>
      <c r="BR174" s="1767">
        <v>0</v>
      </c>
      <c r="BS174" s="1767">
        <v>0</v>
      </c>
      <c r="BT174" s="1767">
        <v>0</v>
      </c>
      <c r="BU174" s="1767">
        <v>0</v>
      </c>
      <c r="BV174" s="1767">
        <v>0</v>
      </c>
      <c r="BW174" s="1767">
        <v>0</v>
      </c>
      <c r="BX174" s="1767">
        <v>0</v>
      </c>
      <c r="BY174" s="1767">
        <v>0</v>
      </c>
      <c r="BZ174" s="1767">
        <v>0</v>
      </c>
      <c r="CA174" s="1767">
        <v>0</v>
      </c>
      <c r="CB174" s="1767">
        <v>0</v>
      </c>
      <c r="CC174" s="1767">
        <v>0</v>
      </c>
      <c r="CD174" s="1767">
        <v>0</v>
      </c>
      <c r="CE174" s="1767">
        <v>0</v>
      </c>
      <c r="CF174" s="1767">
        <v>0</v>
      </c>
      <c r="CG174" s="1767">
        <v>0</v>
      </c>
      <c r="CH174" s="1767">
        <v>0</v>
      </c>
      <c r="CI174" s="1767">
        <v>0</v>
      </c>
      <c r="CJ174" s="1767">
        <v>0</v>
      </c>
      <c r="CK174" s="1767">
        <v>0</v>
      </c>
      <c r="CL174" s="1767">
        <v>0</v>
      </c>
      <c r="CM174" s="1767">
        <v>0</v>
      </c>
      <c r="CN174" s="1767">
        <v>0</v>
      </c>
      <c r="CO174" s="1767">
        <v>0</v>
      </c>
      <c r="CP174" s="1767">
        <v>0</v>
      </c>
    </row>
    <row r="175" spans="1:94" ht="15" customHeight="1" x14ac:dyDescent="0.2">
      <c r="A175" s="1847"/>
      <c r="B175" s="1856"/>
      <c r="C175" s="653" t="s">
        <v>2363</v>
      </c>
      <c r="D175" s="936"/>
      <c r="E175" s="1831"/>
      <c r="F175" s="1225"/>
      <c r="G175" s="1767">
        <v>0</v>
      </c>
      <c r="H175" s="1767">
        <v>0</v>
      </c>
      <c r="I175" s="1767">
        <v>0</v>
      </c>
      <c r="J175" s="1767">
        <v>0</v>
      </c>
      <c r="K175" s="1767">
        <v>0</v>
      </c>
      <c r="L175" s="1767">
        <v>0</v>
      </c>
      <c r="M175" s="1767">
        <v>0</v>
      </c>
      <c r="N175" s="1767">
        <v>0</v>
      </c>
      <c r="O175" s="1767">
        <v>0</v>
      </c>
      <c r="P175" s="1767">
        <v>0</v>
      </c>
      <c r="Q175" s="1767">
        <v>0</v>
      </c>
      <c r="R175" s="1767">
        <v>0</v>
      </c>
      <c r="S175" s="1767">
        <v>0</v>
      </c>
      <c r="T175" s="1767">
        <v>0</v>
      </c>
      <c r="U175" s="1767">
        <v>0</v>
      </c>
      <c r="V175" s="1767">
        <v>0</v>
      </c>
      <c r="W175" s="1767">
        <v>0</v>
      </c>
      <c r="X175" s="1767">
        <v>0</v>
      </c>
      <c r="Y175" s="1767">
        <v>0</v>
      </c>
      <c r="Z175" s="1767">
        <v>0</v>
      </c>
      <c r="AA175" s="1767">
        <v>0</v>
      </c>
      <c r="AB175" s="1767">
        <v>0</v>
      </c>
      <c r="AC175" s="1767">
        <v>0</v>
      </c>
      <c r="AD175" s="1767">
        <v>0</v>
      </c>
      <c r="AE175" s="1767">
        <v>0</v>
      </c>
      <c r="AF175" s="1767">
        <v>0</v>
      </c>
      <c r="AG175" s="1767">
        <v>0</v>
      </c>
      <c r="AH175" s="1767">
        <v>0</v>
      </c>
      <c r="AI175" s="1767">
        <v>0</v>
      </c>
      <c r="AJ175" s="1767">
        <v>0</v>
      </c>
      <c r="AK175" s="1767">
        <v>0</v>
      </c>
      <c r="AL175" s="1767">
        <v>0</v>
      </c>
      <c r="AM175" s="1767">
        <v>0</v>
      </c>
      <c r="AN175" s="1767">
        <v>0</v>
      </c>
      <c r="AO175" s="1767">
        <v>0</v>
      </c>
      <c r="AP175" s="1767">
        <v>0</v>
      </c>
      <c r="AQ175" s="1767">
        <v>0</v>
      </c>
      <c r="AR175" s="1767">
        <v>0</v>
      </c>
      <c r="AS175" s="1767">
        <v>0</v>
      </c>
      <c r="AT175" s="1767">
        <v>0</v>
      </c>
      <c r="AU175" s="1767">
        <v>0</v>
      </c>
      <c r="AV175" s="1767">
        <v>0</v>
      </c>
      <c r="AW175" s="1767">
        <v>0</v>
      </c>
      <c r="AX175" s="1767">
        <v>0</v>
      </c>
      <c r="AY175" s="1767">
        <v>0</v>
      </c>
      <c r="AZ175" s="1767">
        <v>0</v>
      </c>
      <c r="BA175" s="1767">
        <v>0</v>
      </c>
      <c r="BB175" s="1767">
        <v>0</v>
      </c>
      <c r="BC175" s="1767">
        <v>0</v>
      </c>
      <c r="BD175" s="1767">
        <v>0</v>
      </c>
      <c r="BE175" s="1767">
        <v>0</v>
      </c>
      <c r="BF175" s="1767">
        <v>0</v>
      </c>
      <c r="BG175" s="1767">
        <v>0</v>
      </c>
      <c r="BH175" s="1767">
        <v>0</v>
      </c>
      <c r="BI175" s="1767">
        <v>0</v>
      </c>
      <c r="BJ175" s="1767">
        <v>0</v>
      </c>
      <c r="BK175" s="1767">
        <v>0</v>
      </c>
      <c r="BL175" s="1767">
        <v>0</v>
      </c>
      <c r="BM175" s="1767">
        <v>0</v>
      </c>
      <c r="BN175" s="1767">
        <v>0</v>
      </c>
      <c r="BO175" s="1767">
        <v>0</v>
      </c>
      <c r="BP175" s="1767">
        <v>0</v>
      </c>
      <c r="BQ175" s="1767">
        <v>0</v>
      </c>
      <c r="BR175" s="1767">
        <v>0</v>
      </c>
      <c r="BS175" s="1767">
        <v>0</v>
      </c>
      <c r="BT175" s="1767">
        <v>0</v>
      </c>
      <c r="BU175" s="1767">
        <v>0</v>
      </c>
      <c r="BV175" s="1767">
        <v>0</v>
      </c>
      <c r="BW175" s="1767">
        <v>0</v>
      </c>
      <c r="BX175" s="1767">
        <v>0</v>
      </c>
      <c r="BY175" s="1767">
        <v>0</v>
      </c>
      <c r="BZ175" s="1767">
        <v>0</v>
      </c>
      <c r="CA175" s="1767">
        <v>0</v>
      </c>
      <c r="CB175" s="1767">
        <v>0</v>
      </c>
      <c r="CC175" s="1767">
        <v>0</v>
      </c>
      <c r="CD175" s="1767">
        <v>0</v>
      </c>
      <c r="CE175" s="1767">
        <v>0</v>
      </c>
      <c r="CF175" s="1767">
        <v>0</v>
      </c>
      <c r="CG175" s="1767">
        <v>0</v>
      </c>
      <c r="CH175" s="1767">
        <v>0</v>
      </c>
      <c r="CI175" s="1767">
        <v>0</v>
      </c>
      <c r="CJ175" s="1767">
        <v>0</v>
      </c>
      <c r="CK175" s="1767">
        <v>0</v>
      </c>
      <c r="CL175" s="1767">
        <v>0</v>
      </c>
      <c r="CM175" s="1767">
        <v>0</v>
      </c>
      <c r="CN175" s="1767">
        <v>0</v>
      </c>
      <c r="CO175" s="1767">
        <v>0</v>
      </c>
      <c r="CP175" s="1767">
        <v>0</v>
      </c>
    </row>
    <row r="176" spans="1:94" ht="15" customHeight="1" x14ac:dyDescent="0.2">
      <c r="A176" s="1847"/>
      <c r="B176" s="1856"/>
      <c r="C176" s="653" t="s">
        <v>545</v>
      </c>
      <c r="D176" s="936"/>
      <c r="E176" s="1831"/>
      <c r="F176" s="1225"/>
      <c r="G176" s="1767">
        <v>0</v>
      </c>
      <c r="H176" s="1767">
        <v>0</v>
      </c>
      <c r="I176" s="1767">
        <v>0</v>
      </c>
      <c r="J176" s="1767">
        <v>0</v>
      </c>
      <c r="K176" s="1767">
        <v>0</v>
      </c>
      <c r="L176" s="1767">
        <v>0</v>
      </c>
      <c r="M176" s="1767">
        <v>0</v>
      </c>
      <c r="N176" s="1767">
        <v>0</v>
      </c>
      <c r="O176" s="1767">
        <v>0</v>
      </c>
      <c r="P176" s="1767">
        <v>0</v>
      </c>
      <c r="Q176" s="1767">
        <v>0</v>
      </c>
      <c r="R176" s="1767">
        <v>0</v>
      </c>
      <c r="S176" s="1767">
        <v>0</v>
      </c>
      <c r="T176" s="1767">
        <v>0</v>
      </c>
      <c r="U176" s="1767">
        <v>0</v>
      </c>
      <c r="V176" s="1767">
        <v>0</v>
      </c>
      <c r="W176" s="1767">
        <v>0</v>
      </c>
      <c r="X176" s="1767">
        <v>0</v>
      </c>
      <c r="Y176" s="1767">
        <v>0</v>
      </c>
      <c r="Z176" s="1767">
        <v>0</v>
      </c>
      <c r="AA176" s="1767">
        <v>0</v>
      </c>
      <c r="AB176" s="1767">
        <v>0</v>
      </c>
      <c r="AC176" s="1767">
        <v>0</v>
      </c>
      <c r="AD176" s="1767">
        <v>0</v>
      </c>
      <c r="AE176" s="1767">
        <v>0</v>
      </c>
      <c r="AF176" s="1767">
        <v>0</v>
      </c>
      <c r="AG176" s="1767">
        <v>0</v>
      </c>
      <c r="AH176" s="1767">
        <v>0</v>
      </c>
      <c r="AI176" s="1767">
        <v>0</v>
      </c>
      <c r="AJ176" s="1767">
        <v>0</v>
      </c>
      <c r="AK176" s="1767">
        <v>0</v>
      </c>
      <c r="AL176" s="1767">
        <v>0</v>
      </c>
      <c r="AM176" s="1767">
        <v>0</v>
      </c>
      <c r="AN176" s="1767">
        <v>0</v>
      </c>
      <c r="AO176" s="1767">
        <v>0</v>
      </c>
      <c r="AP176" s="1767">
        <v>0</v>
      </c>
      <c r="AQ176" s="1767">
        <v>0</v>
      </c>
      <c r="AR176" s="1767">
        <v>0</v>
      </c>
      <c r="AS176" s="1767">
        <v>0</v>
      </c>
      <c r="AT176" s="1767">
        <v>0</v>
      </c>
      <c r="AU176" s="1767">
        <v>0</v>
      </c>
      <c r="AV176" s="1767">
        <v>0</v>
      </c>
      <c r="AW176" s="1767">
        <v>0</v>
      </c>
      <c r="AX176" s="1767">
        <v>0</v>
      </c>
      <c r="AY176" s="1767">
        <v>0</v>
      </c>
      <c r="AZ176" s="1767">
        <v>0</v>
      </c>
      <c r="BA176" s="1767">
        <v>0</v>
      </c>
      <c r="BB176" s="1767">
        <v>0</v>
      </c>
      <c r="BC176" s="1767">
        <v>0</v>
      </c>
      <c r="BD176" s="1767">
        <v>0</v>
      </c>
      <c r="BE176" s="1767">
        <v>0</v>
      </c>
      <c r="BF176" s="1767">
        <v>0</v>
      </c>
      <c r="BG176" s="1767">
        <v>0</v>
      </c>
      <c r="BH176" s="1767">
        <v>0</v>
      </c>
      <c r="BI176" s="1767">
        <v>0</v>
      </c>
      <c r="BJ176" s="1767">
        <v>0</v>
      </c>
      <c r="BK176" s="1767">
        <v>0</v>
      </c>
      <c r="BL176" s="1767">
        <v>0</v>
      </c>
      <c r="BM176" s="1767">
        <v>0</v>
      </c>
      <c r="BN176" s="1767">
        <v>0</v>
      </c>
      <c r="BO176" s="1767">
        <v>0</v>
      </c>
      <c r="BP176" s="1767">
        <v>0</v>
      </c>
      <c r="BQ176" s="1767">
        <v>0</v>
      </c>
      <c r="BR176" s="1767">
        <v>0</v>
      </c>
      <c r="BS176" s="1767">
        <v>0</v>
      </c>
      <c r="BT176" s="1767">
        <v>0</v>
      </c>
      <c r="BU176" s="1767">
        <v>0</v>
      </c>
      <c r="BV176" s="1767">
        <v>0</v>
      </c>
      <c r="BW176" s="1767">
        <v>0</v>
      </c>
      <c r="BX176" s="1767">
        <v>0</v>
      </c>
      <c r="BY176" s="1767">
        <v>0</v>
      </c>
      <c r="BZ176" s="1767">
        <v>0</v>
      </c>
      <c r="CA176" s="1767">
        <v>0</v>
      </c>
      <c r="CB176" s="1767">
        <v>0</v>
      </c>
      <c r="CC176" s="1767">
        <v>0</v>
      </c>
      <c r="CD176" s="1767">
        <v>0</v>
      </c>
      <c r="CE176" s="1767">
        <v>0</v>
      </c>
      <c r="CF176" s="1767">
        <v>0</v>
      </c>
      <c r="CG176" s="1767">
        <v>0</v>
      </c>
      <c r="CH176" s="1767">
        <v>0</v>
      </c>
      <c r="CI176" s="1767">
        <v>0</v>
      </c>
      <c r="CJ176" s="1767">
        <v>0</v>
      </c>
      <c r="CK176" s="1767">
        <v>0</v>
      </c>
      <c r="CL176" s="1767">
        <v>0</v>
      </c>
      <c r="CM176" s="1767">
        <v>0</v>
      </c>
      <c r="CN176" s="1767">
        <v>0</v>
      </c>
      <c r="CO176" s="1767">
        <v>0</v>
      </c>
      <c r="CP176" s="1767">
        <v>0</v>
      </c>
    </row>
    <row r="177" spans="1:94" ht="15" customHeight="1" x14ac:dyDescent="0.2">
      <c r="A177" s="1847"/>
      <c r="B177" s="1856"/>
      <c r="C177" s="653" t="s">
        <v>546</v>
      </c>
      <c r="D177" s="936"/>
      <c r="E177" s="1831"/>
      <c r="F177" s="1225"/>
      <c r="G177" s="1767">
        <v>0</v>
      </c>
      <c r="H177" s="1767">
        <v>0</v>
      </c>
      <c r="I177" s="1767">
        <v>0</v>
      </c>
      <c r="J177" s="1767">
        <v>0</v>
      </c>
      <c r="K177" s="1767">
        <v>0</v>
      </c>
      <c r="L177" s="1767">
        <v>0</v>
      </c>
      <c r="M177" s="1767">
        <v>0</v>
      </c>
      <c r="N177" s="1767">
        <v>0</v>
      </c>
      <c r="O177" s="1767">
        <v>0</v>
      </c>
      <c r="P177" s="1767">
        <v>0</v>
      </c>
      <c r="Q177" s="1767">
        <v>0</v>
      </c>
      <c r="R177" s="1767">
        <v>0</v>
      </c>
      <c r="S177" s="1767">
        <v>0</v>
      </c>
      <c r="T177" s="1767">
        <v>0</v>
      </c>
      <c r="U177" s="1767">
        <v>0</v>
      </c>
      <c r="V177" s="1767">
        <v>0</v>
      </c>
      <c r="W177" s="1767">
        <v>0</v>
      </c>
      <c r="X177" s="1767">
        <v>0</v>
      </c>
      <c r="Y177" s="1767">
        <v>0</v>
      </c>
      <c r="Z177" s="1767">
        <v>0</v>
      </c>
      <c r="AA177" s="1767">
        <v>0</v>
      </c>
      <c r="AB177" s="1767">
        <v>0</v>
      </c>
      <c r="AC177" s="1767">
        <v>0</v>
      </c>
      <c r="AD177" s="1767">
        <v>0</v>
      </c>
      <c r="AE177" s="1767">
        <v>0</v>
      </c>
      <c r="AF177" s="1767">
        <v>0</v>
      </c>
      <c r="AG177" s="1767">
        <v>0</v>
      </c>
      <c r="AH177" s="1767">
        <v>0</v>
      </c>
      <c r="AI177" s="1767">
        <v>0</v>
      </c>
      <c r="AJ177" s="1767">
        <v>0</v>
      </c>
      <c r="AK177" s="1767">
        <v>0</v>
      </c>
      <c r="AL177" s="1767">
        <v>0</v>
      </c>
      <c r="AM177" s="1767">
        <v>0</v>
      </c>
      <c r="AN177" s="1767">
        <v>0</v>
      </c>
      <c r="AO177" s="1767">
        <v>0</v>
      </c>
      <c r="AP177" s="1767">
        <v>0</v>
      </c>
      <c r="AQ177" s="1767">
        <v>0</v>
      </c>
      <c r="AR177" s="1767">
        <v>0</v>
      </c>
      <c r="AS177" s="1767">
        <v>0</v>
      </c>
      <c r="AT177" s="1767">
        <v>0</v>
      </c>
      <c r="AU177" s="1767">
        <v>0</v>
      </c>
      <c r="AV177" s="1767">
        <v>0</v>
      </c>
      <c r="AW177" s="1767">
        <v>0</v>
      </c>
      <c r="AX177" s="1767">
        <v>0</v>
      </c>
      <c r="AY177" s="1767">
        <v>0</v>
      </c>
      <c r="AZ177" s="1767">
        <v>0</v>
      </c>
      <c r="BA177" s="1767">
        <v>0</v>
      </c>
      <c r="BB177" s="1767">
        <v>0</v>
      </c>
      <c r="BC177" s="1767">
        <v>0</v>
      </c>
      <c r="BD177" s="1767">
        <v>0</v>
      </c>
      <c r="BE177" s="1767">
        <v>0</v>
      </c>
      <c r="BF177" s="1767">
        <v>0</v>
      </c>
      <c r="BG177" s="1767">
        <v>0</v>
      </c>
      <c r="BH177" s="1767">
        <v>0</v>
      </c>
      <c r="BI177" s="1767">
        <v>0</v>
      </c>
      <c r="BJ177" s="1767">
        <v>0</v>
      </c>
      <c r="BK177" s="1767">
        <v>0</v>
      </c>
      <c r="BL177" s="1767">
        <v>0</v>
      </c>
      <c r="BM177" s="1767">
        <v>0</v>
      </c>
      <c r="BN177" s="1767">
        <v>0</v>
      </c>
      <c r="BO177" s="1767">
        <v>0</v>
      </c>
      <c r="BP177" s="1767">
        <v>0</v>
      </c>
      <c r="BQ177" s="1767">
        <v>0</v>
      </c>
      <c r="BR177" s="1767">
        <v>0</v>
      </c>
      <c r="BS177" s="1767">
        <v>0</v>
      </c>
      <c r="BT177" s="1767">
        <v>0</v>
      </c>
      <c r="BU177" s="1767">
        <v>0</v>
      </c>
      <c r="BV177" s="1767">
        <v>0</v>
      </c>
      <c r="BW177" s="1767">
        <v>0</v>
      </c>
      <c r="BX177" s="1767">
        <v>0</v>
      </c>
      <c r="BY177" s="1767">
        <v>0</v>
      </c>
      <c r="BZ177" s="1767">
        <v>0</v>
      </c>
      <c r="CA177" s="1767">
        <v>0</v>
      </c>
      <c r="CB177" s="1767">
        <v>0</v>
      </c>
      <c r="CC177" s="1767">
        <v>0</v>
      </c>
      <c r="CD177" s="1767">
        <v>0</v>
      </c>
      <c r="CE177" s="1767">
        <v>0</v>
      </c>
      <c r="CF177" s="1767">
        <v>0</v>
      </c>
      <c r="CG177" s="1767">
        <v>0</v>
      </c>
      <c r="CH177" s="1767">
        <v>0</v>
      </c>
      <c r="CI177" s="1767">
        <v>0</v>
      </c>
      <c r="CJ177" s="1767">
        <v>0</v>
      </c>
      <c r="CK177" s="1767">
        <v>0</v>
      </c>
      <c r="CL177" s="1767">
        <v>0</v>
      </c>
      <c r="CM177" s="1767">
        <v>0</v>
      </c>
      <c r="CN177" s="1767">
        <v>0</v>
      </c>
      <c r="CO177" s="1767">
        <v>0</v>
      </c>
      <c r="CP177" s="1767">
        <v>0</v>
      </c>
    </row>
    <row r="178" spans="1:94" ht="15" customHeight="1" x14ac:dyDescent="0.2">
      <c r="A178" s="1847"/>
      <c r="B178" s="1856"/>
      <c r="C178" s="653" t="s">
        <v>547</v>
      </c>
      <c r="D178" s="936"/>
      <c r="E178" s="1831"/>
      <c r="F178" s="1225"/>
      <c r="G178" s="1767">
        <v>0</v>
      </c>
      <c r="H178" s="1767">
        <v>0</v>
      </c>
      <c r="I178" s="1767">
        <v>0</v>
      </c>
      <c r="J178" s="1767">
        <v>0</v>
      </c>
      <c r="K178" s="1767">
        <v>0</v>
      </c>
      <c r="L178" s="1767">
        <v>0</v>
      </c>
      <c r="M178" s="1767">
        <v>0</v>
      </c>
      <c r="N178" s="1767">
        <v>0</v>
      </c>
      <c r="O178" s="1767">
        <v>0</v>
      </c>
      <c r="P178" s="1767">
        <v>0</v>
      </c>
      <c r="Q178" s="1767">
        <v>0</v>
      </c>
      <c r="R178" s="1767">
        <v>0</v>
      </c>
      <c r="S178" s="1767">
        <v>0</v>
      </c>
      <c r="T178" s="1767">
        <v>0</v>
      </c>
      <c r="U178" s="1767">
        <v>0</v>
      </c>
      <c r="V178" s="1767">
        <v>0</v>
      </c>
      <c r="W178" s="1767">
        <v>0</v>
      </c>
      <c r="X178" s="1767">
        <v>0</v>
      </c>
      <c r="Y178" s="1767">
        <v>0</v>
      </c>
      <c r="Z178" s="1767">
        <v>0</v>
      </c>
      <c r="AA178" s="1767">
        <v>0</v>
      </c>
      <c r="AB178" s="1767">
        <v>0</v>
      </c>
      <c r="AC178" s="1767">
        <v>0</v>
      </c>
      <c r="AD178" s="1767">
        <v>0</v>
      </c>
      <c r="AE178" s="1767">
        <v>0</v>
      </c>
      <c r="AF178" s="1767">
        <v>0</v>
      </c>
      <c r="AG178" s="1767">
        <v>0</v>
      </c>
      <c r="AH178" s="1767">
        <v>0</v>
      </c>
      <c r="AI178" s="1767">
        <v>0</v>
      </c>
      <c r="AJ178" s="1767">
        <v>0</v>
      </c>
      <c r="AK178" s="1767">
        <v>0</v>
      </c>
      <c r="AL178" s="1767">
        <v>0</v>
      </c>
      <c r="AM178" s="1767">
        <v>0</v>
      </c>
      <c r="AN178" s="1767">
        <v>0</v>
      </c>
      <c r="AO178" s="1767">
        <v>0</v>
      </c>
      <c r="AP178" s="1767">
        <v>0</v>
      </c>
      <c r="AQ178" s="1767">
        <v>0</v>
      </c>
      <c r="AR178" s="1767">
        <v>0</v>
      </c>
      <c r="AS178" s="1767">
        <v>0</v>
      </c>
      <c r="AT178" s="1767">
        <v>0</v>
      </c>
      <c r="AU178" s="1767">
        <v>0</v>
      </c>
      <c r="AV178" s="1767">
        <v>0</v>
      </c>
      <c r="AW178" s="1767">
        <v>0</v>
      </c>
      <c r="AX178" s="1767">
        <v>0</v>
      </c>
      <c r="AY178" s="1767">
        <v>0</v>
      </c>
      <c r="AZ178" s="1767">
        <v>0</v>
      </c>
      <c r="BA178" s="1767">
        <v>0</v>
      </c>
      <c r="BB178" s="1767">
        <v>0</v>
      </c>
      <c r="BC178" s="1767">
        <v>0</v>
      </c>
      <c r="BD178" s="1767">
        <v>0</v>
      </c>
      <c r="BE178" s="1767">
        <v>0</v>
      </c>
      <c r="BF178" s="1767">
        <v>0</v>
      </c>
      <c r="BG178" s="1767">
        <v>0</v>
      </c>
      <c r="BH178" s="1767">
        <v>0</v>
      </c>
      <c r="BI178" s="1767">
        <v>0</v>
      </c>
      <c r="BJ178" s="1767">
        <v>0</v>
      </c>
      <c r="BK178" s="1767">
        <v>0</v>
      </c>
      <c r="BL178" s="1767">
        <v>0</v>
      </c>
      <c r="BM178" s="1767">
        <v>0</v>
      </c>
      <c r="BN178" s="1767">
        <v>0</v>
      </c>
      <c r="BO178" s="1767">
        <v>0</v>
      </c>
      <c r="BP178" s="1767">
        <v>0</v>
      </c>
      <c r="BQ178" s="1767">
        <v>0</v>
      </c>
      <c r="BR178" s="1767">
        <v>0</v>
      </c>
      <c r="BS178" s="1767">
        <v>0</v>
      </c>
      <c r="BT178" s="1767">
        <v>0</v>
      </c>
      <c r="BU178" s="1767">
        <v>0</v>
      </c>
      <c r="BV178" s="1767">
        <v>0</v>
      </c>
      <c r="BW178" s="1767">
        <v>0</v>
      </c>
      <c r="BX178" s="1767">
        <v>0</v>
      </c>
      <c r="BY178" s="1767">
        <v>0</v>
      </c>
      <c r="BZ178" s="1767">
        <v>0</v>
      </c>
      <c r="CA178" s="1767">
        <v>0</v>
      </c>
      <c r="CB178" s="1767">
        <v>0</v>
      </c>
      <c r="CC178" s="1767">
        <v>0</v>
      </c>
      <c r="CD178" s="1767">
        <v>0</v>
      </c>
      <c r="CE178" s="1767">
        <v>0</v>
      </c>
      <c r="CF178" s="1767">
        <v>0</v>
      </c>
      <c r="CG178" s="1767">
        <v>0</v>
      </c>
      <c r="CH178" s="1767">
        <v>0</v>
      </c>
      <c r="CI178" s="1767">
        <v>0</v>
      </c>
      <c r="CJ178" s="1767">
        <v>0</v>
      </c>
      <c r="CK178" s="1767">
        <v>0</v>
      </c>
      <c r="CL178" s="1767">
        <v>0</v>
      </c>
      <c r="CM178" s="1767">
        <v>0</v>
      </c>
      <c r="CN178" s="1767">
        <v>0</v>
      </c>
      <c r="CO178" s="1767">
        <v>0</v>
      </c>
      <c r="CP178" s="1767">
        <v>0</v>
      </c>
    </row>
    <row r="179" spans="1:94" ht="15" customHeight="1" thickBot="1" x14ac:dyDescent="0.25">
      <c r="A179" s="1897"/>
      <c r="B179" s="1857"/>
      <c r="C179" s="654" t="s">
        <v>566</v>
      </c>
      <c r="D179" s="936"/>
      <c r="E179" s="1832"/>
      <c r="F179" s="1225"/>
      <c r="G179" s="1767">
        <v>0</v>
      </c>
      <c r="H179" s="1767">
        <v>0</v>
      </c>
      <c r="I179" s="1767">
        <v>0</v>
      </c>
      <c r="J179" s="1767">
        <v>0</v>
      </c>
      <c r="K179" s="1767">
        <v>0</v>
      </c>
      <c r="L179" s="1767">
        <v>0</v>
      </c>
      <c r="M179" s="1767">
        <v>0</v>
      </c>
      <c r="N179" s="1767">
        <v>0</v>
      </c>
      <c r="O179" s="1767">
        <v>0</v>
      </c>
      <c r="P179" s="1767">
        <v>0</v>
      </c>
      <c r="Q179" s="1767">
        <v>0</v>
      </c>
      <c r="R179" s="1767">
        <v>0</v>
      </c>
      <c r="S179" s="1767">
        <v>0</v>
      </c>
      <c r="T179" s="1767">
        <v>0</v>
      </c>
      <c r="U179" s="1767">
        <v>0</v>
      </c>
      <c r="V179" s="1767">
        <v>0</v>
      </c>
      <c r="W179" s="1767">
        <v>0</v>
      </c>
      <c r="X179" s="1767">
        <v>0</v>
      </c>
      <c r="Y179" s="1767">
        <v>0</v>
      </c>
      <c r="Z179" s="1767">
        <v>0</v>
      </c>
      <c r="AA179" s="1767">
        <v>0</v>
      </c>
      <c r="AB179" s="1767">
        <v>0</v>
      </c>
      <c r="AC179" s="1767">
        <v>0</v>
      </c>
      <c r="AD179" s="1767">
        <v>0</v>
      </c>
      <c r="AE179" s="1767">
        <v>0</v>
      </c>
      <c r="AF179" s="1767">
        <v>0</v>
      </c>
      <c r="AG179" s="1767">
        <v>0</v>
      </c>
      <c r="AH179" s="1767">
        <v>0</v>
      </c>
      <c r="AI179" s="1767">
        <v>0</v>
      </c>
      <c r="AJ179" s="1767">
        <v>0</v>
      </c>
      <c r="AK179" s="1767">
        <v>0</v>
      </c>
      <c r="AL179" s="1767">
        <v>0</v>
      </c>
      <c r="AM179" s="1767">
        <v>0</v>
      </c>
      <c r="AN179" s="1767">
        <v>0</v>
      </c>
      <c r="AO179" s="1767">
        <v>0</v>
      </c>
      <c r="AP179" s="1767">
        <v>0</v>
      </c>
      <c r="AQ179" s="1767">
        <v>0</v>
      </c>
      <c r="AR179" s="1767">
        <v>0</v>
      </c>
      <c r="AS179" s="1767">
        <v>0</v>
      </c>
      <c r="AT179" s="1767">
        <v>0</v>
      </c>
      <c r="AU179" s="1767">
        <v>0</v>
      </c>
      <c r="AV179" s="1767">
        <v>0</v>
      </c>
      <c r="AW179" s="1767">
        <v>0</v>
      </c>
      <c r="AX179" s="1767">
        <v>0</v>
      </c>
      <c r="AY179" s="1767">
        <v>0</v>
      </c>
      <c r="AZ179" s="1767">
        <v>0</v>
      </c>
      <c r="BA179" s="1767">
        <v>0</v>
      </c>
      <c r="BB179" s="1767">
        <v>0</v>
      </c>
      <c r="BC179" s="1767">
        <v>0</v>
      </c>
      <c r="BD179" s="1767">
        <v>0</v>
      </c>
      <c r="BE179" s="1767">
        <v>0</v>
      </c>
      <c r="BF179" s="1767">
        <v>0</v>
      </c>
      <c r="BG179" s="1767">
        <v>0</v>
      </c>
      <c r="BH179" s="1767">
        <v>0</v>
      </c>
      <c r="BI179" s="1767">
        <v>0</v>
      </c>
      <c r="BJ179" s="1767">
        <v>0</v>
      </c>
      <c r="BK179" s="1767">
        <v>0</v>
      </c>
      <c r="BL179" s="1767">
        <v>0</v>
      </c>
      <c r="BM179" s="1767">
        <v>0</v>
      </c>
      <c r="BN179" s="1767">
        <v>0</v>
      </c>
      <c r="BO179" s="1767">
        <v>0</v>
      </c>
      <c r="BP179" s="1767">
        <v>0</v>
      </c>
      <c r="BQ179" s="1767">
        <v>0</v>
      </c>
      <c r="BR179" s="1767">
        <v>0</v>
      </c>
      <c r="BS179" s="1767">
        <v>0</v>
      </c>
      <c r="BT179" s="1767">
        <v>0</v>
      </c>
      <c r="BU179" s="1767">
        <v>0</v>
      </c>
      <c r="BV179" s="1767">
        <v>0</v>
      </c>
      <c r="BW179" s="1767">
        <v>0</v>
      </c>
      <c r="BX179" s="1767">
        <v>0</v>
      </c>
      <c r="BY179" s="1767">
        <v>0</v>
      </c>
      <c r="BZ179" s="1767">
        <v>0</v>
      </c>
      <c r="CA179" s="1767">
        <v>0</v>
      </c>
      <c r="CB179" s="1767">
        <v>0</v>
      </c>
      <c r="CC179" s="1767">
        <v>0</v>
      </c>
      <c r="CD179" s="1767">
        <v>0</v>
      </c>
      <c r="CE179" s="1767">
        <v>0</v>
      </c>
      <c r="CF179" s="1767">
        <v>0</v>
      </c>
      <c r="CG179" s="1767">
        <v>0</v>
      </c>
      <c r="CH179" s="1767">
        <v>0</v>
      </c>
      <c r="CI179" s="1767">
        <v>0</v>
      </c>
      <c r="CJ179" s="1767">
        <v>0</v>
      </c>
      <c r="CK179" s="1767">
        <v>0</v>
      </c>
      <c r="CL179" s="1767">
        <v>0</v>
      </c>
      <c r="CM179" s="1767">
        <v>0</v>
      </c>
      <c r="CN179" s="1767">
        <v>0</v>
      </c>
      <c r="CO179" s="1767">
        <v>0</v>
      </c>
      <c r="CP179" s="1767">
        <v>0</v>
      </c>
    </row>
    <row r="180" spans="1:94" ht="30" customHeight="1" thickBot="1" x14ac:dyDescent="0.25">
      <c r="A180" s="1888" t="s">
        <v>1309</v>
      </c>
      <c r="B180" s="1833" t="s">
        <v>1082</v>
      </c>
      <c r="C180" s="1781" t="s">
        <v>2527</v>
      </c>
      <c r="D180" s="945"/>
      <c r="E180" s="1836" t="s">
        <v>2321</v>
      </c>
      <c r="F180" s="1225"/>
      <c r="G180" s="1742"/>
      <c r="H180" s="1742"/>
      <c r="I180" s="1742"/>
      <c r="J180" s="1742"/>
      <c r="K180" s="1742"/>
      <c r="L180" s="1742"/>
      <c r="M180" s="1742"/>
      <c r="N180" s="1742"/>
      <c r="O180" s="1742"/>
      <c r="P180" s="1742"/>
      <c r="Q180" s="1742"/>
      <c r="R180" s="1742"/>
      <c r="S180" s="1742"/>
      <c r="T180" s="1742"/>
      <c r="U180" s="1742"/>
      <c r="V180" s="1742"/>
      <c r="W180" s="1742"/>
      <c r="X180" s="1742"/>
      <c r="Y180" s="1742"/>
      <c r="Z180" s="1742"/>
      <c r="AA180" s="1742"/>
      <c r="AB180" s="1742"/>
      <c r="AC180" s="1742"/>
      <c r="AD180" s="1742"/>
      <c r="AE180" s="1742"/>
      <c r="AF180" s="1742"/>
      <c r="AG180" s="1742"/>
      <c r="AH180" s="1742"/>
      <c r="AI180" s="1742"/>
      <c r="AJ180" s="1742"/>
      <c r="AK180" s="1742"/>
      <c r="AL180" s="1742"/>
      <c r="AM180" s="1742"/>
      <c r="AN180" s="1742"/>
      <c r="AO180" s="1742"/>
      <c r="AP180" s="1742"/>
      <c r="AQ180" s="1742"/>
      <c r="AR180" s="1742"/>
      <c r="AS180" s="1742"/>
      <c r="AT180" s="1742"/>
      <c r="AU180" s="1742"/>
      <c r="AV180" s="1742"/>
      <c r="AW180" s="1742"/>
      <c r="AX180" s="1742"/>
      <c r="AY180" s="1742"/>
      <c r="AZ180" s="1742"/>
      <c r="BA180" s="1742"/>
      <c r="BB180" s="1742"/>
      <c r="BC180" s="1742"/>
      <c r="BD180" s="1742"/>
      <c r="BE180" s="1742"/>
      <c r="BF180" s="1742"/>
      <c r="BG180" s="1742"/>
      <c r="BH180" s="1742"/>
      <c r="BI180" s="1742"/>
      <c r="BJ180" s="1742"/>
      <c r="BK180" s="1742"/>
      <c r="BL180" s="1742"/>
      <c r="BM180" s="1742"/>
      <c r="BN180" s="1742"/>
      <c r="BO180" s="1742"/>
      <c r="BP180" s="1742"/>
      <c r="BQ180" s="1742"/>
      <c r="BR180" s="1742"/>
      <c r="BS180" s="1742"/>
      <c r="BT180" s="1742"/>
      <c r="BU180" s="1742"/>
      <c r="BV180" s="1742"/>
      <c r="BW180" s="1742"/>
      <c r="BX180" s="1742"/>
      <c r="BY180" s="1742"/>
      <c r="BZ180" s="1742"/>
      <c r="CA180" s="1742"/>
      <c r="CB180" s="1742"/>
      <c r="CC180" s="1742"/>
      <c r="CD180" s="1742"/>
      <c r="CE180" s="1742"/>
      <c r="CF180" s="1742"/>
      <c r="CG180" s="1742"/>
      <c r="CH180" s="1742"/>
      <c r="CI180" s="1742"/>
      <c r="CJ180" s="1742"/>
      <c r="CK180" s="1742"/>
      <c r="CL180" s="1742"/>
      <c r="CM180" s="1742"/>
      <c r="CN180" s="1742"/>
      <c r="CO180" s="1742"/>
      <c r="CP180" s="1742"/>
    </row>
    <row r="181" spans="1:94" ht="15" customHeight="1" x14ac:dyDescent="0.2">
      <c r="A181" s="1847"/>
      <c r="B181" s="1834"/>
      <c r="C181" s="669" t="s">
        <v>572</v>
      </c>
      <c r="D181" s="936"/>
      <c r="E181" s="1837"/>
      <c r="F181" s="1225"/>
      <c r="G181" s="1767">
        <v>0</v>
      </c>
      <c r="H181" s="1767">
        <v>0</v>
      </c>
      <c r="I181" s="1767">
        <v>0</v>
      </c>
      <c r="J181" s="1767">
        <v>0</v>
      </c>
      <c r="K181" s="1767">
        <v>0</v>
      </c>
      <c r="L181" s="1767">
        <v>0</v>
      </c>
      <c r="M181" s="1767">
        <v>0</v>
      </c>
      <c r="N181" s="1767">
        <v>0</v>
      </c>
      <c r="O181" s="1767">
        <v>0</v>
      </c>
      <c r="P181" s="1767">
        <v>0</v>
      </c>
      <c r="Q181" s="1767">
        <v>0</v>
      </c>
      <c r="R181" s="1767">
        <v>0</v>
      </c>
      <c r="S181" s="1767">
        <v>0</v>
      </c>
      <c r="T181" s="1767">
        <v>0</v>
      </c>
      <c r="U181" s="1767">
        <v>0</v>
      </c>
      <c r="V181" s="1767">
        <v>0</v>
      </c>
      <c r="W181" s="1767">
        <v>0</v>
      </c>
      <c r="X181" s="1767">
        <v>0</v>
      </c>
      <c r="Y181" s="1767">
        <v>0</v>
      </c>
      <c r="Z181" s="1767">
        <v>0</v>
      </c>
      <c r="AA181" s="1767">
        <v>0</v>
      </c>
      <c r="AB181" s="1767">
        <v>0</v>
      </c>
      <c r="AC181" s="1767">
        <v>0</v>
      </c>
      <c r="AD181" s="1767">
        <v>0</v>
      </c>
      <c r="AE181" s="1767">
        <v>0</v>
      </c>
      <c r="AF181" s="1767">
        <v>0</v>
      </c>
      <c r="AG181" s="1767">
        <v>0</v>
      </c>
      <c r="AH181" s="1767">
        <v>0</v>
      </c>
      <c r="AI181" s="1767">
        <v>0</v>
      </c>
      <c r="AJ181" s="1767">
        <v>0</v>
      </c>
      <c r="AK181" s="1767">
        <v>0</v>
      </c>
      <c r="AL181" s="1767">
        <v>0</v>
      </c>
      <c r="AM181" s="1767">
        <v>0</v>
      </c>
      <c r="AN181" s="1767">
        <v>0</v>
      </c>
      <c r="AO181" s="1767">
        <v>0</v>
      </c>
      <c r="AP181" s="1767">
        <v>0</v>
      </c>
      <c r="AQ181" s="1767">
        <v>0</v>
      </c>
      <c r="AR181" s="1767">
        <v>0</v>
      </c>
      <c r="AS181" s="1767">
        <v>0</v>
      </c>
      <c r="AT181" s="1767">
        <v>0</v>
      </c>
      <c r="AU181" s="1767">
        <v>0</v>
      </c>
      <c r="AV181" s="1767">
        <v>0</v>
      </c>
      <c r="AW181" s="1767">
        <v>0</v>
      </c>
      <c r="AX181" s="1767">
        <v>0</v>
      </c>
      <c r="AY181" s="1767">
        <v>0</v>
      </c>
      <c r="AZ181" s="1767">
        <v>0</v>
      </c>
      <c r="BA181" s="1767">
        <v>0</v>
      </c>
      <c r="BB181" s="1767">
        <v>0</v>
      </c>
      <c r="BC181" s="1767">
        <v>0</v>
      </c>
      <c r="BD181" s="1767">
        <v>0</v>
      </c>
      <c r="BE181" s="1767">
        <v>0</v>
      </c>
      <c r="BF181" s="1767">
        <v>0</v>
      </c>
      <c r="BG181" s="1767">
        <v>0</v>
      </c>
      <c r="BH181" s="1767">
        <v>0</v>
      </c>
      <c r="BI181" s="1767">
        <v>0</v>
      </c>
      <c r="BJ181" s="1767">
        <v>0</v>
      </c>
      <c r="BK181" s="1767">
        <v>0</v>
      </c>
      <c r="BL181" s="1767">
        <v>0</v>
      </c>
      <c r="BM181" s="1767">
        <v>0</v>
      </c>
      <c r="BN181" s="1767">
        <v>0</v>
      </c>
      <c r="BO181" s="1767">
        <v>0</v>
      </c>
      <c r="BP181" s="1767">
        <v>0</v>
      </c>
      <c r="BQ181" s="1767">
        <v>0</v>
      </c>
      <c r="BR181" s="1767">
        <v>0</v>
      </c>
      <c r="BS181" s="1767">
        <v>0</v>
      </c>
      <c r="BT181" s="1767">
        <v>0</v>
      </c>
      <c r="BU181" s="1767">
        <v>0</v>
      </c>
      <c r="BV181" s="1767">
        <v>0</v>
      </c>
      <c r="BW181" s="1767">
        <v>0</v>
      </c>
      <c r="BX181" s="1767">
        <v>0</v>
      </c>
      <c r="BY181" s="1767">
        <v>0</v>
      </c>
      <c r="BZ181" s="1767">
        <v>0</v>
      </c>
      <c r="CA181" s="1767">
        <v>0</v>
      </c>
      <c r="CB181" s="1767">
        <v>0</v>
      </c>
      <c r="CC181" s="1767">
        <v>0</v>
      </c>
      <c r="CD181" s="1767">
        <v>0</v>
      </c>
      <c r="CE181" s="1767">
        <v>0</v>
      </c>
      <c r="CF181" s="1767">
        <v>0</v>
      </c>
      <c r="CG181" s="1767">
        <v>0</v>
      </c>
      <c r="CH181" s="1767">
        <v>0</v>
      </c>
      <c r="CI181" s="1767">
        <v>0</v>
      </c>
      <c r="CJ181" s="1767">
        <v>0</v>
      </c>
      <c r="CK181" s="1767">
        <v>0</v>
      </c>
      <c r="CL181" s="1767">
        <v>0</v>
      </c>
      <c r="CM181" s="1767">
        <v>0</v>
      </c>
      <c r="CN181" s="1767">
        <v>0</v>
      </c>
      <c r="CO181" s="1767">
        <v>0</v>
      </c>
      <c r="CP181" s="1767">
        <v>0</v>
      </c>
    </row>
    <row r="182" spans="1:94" ht="15" customHeight="1" x14ac:dyDescent="0.2">
      <c r="A182" s="1847"/>
      <c r="B182" s="1834"/>
      <c r="C182" s="663" t="s">
        <v>573</v>
      </c>
      <c r="D182" s="936"/>
      <c r="E182" s="1837"/>
      <c r="F182" s="1225"/>
      <c r="G182" s="1767">
        <v>0</v>
      </c>
      <c r="H182" s="1767">
        <v>0</v>
      </c>
      <c r="I182" s="1767">
        <v>0</v>
      </c>
      <c r="J182" s="1767">
        <v>0</v>
      </c>
      <c r="K182" s="1767">
        <v>0</v>
      </c>
      <c r="L182" s="1767">
        <v>0</v>
      </c>
      <c r="M182" s="1767">
        <v>0</v>
      </c>
      <c r="N182" s="1767">
        <v>0</v>
      </c>
      <c r="O182" s="1767">
        <v>0</v>
      </c>
      <c r="P182" s="1767">
        <v>0</v>
      </c>
      <c r="Q182" s="1767">
        <v>0</v>
      </c>
      <c r="R182" s="1767">
        <v>0</v>
      </c>
      <c r="S182" s="1767">
        <v>0</v>
      </c>
      <c r="T182" s="1767">
        <v>0</v>
      </c>
      <c r="U182" s="1767">
        <v>0</v>
      </c>
      <c r="V182" s="1767">
        <v>0</v>
      </c>
      <c r="W182" s="1767">
        <v>0</v>
      </c>
      <c r="X182" s="1767">
        <v>0</v>
      </c>
      <c r="Y182" s="1767">
        <v>0</v>
      </c>
      <c r="Z182" s="1767">
        <v>0</v>
      </c>
      <c r="AA182" s="1767">
        <v>0</v>
      </c>
      <c r="AB182" s="1767">
        <v>0</v>
      </c>
      <c r="AC182" s="1767">
        <v>0</v>
      </c>
      <c r="AD182" s="1767">
        <v>0</v>
      </c>
      <c r="AE182" s="1767">
        <v>0</v>
      </c>
      <c r="AF182" s="1767">
        <v>0</v>
      </c>
      <c r="AG182" s="1767">
        <v>0</v>
      </c>
      <c r="AH182" s="1767">
        <v>0</v>
      </c>
      <c r="AI182" s="1767">
        <v>0</v>
      </c>
      <c r="AJ182" s="1767">
        <v>0</v>
      </c>
      <c r="AK182" s="1767">
        <v>0</v>
      </c>
      <c r="AL182" s="1767">
        <v>0</v>
      </c>
      <c r="AM182" s="1767">
        <v>0</v>
      </c>
      <c r="AN182" s="1767">
        <v>0</v>
      </c>
      <c r="AO182" s="1767">
        <v>0</v>
      </c>
      <c r="AP182" s="1767">
        <v>0</v>
      </c>
      <c r="AQ182" s="1767">
        <v>0</v>
      </c>
      <c r="AR182" s="1767">
        <v>0</v>
      </c>
      <c r="AS182" s="1767">
        <v>0</v>
      </c>
      <c r="AT182" s="1767">
        <v>0</v>
      </c>
      <c r="AU182" s="1767">
        <v>0</v>
      </c>
      <c r="AV182" s="1767">
        <v>0</v>
      </c>
      <c r="AW182" s="1767">
        <v>0</v>
      </c>
      <c r="AX182" s="1767">
        <v>0</v>
      </c>
      <c r="AY182" s="1767">
        <v>0</v>
      </c>
      <c r="AZ182" s="1767">
        <v>0</v>
      </c>
      <c r="BA182" s="1767">
        <v>0</v>
      </c>
      <c r="BB182" s="1767">
        <v>0</v>
      </c>
      <c r="BC182" s="1767">
        <v>0</v>
      </c>
      <c r="BD182" s="1767">
        <v>0</v>
      </c>
      <c r="BE182" s="1767">
        <v>0</v>
      </c>
      <c r="BF182" s="1767">
        <v>0</v>
      </c>
      <c r="BG182" s="1767">
        <v>0</v>
      </c>
      <c r="BH182" s="1767">
        <v>0</v>
      </c>
      <c r="BI182" s="1767">
        <v>0</v>
      </c>
      <c r="BJ182" s="1767">
        <v>0</v>
      </c>
      <c r="BK182" s="1767">
        <v>0</v>
      </c>
      <c r="BL182" s="1767">
        <v>0</v>
      </c>
      <c r="BM182" s="1767">
        <v>0</v>
      </c>
      <c r="BN182" s="1767">
        <v>0</v>
      </c>
      <c r="BO182" s="1767">
        <v>0</v>
      </c>
      <c r="BP182" s="1767">
        <v>0</v>
      </c>
      <c r="BQ182" s="1767">
        <v>0</v>
      </c>
      <c r="BR182" s="1767">
        <v>0</v>
      </c>
      <c r="BS182" s="1767">
        <v>0</v>
      </c>
      <c r="BT182" s="1767">
        <v>0</v>
      </c>
      <c r="BU182" s="1767">
        <v>0</v>
      </c>
      <c r="BV182" s="1767">
        <v>0</v>
      </c>
      <c r="BW182" s="1767">
        <v>0</v>
      </c>
      <c r="BX182" s="1767">
        <v>0</v>
      </c>
      <c r="BY182" s="1767">
        <v>0</v>
      </c>
      <c r="BZ182" s="1767">
        <v>0</v>
      </c>
      <c r="CA182" s="1767">
        <v>0</v>
      </c>
      <c r="CB182" s="1767">
        <v>0</v>
      </c>
      <c r="CC182" s="1767">
        <v>0</v>
      </c>
      <c r="CD182" s="1767">
        <v>0</v>
      </c>
      <c r="CE182" s="1767">
        <v>0</v>
      </c>
      <c r="CF182" s="1767">
        <v>0</v>
      </c>
      <c r="CG182" s="1767">
        <v>0</v>
      </c>
      <c r="CH182" s="1767">
        <v>0</v>
      </c>
      <c r="CI182" s="1767">
        <v>0</v>
      </c>
      <c r="CJ182" s="1767">
        <v>0</v>
      </c>
      <c r="CK182" s="1767">
        <v>0</v>
      </c>
      <c r="CL182" s="1767">
        <v>0</v>
      </c>
      <c r="CM182" s="1767">
        <v>0</v>
      </c>
      <c r="CN182" s="1767">
        <v>0</v>
      </c>
      <c r="CO182" s="1767">
        <v>0</v>
      </c>
      <c r="CP182" s="1767">
        <v>0</v>
      </c>
    </row>
    <row r="183" spans="1:94" ht="15" customHeight="1" x14ac:dyDescent="0.2">
      <c r="A183" s="1847"/>
      <c r="B183" s="1834"/>
      <c r="C183" s="663" t="s">
        <v>574</v>
      </c>
      <c r="D183" s="936"/>
      <c r="E183" s="1837"/>
      <c r="F183" s="1225"/>
      <c r="G183" s="1767">
        <v>0</v>
      </c>
      <c r="H183" s="1767">
        <v>0</v>
      </c>
      <c r="I183" s="1767">
        <v>0</v>
      </c>
      <c r="J183" s="1767">
        <v>0</v>
      </c>
      <c r="K183" s="1767">
        <v>0</v>
      </c>
      <c r="L183" s="1767">
        <v>0</v>
      </c>
      <c r="M183" s="1767">
        <v>0</v>
      </c>
      <c r="N183" s="1767">
        <v>0</v>
      </c>
      <c r="O183" s="1767">
        <v>0</v>
      </c>
      <c r="P183" s="1767">
        <v>0</v>
      </c>
      <c r="Q183" s="1767">
        <v>0</v>
      </c>
      <c r="R183" s="1767">
        <v>0</v>
      </c>
      <c r="S183" s="1767">
        <v>0</v>
      </c>
      <c r="T183" s="1767">
        <v>0</v>
      </c>
      <c r="U183" s="1767">
        <v>0</v>
      </c>
      <c r="V183" s="1767">
        <v>0</v>
      </c>
      <c r="W183" s="1767">
        <v>0</v>
      </c>
      <c r="X183" s="1767">
        <v>0</v>
      </c>
      <c r="Y183" s="1767">
        <v>0</v>
      </c>
      <c r="Z183" s="1767">
        <v>0</v>
      </c>
      <c r="AA183" s="1767">
        <v>0</v>
      </c>
      <c r="AB183" s="1767">
        <v>0</v>
      </c>
      <c r="AC183" s="1767">
        <v>0</v>
      </c>
      <c r="AD183" s="1767">
        <v>0</v>
      </c>
      <c r="AE183" s="1767">
        <v>0</v>
      </c>
      <c r="AF183" s="1767">
        <v>0</v>
      </c>
      <c r="AG183" s="1767">
        <v>0</v>
      </c>
      <c r="AH183" s="1767">
        <v>0</v>
      </c>
      <c r="AI183" s="1767">
        <v>0</v>
      </c>
      <c r="AJ183" s="1767">
        <v>0</v>
      </c>
      <c r="AK183" s="1767">
        <v>0</v>
      </c>
      <c r="AL183" s="1767">
        <v>0</v>
      </c>
      <c r="AM183" s="1767">
        <v>0</v>
      </c>
      <c r="AN183" s="1767">
        <v>0</v>
      </c>
      <c r="AO183" s="1767">
        <v>0</v>
      </c>
      <c r="AP183" s="1767">
        <v>0</v>
      </c>
      <c r="AQ183" s="1767">
        <v>0</v>
      </c>
      <c r="AR183" s="1767">
        <v>0</v>
      </c>
      <c r="AS183" s="1767">
        <v>0</v>
      </c>
      <c r="AT183" s="1767">
        <v>0</v>
      </c>
      <c r="AU183" s="1767">
        <v>0</v>
      </c>
      <c r="AV183" s="1767">
        <v>0</v>
      </c>
      <c r="AW183" s="1767">
        <v>0</v>
      </c>
      <c r="AX183" s="1767">
        <v>0</v>
      </c>
      <c r="AY183" s="1767">
        <v>0</v>
      </c>
      <c r="AZ183" s="1767">
        <v>0</v>
      </c>
      <c r="BA183" s="1767">
        <v>0</v>
      </c>
      <c r="BB183" s="1767">
        <v>0</v>
      </c>
      <c r="BC183" s="1767">
        <v>0</v>
      </c>
      <c r="BD183" s="1767">
        <v>0</v>
      </c>
      <c r="BE183" s="1767">
        <v>0</v>
      </c>
      <c r="BF183" s="1767">
        <v>0</v>
      </c>
      <c r="BG183" s="1767">
        <v>0</v>
      </c>
      <c r="BH183" s="1767">
        <v>0</v>
      </c>
      <c r="BI183" s="1767">
        <v>0</v>
      </c>
      <c r="BJ183" s="1767">
        <v>0</v>
      </c>
      <c r="BK183" s="1767">
        <v>0</v>
      </c>
      <c r="BL183" s="1767">
        <v>0</v>
      </c>
      <c r="BM183" s="1767">
        <v>0</v>
      </c>
      <c r="BN183" s="1767">
        <v>0</v>
      </c>
      <c r="BO183" s="1767">
        <v>0</v>
      </c>
      <c r="BP183" s="1767">
        <v>0</v>
      </c>
      <c r="BQ183" s="1767">
        <v>0</v>
      </c>
      <c r="BR183" s="1767">
        <v>0</v>
      </c>
      <c r="BS183" s="1767">
        <v>0</v>
      </c>
      <c r="BT183" s="1767">
        <v>0</v>
      </c>
      <c r="BU183" s="1767">
        <v>0</v>
      </c>
      <c r="BV183" s="1767">
        <v>0</v>
      </c>
      <c r="BW183" s="1767">
        <v>0</v>
      </c>
      <c r="BX183" s="1767">
        <v>0</v>
      </c>
      <c r="BY183" s="1767">
        <v>0</v>
      </c>
      <c r="BZ183" s="1767">
        <v>0</v>
      </c>
      <c r="CA183" s="1767">
        <v>0</v>
      </c>
      <c r="CB183" s="1767">
        <v>0</v>
      </c>
      <c r="CC183" s="1767">
        <v>0</v>
      </c>
      <c r="CD183" s="1767">
        <v>0</v>
      </c>
      <c r="CE183" s="1767">
        <v>0</v>
      </c>
      <c r="CF183" s="1767">
        <v>0</v>
      </c>
      <c r="CG183" s="1767">
        <v>0</v>
      </c>
      <c r="CH183" s="1767">
        <v>0</v>
      </c>
      <c r="CI183" s="1767">
        <v>0</v>
      </c>
      <c r="CJ183" s="1767">
        <v>0</v>
      </c>
      <c r="CK183" s="1767">
        <v>0</v>
      </c>
      <c r="CL183" s="1767">
        <v>0</v>
      </c>
      <c r="CM183" s="1767">
        <v>0</v>
      </c>
      <c r="CN183" s="1767">
        <v>0</v>
      </c>
      <c r="CO183" s="1767">
        <v>0</v>
      </c>
      <c r="CP183" s="1767">
        <v>0</v>
      </c>
    </row>
    <row r="184" spans="1:94" ht="15" customHeight="1" x14ac:dyDescent="0.2">
      <c r="A184" s="1847"/>
      <c r="B184" s="1834"/>
      <c r="C184" s="663" t="s">
        <v>575</v>
      </c>
      <c r="D184" s="936"/>
      <c r="E184" s="1837"/>
      <c r="F184" s="1225"/>
      <c r="G184" s="1767">
        <v>0</v>
      </c>
      <c r="H184" s="1767">
        <v>0</v>
      </c>
      <c r="I184" s="1767">
        <v>0</v>
      </c>
      <c r="J184" s="1767">
        <v>0</v>
      </c>
      <c r="K184" s="1767">
        <v>0</v>
      </c>
      <c r="L184" s="1767">
        <v>0</v>
      </c>
      <c r="M184" s="1767">
        <v>0</v>
      </c>
      <c r="N184" s="1767">
        <v>0</v>
      </c>
      <c r="O184" s="1767">
        <v>0</v>
      </c>
      <c r="P184" s="1767">
        <v>0</v>
      </c>
      <c r="Q184" s="1767">
        <v>0</v>
      </c>
      <c r="R184" s="1767">
        <v>0</v>
      </c>
      <c r="S184" s="1767">
        <v>0</v>
      </c>
      <c r="T184" s="1767">
        <v>0</v>
      </c>
      <c r="U184" s="1767">
        <v>0</v>
      </c>
      <c r="V184" s="1767">
        <v>0</v>
      </c>
      <c r="W184" s="1767">
        <v>0</v>
      </c>
      <c r="X184" s="1767">
        <v>0</v>
      </c>
      <c r="Y184" s="1767">
        <v>0</v>
      </c>
      <c r="Z184" s="1767">
        <v>0</v>
      </c>
      <c r="AA184" s="1767">
        <v>0</v>
      </c>
      <c r="AB184" s="1767">
        <v>0</v>
      </c>
      <c r="AC184" s="1767">
        <v>0</v>
      </c>
      <c r="AD184" s="1767">
        <v>0</v>
      </c>
      <c r="AE184" s="1767">
        <v>0</v>
      </c>
      <c r="AF184" s="1767">
        <v>0</v>
      </c>
      <c r="AG184" s="1767">
        <v>0</v>
      </c>
      <c r="AH184" s="1767">
        <v>0</v>
      </c>
      <c r="AI184" s="1767">
        <v>0</v>
      </c>
      <c r="AJ184" s="1767">
        <v>0</v>
      </c>
      <c r="AK184" s="1767">
        <v>0</v>
      </c>
      <c r="AL184" s="1767">
        <v>0</v>
      </c>
      <c r="AM184" s="1767">
        <v>0</v>
      </c>
      <c r="AN184" s="1767">
        <v>0</v>
      </c>
      <c r="AO184" s="1767">
        <v>0</v>
      </c>
      <c r="AP184" s="1767">
        <v>0</v>
      </c>
      <c r="AQ184" s="1767">
        <v>0</v>
      </c>
      <c r="AR184" s="1767">
        <v>0</v>
      </c>
      <c r="AS184" s="1767">
        <v>0</v>
      </c>
      <c r="AT184" s="1767">
        <v>0</v>
      </c>
      <c r="AU184" s="1767">
        <v>0</v>
      </c>
      <c r="AV184" s="1767">
        <v>0</v>
      </c>
      <c r="AW184" s="1767">
        <v>0</v>
      </c>
      <c r="AX184" s="1767">
        <v>0</v>
      </c>
      <c r="AY184" s="1767">
        <v>0</v>
      </c>
      <c r="AZ184" s="1767">
        <v>0</v>
      </c>
      <c r="BA184" s="1767">
        <v>0</v>
      </c>
      <c r="BB184" s="1767">
        <v>0</v>
      </c>
      <c r="BC184" s="1767">
        <v>0</v>
      </c>
      <c r="BD184" s="1767">
        <v>0</v>
      </c>
      <c r="BE184" s="1767">
        <v>0</v>
      </c>
      <c r="BF184" s="1767">
        <v>0</v>
      </c>
      <c r="BG184" s="1767">
        <v>0</v>
      </c>
      <c r="BH184" s="1767">
        <v>0</v>
      </c>
      <c r="BI184" s="1767">
        <v>0</v>
      </c>
      <c r="BJ184" s="1767">
        <v>0</v>
      </c>
      <c r="BK184" s="1767">
        <v>0</v>
      </c>
      <c r="BL184" s="1767">
        <v>0</v>
      </c>
      <c r="BM184" s="1767">
        <v>0</v>
      </c>
      <c r="BN184" s="1767">
        <v>0</v>
      </c>
      <c r="BO184" s="1767">
        <v>0</v>
      </c>
      <c r="BP184" s="1767">
        <v>0</v>
      </c>
      <c r="BQ184" s="1767">
        <v>0</v>
      </c>
      <c r="BR184" s="1767">
        <v>0</v>
      </c>
      <c r="BS184" s="1767">
        <v>0</v>
      </c>
      <c r="BT184" s="1767">
        <v>0</v>
      </c>
      <c r="BU184" s="1767">
        <v>0</v>
      </c>
      <c r="BV184" s="1767">
        <v>0</v>
      </c>
      <c r="BW184" s="1767">
        <v>0</v>
      </c>
      <c r="BX184" s="1767">
        <v>0</v>
      </c>
      <c r="BY184" s="1767">
        <v>0</v>
      </c>
      <c r="BZ184" s="1767">
        <v>0</v>
      </c>
      <c r="CA184" s="1767">
        <v>0</v>
      </c>
      <c r="CB184" s="1767">
        <v>0</v>
      </c>
      <c r="CC184" s="1767">
        <v>0</v>
      </c>
      <c r="CD184" s="1767">
        <v>0</v>
      </c>
      <c r="CE184" s="1767">
        <v>0</v>
      </c>
      <c r="CF184" s="1767">
        <v>0</v>
      </c>
      <c r="CG184" s="1767">
        <v>0</v>
      </c>
      <c r="CH184" s="1767">
        <v>0</v>
      </c>
      <c r="CI184" s="1767">
        <v>0</v>
      </c>
      <c r="CJ184" s="1767">
        <v>0</v>
      </c>
      <c r="CK184" s="1767">
        <v>0</v>
      </c>
      <c r="CL184" s="1767">
        <v>0</v>
      </c>
      <c r="CM184" s="1767">
        <v>0</v>
      </c>
      <c r="CN184" s="1767">
        <v>0</v>
      </c>
      <c r="CO184" s="1767">
        <v>0</v>
      </c>
      <c r="CP184" s="1767">
        <v>0</v>
      </c>
    </row>
    <row r="185" spans="1:94" ht="15" customHeight="1" x14ac:dyDescent="0.2">
      <c r="A185" s="1847"/>
      <c r="B185" s="1834"/>
      <c r="C185" s="663" t="s">
        <v>553</v>
      </c>
      <c r="D185" s="936"/>
      <c r="E185" s="1837"/>
      <c r="F185" s="1225"/>
      <c r="G185" s="1767">
        <v>0</v>
      </c>
      <c r="H185" s="1767">
        <v>0</v>
      </c>
      <c r="I185" s="1767">
        <v>0</v>
      </c>
      <c r="J185" s="1767">
        <v>0</v>
      </c>
      <c r="K185" s="1767">
        <v>0</v>
      </c>
      <c r="L185" s="1767">
        <v>0</v>
      </c>
      <c r="M185" s="1767">
        <v>0</v>
      </c>
      <c r="N185" s="1767">
        <v>0</v>
      </c>
      <c r="O185" s="1767">
        <v>0</v>
      </c>
      <c r="P185" s="1767">
        <v>0</v>
      </c>
      <c r="Q185" s="1767">
        <v>0</v>
      </c>
      <c r="R185" s="1767">
        <v>0</v>
      </c>
      <c r="S185" s="1767">
        <v>0</v>
      </c>
      <c r="T185" s="1767">
        <v>0</v>
      </c>
      <c r="U185" s="1767">
        <v>0</v>
      </c>
      <c r="V185" s="1767">
        <v>0</v>
      </c>
      <c r="W185" s="1767">
        <v>0</v>
      </c>
      <c r="X185" s="1767">
        <v>0</v>
      </c>
      <c r="Y185" s="1767">
        <v>0</v>
      </c>
      <c r="Z185" s="1767">
        <v>0</v>
      </c>
      <c r="AA185" s="1767">
        <v>0</v>
      </c>
      <c r="AB185" s="1767">
        <v>0</v>
      </c>
      <c r="AC185" s="1767">
        <v>0</v>
      </c>
      <c r="AD185" s="1767">
        <v>0</v>
      </c>
      <c r="AE185" s="1767">
        <v>0</v>
      </c>
      <c r="AF185" s="1767">
        <v>0</v>
      </c>
      <c r="AG185" s="1767">
        <v>0</v>
      </c>
      <c r="AH185" s="1767">
        <v>0</v>
      </c>
      <c r="AI185" s="1767">
        <v>0</v>
      </c>
      <c r="AJ185" s="1767">
        <v>0</v>
      </c>
      <c r="AK185" s="1767">
        <v>0</v>
      </c>
      <c r="AL185" s="1767">
        <v>0</v>
      </c>
      <c r="AM185" s="1767">
        <v>0</v>
      </c>
      <c r="AN185" s="1767">
        <v>0</v>
      </c>
      <c r="AO185" s="1767">
        <v>0</v>
      </c>
      <c r="AP185" s="1767">
        <v>0</v>
      </c>
      <c r="AQ185" s="1767">
        <v>0</v>
      </c>
      <c r="AR185" s="1767">
        <v>0</v>
      </c>
      <c r="AS185" s="1767">
        <v>0</v>
      </c>
      <c r="AT185" s="1767">
        <v>0</v>
      </c>
      <c r="AU185" s="1767">
        <v>0</v>
      </c>
      <c r="AV185" s="1767">
        <v>0</v>
      </c>
      <c r="AW185" s="1767">
        <v>0</v>
      </c>
      <c r="AX185" s="1767">
        <v>0</v>
      </c>
      <c r="AY185" s="1767">
        <v>0</v>
      </c>
      <c r="AZ185" s="1767">
        <v>0</v>
      </c>
      <c r="BA185" s="1767">
        <v>0</v>
      </c>
      <c r="BB185" s="1767">
        <v>0</v>
      </c>
      <c r="BC185" s="1767">
        <v>0</v>
      </c>
      <c r="BD185" s="1767">
        <v>0</v>
      </c>
      <c r="BE185" s="1767">
        <v>0</v>
      </c>
      <c r="BF185" s="1767">
        <v>0</v>
      </c>
      <c r="BG185" s="1767">
        <v>0</v>
      </c>
      <c r="BH185" s="1767">
        <v>0</v>
      </c>
      <c r="BI185" s="1767">
        <v>0</v>
      </c>
      <c r="BJ185" s="1767">
        <v>0</v>
      </c>
      <c r="BK185" s="1767">
        <v>0</v>
      </c>
      <c r="BL185" s="1767">
        <v>0</v>
      </c>
      <c r="BM185" s="1767">
        <v>0</v>
      </c>
      <c r="BN185" s="1767">
        <v>0</v>
      </c>
      <c r="BO185" s="1767">
        <v>0</v>
      </c>
      <c r="BP185" s="1767">
        <v>0</v>
      </c>
      <c r="BQ185" s="1767">
        <v>0</v>
      </c>
      <c r="BR185" s="1767">
        <v>0</v>
      </c>
      <c r="BS185" s="1767">
        <v>0</v>
      </c>
      <c r="BT185" s="1767">
        <v>0</v>
      </c>
      <c r="BU185" s="1767">
        <v>0</v>
      </c>
      <c r="BV185" s="1767">
        <v>0</v>
      </c>
      <c r="BW185" s="1767">
        <v>0</v>
      </c>
      <c r="BX185" s="1767">
        <v>0</v>
      </c>
      <c r="BY185" s="1767">
        <v>0</v>
      </c>
      <c r="BZ185" s="1767">
        <v>0</v>
      </c>
      <c r="CA185" s="1767">
        <v>0</v>
      </c>
      <c r="CB185" s="1767">
        <v>0</v>
      </c>
      <c r="CC185" s="1767">
        <v>0</v>
      </c>
      <c r="CD185" s="1767">
        <v>0</v>
      </c>
      <c r="CE185" s="1767">
        <v>0</v>
      </c>
      <c r="CF185" s="1767">
        <v>0</v>
      </c>
      <c r="CG185" s="1767">
        <v>0</v>
      </c>
      <c r="CH185" s="1767">
        <v>0</v>
      </c>
      <c r="CI185" s="1767">
        <v>0</v>
      </c>
      <c r="CJ185" s="1767">
        <v>0</v>
      </c>
      <c r="CK185" s="1767">
        <v>0</v>
      </c>
      <c r="CL185" s="1767">
        <v>0</v>
      </c>
      <c r="CM185" s="1767">
        <v>0</v>
      </c>
      <c r="CN185" s="1767">
        <v>0</v>
      </c>
      <c r="CO185" s="1767">
        <v>0</v>
      </c>
      <c r="CP185" s="1767">
        <v>0</v>
      </c>
    </row>
    <row r="186" spans="1:94" ht="15" customHeight="1" thickBot="1" x14ac:dyDescent="0.25">
      <c r="A186" s="1847"/>
      <c r="B186" s="1834"/>
      <c r="C186" s="649" t="s">
        <v>576</v>
      </c>
      <c r="D186" s="949"/>
      <c r="E186" s="1837"/>
      <c r="F186" s="1225"/>
      <c r="G186" s="1767">
        <v>0</v>
      </c>
      <c r="H186" s="1767">
        <v>0</v>
      </c>
      <c r="I186" s="1767">
        <v>0</v>
      </c>
      <c r="J186" s="1767">
        <v>0</v>
      </c>
      <c r="K186" s="1767">
        <v>0</v>
      </c>
      <c r="L186" s="1767">
        <v>0</v>
      </c>
      <c r="M186" s="1767">
        <v>0</v>
      </c>
      <c r="N186" s="1767">
        <v>0</v>
      </c>
      <c r="O186" s="1767">
        <v>0</v>
      </c>
      <c r="P186" s="1767">
        <v>0</v>
      </c>
      <c r="Q186" s="1767">
        <v>0</v>
      </c>
      <c r="R186" s="1767">
        <v>0</v>
      </c>
      <c r="S186" s="1767">
        <v>0</v>
      </c>
      <c r="T186" s="1767">
        <v>0</v>
      </c>
      <c r="U186" s="1767">
        <v>0</v>
      </c>
      <c r="V186" s="1767">
        <v>0</v>
      </c>
      <c r="W186" s="1767">
        <v>0</v>
      </c>
      <c r="X186" s="1767">
        <v>0</v>
      </c>
      <c r="Y186" s="1767">
        <v>0</v>
      </c>
      <c r="Z186" s="1767">
        <v>0</v>
      </c>
      <c r="AA186" s="1767">
        <v>0</v>
      </c>
      <c r="AB186" s="1767">
        <v>0</v>
      </c>
      <c r="AC186" s="1767">
        <v>0</v>
      </c>
      <c r="AD186" s="1767">
        <v>0</v>
      </c>
      <c r="AE186" s="1767">
        <v>0</v>
      </c>
      <c r="AF186" s="1767">
        <v>0</v>
      </c>
      <c r="AG186" s="1767">
        <v>0</v>
      </c>
      <c r="AH186" s="1767">
        <v>0</v>
      </c>
      <c r="AI186" s="1767">
        <v>0</v>
      </c>
      <c r="AJ186" s="1767">
        <v>0</v>
      </c>
      <c r="AK186" s="1767">
        <v>0</v>
      </c>
      <c r="AL186" s="1767">
        <v>0</v>
      </c>
      <c r="AM186" s="1767">
        <v>0</v>
      </c>
      <c r="AN186" s="1767">
        <v>0</v>
      </c>
      <c r="AO186" s="1767">
        <v>0</v>
      </c>
      <c r="AP186" s="1767">
        <v>0</v>
      </c>
      <c r="AQ186" s="1767">
        <v>0</v>
      </c>
      <c r="AR186" s="1767">
        <v>0</v>
      </c>
      <c r="AS186" s="1767">
        <v>0</v>
      </c>
      <c r="AT186" s="1767">
        <v>0</v>
      </c>
      <c r="AU186" s="1767">
        <v>0</v>
      </c>
      <c r="AV186" s="1767">
        <v>0</v>
      </c>
      <c r="AW186" s="1767">
        <v>0</v>
      </c>
      <c r="AX186" s="1767">
        <v>0</v>
      </c>
      <c r="AY186" s="1767">
        <v>0</v>
      </c>
      <c r="AZ186" s="1767">
        <v>0</v>
      </c>
      <c r="BA186" s="1767">
        <v>0</v>
      </c>
      <c r="BB186" s="1767">
        <v>0</v>
      </c>
      <c r="BC186" s="1767">
        <v>0</v>
      </c>
      <c r="BD186" s="1767">
        <v>0</v>
      </c>
      <c r="BE186" s="1767">
        <v>0</v>
      </c>
      <c r="BF186" s="1767">
        <v>0</v>
      </c>
      <c r="BG186" s="1767">
        <v>0</v>
      </c>
      <c r="BH186" s="1767">
        <v>0</v>
      </c>
      <c r="BI186" s="1767">
        <v>0</v>
      </c>
      <c r="BJ186" s="1767">
        <v>0</v>
      </c>
      <c r="BK186" s="1767">
        <v>0</v>
      </c>
      <c r="BL186" s="1767">
        <v>0</v>
      </c>
      <c r="BM186" s="1767">
        <v>0</v>
      </c>
      <c r="BN186" s="1767">
        <v>0</v>
      </c>
      <c r="BO186" s="1767">
        <v>0</v>
      </c>
      <c r="BP186" s="1767">
        <v>0</v>
      </c>
      <c r="BQ186" s="1767">
        <v>0</v>
      </c>
      <c r="BR186" s="1767">
        <v>0</v>
      </c>
      <c r="BS186" s="1767">
        <v>0</v>
      </c>
      <c r="BT186" s="1767">
        <v>0</v>
      </c>
      <c r="BU186" s="1767">
        <v>0</v>
      </c>
      <c r="BV186" s="1767">
        <v>0</v>
      </c>
      <c r="BW186" s="1767">
        <v>0</v>
      </c>
      <c r="BX186" s="1767">
        <v>0</v>
      </c>
      <c r="BY186" s="1767">
        <v>0</v>
      </c>
      <c r="BZ186" s="1767">
        <v>0</v>
      </c>
      <c r="CA186" s="1767">
        <v>0</v>
      </c>
      <c r="CB186" s="1767">
        <v>0</v>
      </c>
      <c r="CC186" s="1767">
        <v>0</v>
      </c>
      <c r="CD186" s="1767">
        <v>0</v>
      </c>
      <c r="CE186" s="1767">
        <v>0</v>
      </c>
      <c r="CF186" s="1767">
        <v>0</v>
      </c>
      <c r="CG186" s="1767">
        <v>0</v>
      </c>
      <c r="CH186" s="1767">
        <v>0</v>
      </c>
      <c r="CI186" s="1767">
        <v>0</v>
      </c>
      <c r="CJ186" s="1767">
        <v>0</v>
      </c>
      <c r="CK186" s="1767">
        <v>0</v>
      </c>
      <c r="CL186" s="1767">
        <v>0</v>
      </c>
      <c r="CM186" s="1767">
        <v>0</v>
      </c>
      <c r="CN186" s="1767">
        <v>0</v>
      </c>
      <c r="CO186" s="1767">
        <v>0</v>
      </c>
      <c r="CP186" s="1767">
        <v>0</v>
      </c>
    </row>
    <row r="187" spans="1:94" ht="30" customHeight="1" thickBot="1" x14ac:dyDescent="0.25">
      <c r="A187" s="1833" t="s">
        <v>1310</v>
      </c>
      <c r="B187" s="1833" t="s">
        <v>451</v>
      </c>
      <c r="C187" s="1779" t="s">
        <v>2528</v>
      </c>
      <c r="D187" s="947"/>
      <c r="E187" s="1836" t="s">
        <v>1820</v>
      </c>
      <c r="F187" s="1225"/>
      <c r="G187" s="1742"/>
      <c r="H187" s="1742"/>
      <c r="I187" s="1742"/>
      <c r="J187" s="1742"/>
      <c r="K187" s="1742"/>
      <c r="L187" s="1742"/>
      <c r="M187" s="1742"/>
      <c r="N187" s="1742"/>
      <c r="O187" s="1742"/>
      <c r="P187" s="1742"/>
      <c r="Q187" s="1742"/>
      <c r="R187" s="1742"/>
      <c r="S187" s="1742"/>
      <c r="T187" s="1742"/>
      <c r="U187" s="1742"/>
      <c r="V187" s="1742"/>
      <c r="W187" s="1742"/>
      <c r="X187" s="1742"/>
      <c r="Y187" s="1742"/>
      <c r="Z187" s="1742"/>
      <c r="AA187" s="1742"/>
      <c r="AB187" s="1742"/>
      <c r="AC187" s="1742"/>
      <c r="AD187" s="1742"/>
      <c r="AE187" s="1742"/>
      <c r="AF187" s="1742"/>
      <c r="AG187" s="1742"/>
      <c r="AH187" s="1742"/>
      <c r="AI187" s="1742"/>
      <c r="AJ187" s="1742"/>
      <c r="AK187" s="1742"/>
      <c r="AL187" s="1742"/>
      <c r="AM187" s="1742"/>
      <c r="AN187" s="1742"/>
      <c r="AO187" s="1742"/>
      <c r="AP187" s="1742"/>
      <c r="AQ187" s="1742"/>
      <c r="AR187" s="1742"/>
      <c r="AS187" s="1742"/>
      <c r="AT187" s="1742"/>
      <c r="AU187" s="1742"/>
      <c r="AV187" s="1742"/>
      <c r="AW187" s="1742"/>
      <c r="AX187" s="1742"/>
      <c r="AY187" s="1742"/>
      <c r="AZ187" s="1742"/>
      <c r="BA187" s="1742"/>
      <c r="BB187" s="1742"/>
      <c r="BC187" s="1742"/>
      <c r="BD187" s="1742"/>
      <c r="BE187" s="1742"/>
      <c r="BF187" s="1742"/>
      <c r="BG187" s="1742"/>
      <c r="BH187" s="1742"/>
      <c r="BI187" s="1742"/>
      <c r="BJ187" s="1742"/>
      <c r="BK187" s="1742"/>
      <c r="BL187" s="1742"/>
      <c r="BM187" s="1742"/>
      <c r="BN187" s="1742"/>
      <c r="BO187" s="1742"/>
      <c r="BP187" s="1742"/>
      <c r="BQ187" s="1742"/>
      <c r="BR187" s="1742"/>
      <c r="BS187" s="1742"/>
      <c r="BT187" s="1742"/>
      <c r="BU187" s="1742"/>
      <c r="BV187" s="1742"/>
      <c r="BW187" s="1742"/>
      <c r="BX187" s="1742"/>
      <c r="BY187" s="1742"/>
      <c r="BZ187" s="1742"/>
      <c r="CA187" s="1742"/>
      <c r="CB187" s="1742"/>
      <c r="CC187" s="1742"/>
      <c r="CD187" s="1742"/>
      <c r="CE187" s="1742"/>
      <c r="CF187" s="1742"/>
      <c r="CG187" s="1742"/>
      <c r="CH187" s="1742"/>
      <c r="CI187" s="1742"/>
      <c r="CJ187" s="1742"/>
      <c r="CK187" s="1742"/>
      <c r="CL187" s="1742"/>
      <c r="CM187" s="1742"/>
      <c r="CN187" s="1742"/>
      <c r="CO187" s="1742"/>
      <c r="CP187" s="1742"/>
    </row>
    <row r="188" spans="1:94" ht="15" customHeight="1" x14ac:dyDescent="0.2">
      <c r="A188" s="1847"/>
      <c r="B188" s="1834"/>
      <c r="C188" s="649" t="s">
        <v>236</v>
      </c>
      <c r="D188" s="936"/>
      <c r="E188" s="1837"/>
      <c r="F188" s="1225"/>
      <c r="G188" s="1765">
        <v>0</v>
      </c>
      <c r="H188" s="1765">
        <v>0</v>
      </c>
      <c r="I188" s="1765">
        <v>0</v>
      </c>
      <c r="J188" s="1765">
        <v>0</v>
      </c>
      <c r="K188" s="1765">
        <v>0</v>
      </c>
      <c r="L188" s="1765">
        <v>0</v>
      </c>
      <c r="M188" s="1765">
        <v>0</v>
      </c>
      <c r="N188" s="1765">
        <v>0</v>
      </c>
      <c r="O188" s="1765">
        <v>0</v>
      </c>
      <c r="P188" s="1765">
        <v>0</v>
      </c>
      <c r="Q188" s="1765">
        <v>0</v>
      </c>
      <c r="R188" s="1765">
        <v>0</v>
      </c>
      <c r="S188" s="1765">
        <v>0</v>
      </c>
      <c r="T188" s="1765">
        <v>0</v>
      </c>
      <c r="U188" s="1765">
        <v>0</v>
      </c>
      <c r="V188" s="1765">
        <v>0</v>
      </c>
      <c r="W188" s="1765">
        <v>0</v>
      </c>
      <c r="X188" s="1765">
        <v>0</v>
      </c>
      <c r="Y188" s="1765">
        <v>0</v>
      </c>
      <c r="Z188" s="1765">
        <v>0</v>
      </c>
      <c r="AA188" s="1765">
        <v>0</v>
      </c>
      <c r="AB188" s="1765">
        <v>0</v>
      </c>
      <c r="AC188" s="1765">
        <v>0</v>
      </c>
      <c r="AD188" s="1765">
        <v>0</v>
      </c>
      <c r="AE188" s="1765">
        <v>0</v>
      </c>
      <c r="AF188" s="1765">
        <v>0</v>
      </c>
      <c r="AG188" s="1765">
        <v>0</v>
      </c>
      <c r="AH188" s="1765">
        <v>0</v>
      </c>
      <c r="AI188" s="1765">
        <v>0</v>
      </c>
      <c r="AJ188" s="1765">
        <v>0</v>
      </c>
      <c r="AK188" s="1765">
        <v>0</v>
      </c>
      <c r="AL188" s="1765">
        <v>0</v>
      </c>
      <c r="AM188" s="1765">
        <v>0</v>
      </c>
      <c r="AN188" s="1765">
        <v>0</v>
      </c>
      <c r="AO188" s="1765">
        <v>0</v>
      </c>
      <c r="AP188" s="1765">
        <v>0</v>
      </c>
      <c r="AQ188" s="1765">
        <v>0</v>
      </c>
      <c r="AR188" s="1765">
        <v>0</v>
      </c>
      <c r="AS188" s="1765">
        <v>0</v>
      </c>
      <c r="AT188" s="1765">
        <v>0</v>
      </c>
      <c r="AU188" s="1765">
        <v>0</v>
      </c>
      <c r="AV188" s="1765">
        <v>0</v>
      </c>
      <c r="AW188" s="1765">
        <v>0</v>
      </c>
      <c r="AX188" s="1765">
        <v>0</v>
      </c>
      <c r="AY188" s="1765">
        <v>0</v>
      </c>
      <c r="AZ188" s="1765">
        <v>0</v>
      </c>
      <c r="BA188" s="1765">
        <v>0</v>
      </c>
      <c r="BB188" s="1765">
        <v>0</v>
      </c>
      <c r="BC188" s="1765">
        <v>0</v>
      </c>
      <c r="BD188" s="1765">
        <v>0</v>
      </c>
      <c r="BE188" s="1765">
        <v>0</v>
      </c>
      <c r="BF188" s="1765">
        <v>0</v>
      </c>
      <c r="BG188" s="1765">
        <v>0</v>
      </c>
      <c r="BH188" s="1765">
        <v>0</v>
      </c>
      <c r="BI188" s="1765">
        <v>0</v>
      </c>
      <c r="BJ188" s="1765">
        <v>0</v>
      </c>
      <c r="BK188" s="1765">
        <v>0</v>
      </c>
      <c r="BL188" s="1765">
        <v>0</v>
      </c>
      <c r="BM188" s="1765">
        <v>0</v>
      </c>
      <c r="BN188" s="1765">
        <v>0</v>
      </c>
      <c r="BO188" s="1765">
        <v>0</v>
      </c>
      <c r="BP188" s="1765">
        <v>0</v>
      </c>
      <c r="BQ188" s="1765">
        <v>0</v>
      </c>
      <c r="BR188" s="1765">
        <v>0</v>
      </c>
      <c r="BS188" s="1765">
        <v>0</v>
      </c>
      <c r="BT188" s="1765">
        <v>0</v>
      </c>
      <c r="BU188" s="1765">
        <v>0</v>
      </c>
      <c r="BV188" s="1765">
        <v>0</v>
      </c>
      <c r="BW188" s="1765">
        <v>0</v>
      </c>
      <c r="BX188" s="1765">
        <v>0</v>
      </c>
      <c r="BY188" s="1765">
        <v>0</v>
      </c>
      <c r="BZ188" s="1765">
        <v>0</v>
      </c>
      <c r="CA188" s="1765">
        <v>0</v>
      </c>
      <c r="CB188" s="1765">
        <v>0</v>
      </c>
      <c r="CC188" s="1765">
        <v>0</v>
      </c>
      <c r="CD188" s="1765">
        <v>0</v>
      </c>
      <c r="CE188" s="1765">
        <v>0</v>
      </c>
      <c r="CF188" s="1765">
        <v>0</v>
      </c>
      <c r="CG188" s="1765">
        <v>0</v>
      </c>
      <c r="CH188" s="1765">
        <v>0</v>
      </c>
      <c r="CI188" s="1765">
        <v>0</v>
      </c>
      <c r="CJ188" s="1765">
        <v>0</v>
      </c>
      <c r="CK188" s="1765">
        <v>0</v>
      </c>
      <c r="CL188" s="1765">
        <v>0</v>
      </c>
      <c r="CM188" s="1765">
        <v>0</v>
      </c>
      <c r="CN188" s="1765">
        <v>0</v>
      </c>
      <c r="CO188" s="1765">
        <v>0</v>
      </c>
      <c r="CP188" s="1765">
        <v>0</v>
      </c>
    </row>
    <row r="189" spans="1:94" ht="15" customHeight="1" x14ac:dyDescent="0.2">
      <c r="A189" s="1847"/>
      <c r="B189" s="1834"/>
      <c r="C189" s="663" t="s">
        <v>36</v>
      </c>
      <c r="D189" s="936"/>
      <c r="E189" s="1837"/>
      <c r="F189" s="1225"/>
      <c r="G189" s="1765">
        <v>0</v>
      </c>
      <c r="H189" s="1765">
        <v>0</v>
      </c>
      <c r="I189" s="1765">
        <v>0</v>
      </c>
      <c r="J189" s="1765">
        <v>0</v>
      </c>
      <c r="K189" s="1765">
        <v>0</v>
      </c>
      <c r="L189" s="1765">
        <v>0</v>
      </c>
      <c r="M189" s="1765">
        <v>0</v>
      </c>
      <c r="N189" s="1765">
        <v>0</v>
      </c>
      <c r="O189" s="1765">
        <v>0</v>
      </c>
      <c r="P189" s="1765">
        <v>0</v>
      </c>
      <c r="Q189" s="1765">
        <v>0</v>
      </c>
      <c r="R189" s="1765">
        <v>0</v>
      </c>
      <c r="S189" s="1765">
        <v>0</v>
      </c>
      <c r="T189" s="1765">
        <v>0</v>
      </c>
      <c r="U189" s="1765">
        <v>0</v>
      </c>
      <c r="V189" s="1765">
        <v>0</v>
      </c>
      <c r="W189" s="1765">
        <v>0</v>
      </c>
      <c r="X189" s="1765">
        <v>0</v>
      </c>
      <c r="Y189" s="1765">
        <v>0</v>
      </c>
      <c r="Z189" s="1765">
        <v>0</v>
      </c>
      <c r="AA189" s="1765">
        <v>0</v>
      </c>
      <c r="AB189" s="1765">
        <v>0</v>
      </c>
      <c r="AC189" s="1765">
        <v>0</v>
      </c>
      <c r="AD189" s="1765">
        <v>0</v>
      </c>
      <c r="AE189" s="1765">
        <v>0</v>
      </c>
      <c r="AF189" s="1765">
        <v>0</v>
      </c>
      <c r="AG189" s="1765">
        <v>0</v>
      </c>
      <c r="AH189" s="1765">
        <v>0</v>
      </c>
      <c r="AI189" s="1765">
        <v>0</v>
      </c>
      <c r="AJ189" s="1765">
        <v>0</v>
      </c>
      <c r="AK189" s="1765">
        <v>0</v>
      </c>
      <c r="AL189" s="1765">
        <v>0</v>
      </c>
      <c r="AM189" s="1765">
        <v>0</v>
      </c>
      <c r="AN189" s="1765">
        <v>0</v>
      </c>
      <c r="AO189" s="1765">
        <v>0</v>
      </c>
      <c r="AP189" s="1765">
        <v>0</v>
      </c>
      <c r="AQ189" s="1765">
        <v>0</v>
      </c>
      <c r="AR189" s="1765">
        <v>0</v>
      </c>
      <c r="AS189" s="1765">
        <v>0</v>
      </c>
      <c r="AT189" s="1765">
        <v>0</v>
      </c>
      <c r="AU189" s="1765">
        <v>0</v>
      </c>
      <c r="AV189" s="1765">
        <v>0</v>
      </c>
      <c r="AW189" s="1765">
        <v>0</v>
      </c>
      <c r="AX189" s="1765">
        <v>0</v>
      </c>
      <c r="AY189" s="1765">
        <v>0</v>
      </c>
      <c r="AZ189" s="1765">
        <v>0</v>
      </c>
      <c r="BA189" s="1765">
        <v>0</v>
      </c>
      <c r="BB189" s="1765">
        <v>0</v>
      </c>
      <c r="BC189" s="1765">
        <v>0</v>
      </c>
      <c r="BD189" s="1765">
        <v>0</v>
      </c>
      <c r="BE189" s="1765">
        <v>0</v>
      </c>
      <c r="BF189" s="1765">
        <v>0</v>
      </c>
      <c r="BG189" s="1765">
        <v>0</v>
      </c>
      <c r="BH189" s="1765">
        <v>0</v>
      </c>
      <c r="BI189" s="1765">
        <v>0</v>
      </c>
      <c r="BJ189" s="1765">
        <v>0</v>
      </c>
      <c r="BK189" s="1765">
        <v>0</v>
      </c>
      <c r="BL189" s="1765">
        <v>0</v>
      </c>
      <c r="BM189" s="1765">
        <v>0</v>
      </c>
      <c r="BN189" s="1765">
        <v>0</v>
      </c>
      <c r="BO189" s="1765">
        <v>0</v>
      </c>
      <c r="BP189" s="1765">
        <v>0</v>
      </c>
      <c r="BQ189" s="1765">
        <v>0</v>
      </c>
      <c r="BR189" s="1765">
        <v>0</v>
      </c>
      <c r="BS189" s="1765">
        <v>0</v>
      </c>
      <c r="BT189" s="1765">
        <v>0</v>
      </c>
      <c r="BU189" s="1765">
        <v>0</v>
      </c>
      <c r="BV189" s="1765">
        <v>0</v>
      </c>
      <c r="BW189" s="1765">
        <v>0</v>
      </c>
      <c r="BX189" s="1765">
        <v>0</v>
      </c>
      <c r="BY189" s="1765">
        <v>0</v>
      </c>
      <c r="BZ189" s="1765">
        <v>0</v>
      </c>
      <c r="CA189" s="1765">
        <v>0</v>
      </c>
      <c r="CB189" s="1765">
        <v>0</v>
      </c>
      <c r="CC189" s="1765">
        <v>0</v>
      </c>
      <c r="CD189" s="1765">
        <v>0</v>
      </c>
      <c r="CE189" s="1765">
        <v>0</v>
      </c>
      <c r="CF189" s="1765">
        <v>0</v>
      </c>
      <c r="CG189" s="1765">
        <v>0</v>
      </c>
      <c r="CH189" s="1765">
        <v>0</v>
      </c>
      <c r="CI189" s="1765">
        <v>0</v>
      </c>
      <c r="CJ189" s="1765">
        <v>0</v>
      </c>
      <c r="CK189" s="1765">
        <v>0</v>
      </c>
      <c r="CL189" s="1765">
        <v>0</v>
      </c>
      <c r="CM189" s="1765">
        <v>0</v>
      </c>
      <c r="CN189" s="1765">
        <v>0</v>
      </c>
      <c r="CO189" s="1765">
        <v>0</v>
      </c>
      <c r="CP189" s="1765">
        <v>0</v>
      </c>
    </row>
    <row r="190" spans="1:94" ht="15" customHeight="1" x14ac:dyDescent="0.2">
      <c r="A190" s="1847"/>
      <c r="B190" s="1834"/>
      <c r="C190" s="663" t="s">
        <v>2</v>
      </c>
      <c r="D190" s="936"/>
      <c r="E190" s="1837"/>
      <c r="F190" s="1225"/>
      <c r="G190" s="1765">
        <v>0</v>
      </c>
      <c r="H190" s="1765">
        <v>0</v>
      </c>
      <c r="I190" s="1765">
        <v>0</v>
      </c>
      <c r="J190" s="1765">
        <v>0</v>
      </c>
      <c r="K190" s="1765">
        <v>0</v>
      </c>
      <c r="L190" s="1765">
        <v>0</v>
      </c>
      <c r="M190" s="1765">
        <v>0</v>
      </c>
      <c r="N190" s="1765">
        <v>0</v>
      </c>
      <c r="O190" s="1765">
        <v>0</v>
      </c>
      <c r="P190" s="1765">
        <v>0</v>
      </c>
      <c r="Q190" s="1765">
        <v>0</v>
      </c>
      <c r="R190" s="1765">
        <v>0</v>
      </c>
      <c r="S190" s="1765">
        <v>0</v>
      </c>
      <c r="T190" s="1765">
        <v>0</v>
      </c>
      <c r="U190" s="1765">
        <v>0</v>
      </c>
      <c r="V190" s="1765">
        <v>0</v>
      </c>
      <c r="W190" s="1765">
        <v>0</v>
      </c>
      <c r="X190" s="1765">
        <v>0</v>
      </c>
      <c r="Y190" s="1765">
        <v>0</v>
      </c>
      <c r="Z190" s="1765">
        <v>0</v>
      </c>
      <c r="AA190" s="1765">
        <v>0</v>
      </c>
      <c r="AB190" s="1765">
        <v>0</v>
      </c>
      <c r="AC190" s="1765">
        <v>0</v>
      </c>
      <c r="AD190" s="1765">
        <v>0</v>
      </c>
      <c r="AE190" s="1765">
        <v>0</v>
      </c>
      <c r="AF190" s="1765">
        <v>0</v>
      </c>
      <c r="AG190" s="1765">
        <v>0</v>
      </c>
      <c r="AH190" s="1765">
        <v>0</v>
      </c>
      <c r="AI190" s="1765">
        <v>0</v>
      </c>
      <c r="AJ190" s="1765">
        <v>0</v>
      </c>
      <c r="AK190" s="1765">
        <v>0</v>
      </c>
      <c r="AL190" s="1765">
        <v>0</v>
      </c>
      <c r="AM190" s="1765">
        <v>0</v>
      </c>
      <c r="AN190" s="1765">
        <v>0</v>
      </c>
      <c r="AO190" s="1765">
        <v>0</v>
      </c>
      <c r="AP190" s="1765">
        <v>0</v>
      </c>
      <c r="AQ190" s="1765">
        <v>0</v>
      </c>
      <c r="AR190" s="1765">
        <v>0</v>
      </c>
      <c r="AS190" s="1765">
        <v>0</v>
      </c>
      <c r="AT190" s="1765">
        <v>0</v>
      </c>
      <c r="AU190" s="1765">
        <v>0</v>
      </c>
      <c r="AV190" s="1765">
        <v>0</v>
      </c>
      <c r="AW190" s="1765">
        <v>0</v>
      </c>
      <c r="AX190" s="1765">
        <v>0</v>
      </c>
      <c r="AY190" s="1765">
        <v>0</v>
      </c>
      <c r="AZ190" s="1765">
        <v>0</v>
      </c>
      <c r="BA190" s="1765">
        <v>0</v>
      </c>
      <c r="BB190" s="1765">
        <v>0</v>
      </c>
      <c r="BC190" s="1765">
        <v>0</v>
      </c>
      <c r="BD190" s="1765">
        <v>0</v>
      </c>
      <c r="BE190" s="1765">
        <v>0</v>
      </c>
      <c r="BF190" s="1765">
        <v>0</v>
      </c>
      <c r="BG190" s="1765">
        <v>0</v>
      </c>
      <c r="BH190" s="1765">
        <v>0</v>
      </c>
      <c r="BI190" s="1765">
        <v>0</v>
      </c>
      <c r="BJ190" s="1765">
        <v>0</v>
      </c>
      <c r="BK190" s="1765">
        <v>0</v>
      </c>
      <c r="BL190" s="1765">
        <v>0</v>
      </c>
      <c r="BM190" s="1765">
        <v>0</v>
      </c>
      <c r="BN190" s="1765">
        <v>0</v>
      </c>
      <c r="BO190" s="1765">
        <v>0</v>
      </c>
      <c r="BP190" s="1765">
        <v>0</v>
      </c>
      <c r="BQ190" s="1765">
        <v>0</v>
      </c>
      <c r="BR190" s="1765">
        <v>0</v>
      </c>
      <c r="BS190" s="1765">
        <v>0</v>
      </c>
      <c r="BT190" s="1765">
        <v>0</v>
      </c>
      <c r="BU190" s="1765">
        <v>0</v>
      </c>
      <c r="BV190" s="1765">
        <v>0</v>
      </c>
      <c r="BW190" s="1765">
        <v>0</v>
      </c>
      <c r="BX190" s="1765">
        <v>0</v>
      </c>
      <c r="BY190" s="1765">
        <v>0</v>
      </c>
      <c r="BZ190" s="1765">
        <v>0</v>
      </c>
      <c r="CA190" s="1765">
        <v>0</v>
      </c>
      <c r="CB190" s="1765">
        <v>0</v>
      </c>
      <c r="CC190" s="1765">
        <v>0</v>
      </c>
      <c r="CD190" s="1765">
        <v>0</v>
      </c>
      <c r="CE190" s="1765">
        <v>0</v>
      </c>
      <c r="CF190" s="1765">
        <v>0</v>
      </c>
      <c r="CG190" s="1765">
        <v>0</v>
      </c>
      <c r="CH190" s="1765">
        <v>0</v>
      </c>
      <c r="CI190" s="1765">
        <v>0</v>
      </c>
      <c r="CJ190" s="1765">
        <v>0</v>
      </c>
      <c r="CK190" s="1765">
        <v>0</v>
      </c>
      <c r="CL190" s="1765">
        <v>0</v>
      </c>
      <c r="CM190" s="1765">
        <v>0</v>
      </c>
      <c r="CN190" s="1765">
        <v>0</v>
      </c>
      <c r="CO190" s="1765">
        <v>0</v>
      </c>
      <c r="CP190" s="1765">
        <v>0</v>
      </c>
    </row>
    <row r="191" spans="1:94" ht="15" customHeight="1" x14ac:dyDescent="0.2">
      <c r="A191" s="1847"/>
      <c r="B191" s="1834"/>
      <c r="C191" s="663" t="s">
        <v>3</v>
      </c>
      <c r="D191" s="936"/>
      <c r="E191" s="1837"/>
      <c r="F191" s="1225"/>
      <c r="G191" s="1765">
        <v>0</v>
      </c>
      <c r="H191" s="1765">
        <v>0</v>
      </c>
      <c r="I191" s="1765">
        <v>0</v>
      </c>
      <c r="J191" s="1765">
        <v>0</v>
      </c>
      <c r="K191" s="1765">
        <v>0</v>
      </c>
      <c r="L191" s="1765">
        <v>0</v>
      </c>
      <c r="M191" s="1765">
        <v>0</v>
      </c>
      <c r="N191" s="1765">
        <v>0</v>
      </c>
      <c r="O191" s="1765">
        <v>0</v>
      </c>
      <c r="P191" s="1765">
        <v>0</v>
      </c>
      <c r="Q191" s="1765">
        <v>0</v>
      </c>
      <c r="R191" s="1765">
        <v>0</v>
      </c>
      <c r="S191" s="1765">
        <v>0</v>
      </c>
      <c r="T191" s="1765">
        <v>0</v>
      </c>
      <c r="U191" s="1765">
        <v>0</v>
      </c>
      <c r="V191" s="1765">
        <v>0</v>
      </c>
      <c r="W191" s="1765">
        <v>0</v>
      </c>
      <c r="X191" s="1765">
        <v>0</v>
      </c>
      <c r="Y191" s="1765">
        <v>0</v>
      </c>
      <c r="Z191" s="1765">
        <v>0</v>
      </c>
      <c r="AA191" s="1765">
        <v>0</v>
      </c>
      <c r="AB191" s="1765">
        <v>0</v>
      </c>
      <c r="AC191" s="1765">
        <v>0</v>
      </c>
      <c r="AD191" s="1765">
        <v>0</v>
      </c>
      <c r="AE191" s="1765">
        <v>0</v>
      </c>
      <c r="AF191" s="1765">
        <v>0</v>
      </c>
      <c r="AG191" s="1765">
        <v>0</v>
      </c>
      <c r="AH191" s="1765">
        <v>0</v>
      </c>
      <c r="AI191" s="1765">
        <v>0</v>
      </c>
      <c r="AJ191" s="1765">
        <v>0</v>
      </c>
      <c r="AK191" s="1765">
        <v>0</v>
      </c>
      <c r="AL191" s="1765">
        <v>0</v>
      </c>
      <c r="AM191" s="1765">
        <v>0</v>
      </c>
      <c r="AN191" s="1765">
        <v>0</v>
      </c>
      <c r="AO191" s="1765">
        <v>0</v>
      </c>
      <c r="AP191" s="1765">
        <v>0</v>
      </c>
      <c r="AQ191" s="1765">
        <v>0</v>
      </c>
      <c r="AR191" s="1765">
        <v>0</v>
      </c>
      <c r="AS191" s="1765">
        <v>0</v>
      </c>
      <c r="AT191" s="1765">
        <v>0</v>
      </c>
      <c r="AU191" s="1765">
        <v>0</v>
      </c>
      <c r="AV191" s="1765">
        <v>0</v>
      </c>
      <c r="AW191" s="1765">
        <v>0</v>
      </c>
      <c r="AX191" s="1765">
        <v>0</v>
      </c>
      <c r="AY191" s="1765">
        <v>0</v>
      </c>
      <c r="AZ191" s="1765">
        <v>0</v>
      </c>
      <c r="BA191" s="1765">
        <v>0</v>
      </c>
      <c r="BB191" s="1765">
        <v>0</v>
      </c>
      <c r="BC191" s="1765">
        <v>0</v>
      </c>
      <c r="BD191" s="1765">
        <v>0</v>
      </c>
      <c r="BE191" s="1765">
        <v>0</v>
      </c>
      <c r="BF191" s="1765">
        <v>0</v>
      </c>
      <c r="BG191" s="1765">
        <v>0</v>
      </c>
      <c r="BH191" s="1765">
        <v>0</v>
      </c>
      <c r="BI191" s="1765">
        <v>0</v>
      </c>
      <c r="BJ191" s="1765">
        <v>0</v>
      </c>
      <c r="BK191" s="1765">
        <v>0</v>
      </c>
      <c r="BL191" s="1765">
        <v>0</v>
      </c>
      <c r="BM191" s="1765">
        <v>0</v>
      </c>
      <c r="BN191" s="1765">
        <v>0</v>
      </c>
      <c r="BO191" s="1765">
        <v>0</v>
      </c>
      <c r="BP191" s="1765">
        <v>0</v>
      </c>
      <c r="BQ191" s="1765">
        <v>0</v>
      </c>
      <c r="BR191" s="1765">
        <v>0</v>
      </c>
      <c r="BS191" s="1765">
        <v>0</v>
      </c>
      <c r="BT191" s="1765">
        <v>0</v>
      </c>
      <c r="BU191" s="1765">
        <v>0</v>
      </c>
      <c r="BV191" s="1765">
        <v>0</v>
      </c>
      <c r="BW191" s="1765">
        <v>0</v>
      </c>
      <c r="BX191" s="1765">
        <v>0</v>
      </c>
      <c r="BY191" s="1765">
        <v>0</v>
      </c>
      <c r="BZ191" s="1765">
        <v>0</v>
      </c>
      <c r="CA191" s="1765">
        <v>0</v>
      </c>
      <c r="CB191" s="1765">
        <v>0</v>
      </c>
      <c r="CC191" s="1765">
        <v>0</v>
      </c>
      <c r="CD191" s="1765">
        <v>0</v>
      </c>
      <c r="CE191" s="1765">
        <v>0</v>
      </c>
      <c r="CF191" s="1765">
        <v>0</v>
      </c>
      <c r="CG191" s="1765">
        <v>0</v>
      </c>
      <c r="CH191" s="1765">
        <v>0</v>
      </c>
      <c r="CI191" s="1765">
        <v>0</v>
      </c>
      <c r="CJ191" s="1765">
        <v>0</v>
      </c>
      <c r="CK191" s="1765">
        <v>0</v>
      </c>
      <c r="CL191" s="1765">
        <v>0</v>
      </c>
      <c r="CM191" s="1765">
        <v>0</v>
      </c>
      <c r="CN191" s="1765">
        <v>0</v>
      </c>
      <c r="CO191" s="1765">
        <v>0</v>
      </c>
      <c r="CP191" s="1765">
        <v>0</v>
      </c>
    </row>
    <row r="192" spans="1:94" ht="15" customHeight="1" thickBot="1" x14ac:dyDescent="0.25">
      <c r="A192" s="1848"/>
      <c r="B192" s="1835"/>
      <c r="C192" s="650" t="s">
        <v>4</v>
      </c>
      <c r="D192" s="950"/>
      <c r="E192" s="1838"/>
      <c r="F192" s="1225"/>
      <c r="G192" s="1765">
        <v>0</v>
      </c>
      <c r="H192" s="1765">
        <v>0</v>
      </c>
      <c r="I192" s="1765">
        <v>0</v>
      </c>
      <c r="J192" s="1765">
        <v>0</v>
      </c>
      <c r="K192" s="1765">
        <v>0</v>
      </c>
      <c r="L192" s="1765">
        <v>0</v>
      </c>
      <c r="M192" s="1765">
        <v>0</v>
      </c>
      <c r="N192" s="1765">
        <v>0</v>
      </c>
      <c r="O192" s="1765">
        <v>0</v>
      </c>
      <c r="P192" s="1765">
        <v>0</v>
      </c>
      <c r="Q192" s="1765">
        <v>0</v>
      </c>
      <c r="R192" s="1765">
        <v>0</v>
      </c>
      <c r="S192" s="1765">
        <v>0</v>
      </c>
      <c r="T192" s="1765">
        <v>0</v>
      </c>
      <c r="U192" s="1765">
        <v>0</v>
      </c>
      <c r="V192" s="1765">
        <v>0</v>
      </c>
      <c r="W192" s="1765">
        <v>0</v>
      </c>
      <c r="X192" s="1765">
        <v>0</v>
      </c>
      <c r="Y192" s="1765">
        <v>0</v>
      </c>
      <c r="Z192" s="1765">
        <v>0</v>
      </c>
      <c r="AA192" s="1765">
        <v>0</v>
      </c>
      <c r="AB192" s="1765">
        <v>0</v>
      </c>
      <c r="AC192" s="1765">
        <v>0</v>
      </c>
      <c r="AD192" s="1765">
        <v>0</v>
      </c>
      <c r="AE192" s="1765">
        <v>0</v>
      </c>
      <c r="AF192" s="1765">
        <v>0</v>
      </c>
      <c r="AG192" s="1765">
        <v>0</v>
      </c>
      <c r="AH192" s="1765">
        <v>0</v>
      </c>
      <c r="AI192" s="1765">
        <v>0</v>
      </c>
      <c r="AJ192" s="1765">
        <v>0</v>
      </c>
      <c r="AK192" s="1765">
        <v>0</v>
      </c>
      <c r="AL192" s="1765">
        <v>0</v>
      </c>
      <c r="AM192" s="1765">
        <v>0</v>
      </c>
      <c r="AN192" s="1765">
        <v>0</v>
      </c>
      <c r="AO192" s="1765">
        <v>0</v>
      </c>
      <c r="AP192" s="1765">
        <v>0</v>
      </c>
      <c r="AQ192" s="1765">
        <v>0</v>
      </c>
      <c r="AR192" s="1765">
        <v>0</v>
      </c>
      <c r="AS192" s="1765">
        <v>0</v>
      </c>
      <c r="AT192" s="1765">
        <v>0</v>
      </c>
      <c r="AU192" s="1765">
        <v>0</v>
      </c>
      <c r="AV192" s="1765">
        <v>0</v>
      </c>
      <c r="AW192" s="1765">
        <v>0</v>
      </c>
      <c r="AX192" s="1765">
        <v>0</v>
      </c>
      <c r="AY192" s="1765">
        <v>0</v>
      </c>
      <c r="AZ192" s="1765">
        <v>0</v>
      </c>
      <c r="BA192" s="1765">
        <v>0</v>
      </c>
      <c r="BB192" s="1765">
        <v>0</v>
      </c>
      <c r="BC192" s="1765">
        <v>0</v>
      </c>
      <c r="BD192" s="1765">
        <v>0</v>
      </c>
      <c r="BE192" s="1765">
        <v>0</v>
      </c>
      <c r="BF192" s="1765">
        <v>0</v>
      </c>
      <c r="BG192" s="1765">
        <v>0</v>
      </c>
      <c r="BH192" s="1765">
        <v>0</v>
      </c>
      <c r="BI192" s="1765">
        <v>0</v>
      </c>
      <c r="BJ192" s="1765">
        <v>0</v>
      </c>
      <c r="BK192" s="1765">
        <v>0</v>
      </c>
      <c r="BL192" s="1765">
        <v>0</v>
      </c>
      <c r="BM192" s="1765">
        <v>0</v>
      </c>
      <c r="BN192" s="1765">
        <v>0</v>
      </c>
      <c r="BO192" s="1765">
        <v>0</v>
      </c>
      <c r="BP192" s="1765">
        <v>0</v>
      </c>
      <c r="BQ192" s="1765">
        <v>0</v>
      </c>
      <c r="BR192" s="1765">
        <v>0</v>
      </c>
      <c r="BS192" s="1765">
        <v>0</v>
      </c>
      <c r="BT192" s="1765">
        <v>0</v>
      </c>
      <c r="BU192" s="1765">
        <v>0</v>
      </c>
      <c r="BV192" s="1765">
        <v>0</v>
      </c>
      <c r="BW192" s="1765">
        <v>0</v>
      </c>
      <c r="BX192" s="1765">
        <v>0</v>
      </c>
      <c r="BY192" s="1765">
        <v>0</v>
      </c>
      <c r="BZ192" s="1765">
        <v>0</v>
      </c>
      <c r="CA192" s="1765">
        <v>0</v>
      </c>
      <c r="CB192" s="1765">
        <v>0</v>
      </c>
      <c r="CC192" s="1765">
        <v>0</v>
      </c>
      <c r="CD192" s="1765">
        <v>0</v>
      </c>
      <c r="CE192" s="1765">
        <v>0</v>
      </c>
      <c r="CF192" s="1765">
        <v>0</v>
      </c>
      <c r="CG192" s="1765">
        <v>0</v>
      </c>
      <c r="CH192" s="1765">
        <v>0</v>
      </c>
      <c r="CI192" s="1765">
        <v>0</v>
      </c>
      <c r="CJ192" s="1765">
        <v>0</v>
      </c>
      <c r="CK192" s="1765">
        <v>0</v>
      </c>
      <c r="CL192" s="1765">
        <v>0</v>
      </c>
      <c r="CM192" s="1765">
        <v>0</v>
      </c>
      <c r="CN192" s="1765">
        <v>0</v>
      </c>
      <c r="CO192" s="1765">
        <v>0</v>
      </c>
      <c r="CP192" s="1765">
        <v>0</v>
      </c>
    </row>
    <row r="193" spans="1:94" ht="30" customHeight="1" thickBot="1" x14ac:dyDescent="0.25">
      <c r="A193" s="1883" t="s">
        <v>1311</v>
      </c>
      <c r="B193" s="1881" t="s">
        <v>1697</v>
      </c>
      <c r="C193" s="1784" t="s">
        <v>1821</v>
      </c>
      <c r="D193" s="946"/>
      <c r="E193" s="1844" t="s">
        <v>1822</v>
      </c>
      <c r="F193" s="1225"/>
      <c r="G193" s="1742"/>
      <c r="H193" s="1742"/>
      <c r="I193" s="1742"/>
      <c r="J193" s="1742"/>
      <c r="K193" s="1742"/>
      <c r="L193" s="1742"/>
      <c r="M193" s="1742"/>
      <c r="N193" s="1742"/>
      <c r="O193" s="1742"/>
      <c r="P193" s="1742"/>
      <c r="Q193" s="1742"/>
      <c r="R193" s="1742"/>
      <c r="S193" s="1742"/>
      <c r="T193" s="1742"/>
      <c r="U193" s="1742"/>
      <c r="V193" s="1742"/>
      <c r="W193" s="1742"/>
      <c r="X193" s="1742"/>
      <c r="Y193" s="1742"/>
      <c r="Z193" s="1742"/>
      <c r="AA193" s="1742"/>
      <c r="AB193" s="1742"/>
      <c r="AC193" s="1742"/>
      <c r="AD193" s="1742"/>
      <c r="AE193" s="1742"/>
      <c r="AF193" s="1742"/>
      <c r="AG193" s="1742"/>
      <c r="AH193" s="1742"/>
      <c r="AI193" s="1742"/>
      <c r="AJ193" s="1742"/>
      <c r="AK193" s="1742"/>
      <c r="AL193" s="1742"/>
      <c r="AM193" s="1742"/>
      <c r="AN193" s="1742"/>
      <c r="AO193" s="1742"/>
      <c r="AP193" s="1742"/>
      <c r="AQ193" s="1742"/>
      <c r="AR193" s="1742"/>
      <c r="AS193" s="1742"/>
      <c r="AT193" s="1742"/>
      <c r="AU193" s="1742"/>
      <c r="AV193" s="1742"/>
      <c r="AW193" s="1742"/>
      <c r="AX193" s="1742"/>
      <c r="AY193" s="1742"/>
      <c r="AZ193" s="1742"/>
      <c r="BA193" s="1742"/>
      <c r="BB193" s="1742"/>
      <c r="BC193" s="1742"/>
      <c r="BD193" s="1742"/>
      <c r="BE193" s="1742"/>
      <c r="BF193" s="1742"/>
      <c r="BG193" s="1742"/>
      <c r="BH193" s="1742"/>
      <c r="BI193" s="1742"/>
      <c r="BJ193" s="1742"/>
      <c r="BK193" s="1742"/>
      <c r="BL193" s="1742"/>
      <c r="BM193" s="1742"/>
      <c r="BN193" s="1742"/>
      <c r="BO193" s="1742"/>
      <c r="BP193" s="1742"/>
      <c r="BQ193" s="1742"/>
      <c r="BR193" s="1742"/>
      <c r="BS193" s="1742"/>
      <c r="BT193" s="1742"/>
      <c r="BU193" s="1742"/>
      <c r="BV193" s="1742"/>
      <c r="BW193" s="1742"/>
      <c r="BX193" s="1742"/>
      <c r="BY193" s="1742"/>
      <c r="BZ193" s="1742"/>
      <c r="CA193" s="1742"/>
      <c r="CB193" s="1742"/>
      <c r="CC193" s="1742"/>
      <c r="CD193" s="1742"/>
      <c r="CE193" s="1742"/>
      <c r="CF193" s="1742"/>
      <c r="CG193" s="1742"/>
      <c r="CH193" s="1742"/>
      <c r="CI193" s="1742"/>
      <c r="CJ193" s="1742"/>
      <c r="CK193" s="1742"/>
      <c r="CL193" s="1742"/>
      <c r="CM193" s="1742"/>
      <c r="CN193" s="1742"/>
      <c r="CO193" s="1742"/>
      <c r="CP193" s="1742"/>
    </row>
    <row r="194" spans="1:94" ht="15" customHeight="1" x14ac:dyDescent="0.2">
      <c r="A194" s="1884"/>
      <c r="B194" s="1881"/>
      <c r="C194" s="649" t="s">
        <v>2364</v>
      </c>
      <c r="D194" s="936"/>
      <c r="E194" s="1844"/>
      <c r="F194" s="1225"/>
      <c r="G194" s="1767">
        <v>0</v>
      </c>
      <c r="H194" s="1767">
        <v>0</v>
      </c>
      <c r="I194" s="1767">
        <v>0</v>
      </c>
      <c r="J194" s="1767">
        <v>0</v>
      </c>
      <c r="K194" s="1767">
        <v>0</v>
      </c>
      <c r="L194" s="1767">
        <v>0</v>
      </c>
      <c r="M194" s="1767">
        <v>0</v>
      </c>
      <c r="N194" s="1767">
        <v>0</v>
      </c>
      <c r="O194" s="1767">
        <v>0</v>
      </c>
      <c r="P194" s="1767">
        <v>0</v>
      </c>
      <c r="Q194" s="1767">
        <v>0</v>
      </c>
      <c r="R194" s="1767">
        <v>0</v>
      </c>
      <c r="S194" s="1767">
        <v>0</v>
      </c>
      <c r="T194" s="1767">
        <v>0</v>
      </c>
      <c r="U194" s="1767">
        <v>0</v>
      </c>
      <c r="V194" s="1767">
        <v>0</v>
      </c>
      <c r="W194" s="1767">
        <v>0</v>
      </c>
      <c r="X194" s="1767">
        <v>0</v>
      </c>
      <c r="Y194" s="1767">
        <v>0</v>
      </c>
      <c r="Z194" s="1767">
        <v>0</v>
      </c>
      <c r="AA194" s="1767">
        <v>0</v>
      </c>
      <c r="AB194" s="1767">
        <v>0</v>
      </c>
      <c r="AC194" s="1767">
        <v>0</v>
      </c>
      <c r="AD194" s="1767">
        <v>0</v>
      </c>
      <c r="AE194" s="1767">
        <v>0</v>
      </c>
      <c r="AF194" s="1767">
        <v>0</v>
      </c>
      <c r="AG194" s="1767">
        <v>0</v>
      </c>
      <c r="AH194" s="1767">
        <v>0</v>
      </c>
      <c r="AI194" s="1767">
        <v>0</v>
      </c>
      <c r="AJ194" s="1767">
        <v>0</v>
      </c>
      <c r="AK194" s="1767">
        <v>0</v>
      </c>
      <c r="AL194" s="1767">
        <v>0</v>
      </c>
      <c r="AM194" s="1767">
        <v>0</v>
      </c>
      <c r="AN194" s="1767">
        <v>0</v>
      </c>
      <c r="AO194" s="1767">
        <v>0</v>
      </c>
      <c r="AP194" s="1767">
        <v>0</v>
      </c>
      <c r="AQ194" s="1767">
        <v>0</v>
      </c>
      <c r="AR194" s="1767">
        <v>0</v>
      </c>
      <c r="AS194" s="1767">
        <v>0</v>
      </c>
      <c r="AT194" s="1767">
        <v>0</v>
      </c>
      <c r="AU194" s="1767">
        <v>0</v>
      </c>
      <c r="AV194" s="1767">
        <v>0</v>
      </c>
      <c r="AW194" s="1767">
        <v>0</v>
      </c>
      <c r="AX194" s="1767">
        <v>0</v>
      </c>
      <c r="AY194" s="1767">
        <v>0</v>
      </c>
      <c r="AZ194" s="1767">
        <v>0</v>
      </c>
      <c r="BA194" s="1767">
        <v>0</v>
      </c>
      <c r="BB194" s="1767">
        <v>0</v>
      </c>
      <c r="BC194" s="1767">
        <v>0</v>
      </c>
      <c r="BD194" s="1767">
        <v>0</v>
      </c>
      <c r="BE194" s="1767">
        <v>0</v>
      </c>
      <c r="BF194" s="1767">
        <v>0</v>
      </c>
      <c r="BG194" s="1767">
        <v>0</v>
      </c>
      <c r="BH194" s="1767">
        <v>0</v>
      </c>
      <c r="BI194" s="1767">
        <v>0</v>
      </c>
      <c r="BJ194" s="1767">
        <v>0</v>
      </c>
      <c r="BK194" s="1767">
        <v>0</v>
      </c>
      <c r="BL194" s="1767">
        <v>0</v>
      </c>
      <c r="BM194" s="1767">
        <v>0</v>
      </c>
      <c r="BN194" s="1767">
        <v>0</v>
      </c>
      <c r="BO194" s="1767">
        <v>0</v>
      </c>
      <c r="BP194" s="1767">
        <v>0</v>
      </c>
      <c r="BQ194" s="1767">
        <v>0</v>
      </c>
      <c r="BR194" s="1767">
        <v>0</v>
      </c>
      <c r="BS194" s="1767">
        <v>0</v>
      </c>
      <c r="BT194" s="1767">
        <v>0</v>
      </c>
      <c r="BU194" s="1767">
        <v>0</v>
      </c>
      <c r="BV194" s="1767">
        <v>0</v>
      </c>
      <c r="BW194" s="1767">
        <v>0</v>
      </c>
      <c r="BX194" s="1767">
        <v>0</v>
      </c>
      <c r="BY194" s="1767">
        <v>0</v>
      </c>
      <c r="BZ194" s="1767">
        <v>0</v>
      </c>
      <c r="CA194" s="1767">
        <v>0</v>
      </c>
      <c r="CB194" s="1767">
        <v>0</v>
      </c>
      <c r="CC194" s="1767">
        <v>0</v>
      </c>
      <c r="CD194" s="1767">
        <v>0</v>
      </c>
      <c r="CE194" s="1767">
        <v>0</v>
      </c>
      <c r="CF194" s="1767">
        <v>0</v>
      </c>
      <c r="CG194" s="1767">
        <v>0</v>
      </c>
      <c r="CH194" s="1767">
        <v>0</v>
      </c>
      <c r="CI194" s="1767">
        <v>0</v>
      </c>
      <c r="CJ194" s="1767">
        <v>0</v>
      </c>
      <c r="CK194" s="1767">
        <v>0</v>
      </c>
      <c r="CL194" s="1767">
        <v>0</v>
      </c>
      <c r="CM194" s="1767">
        <v>0</v>
      </c>
      <c r="CN194" s="1767">
        <v>0</v>
      </c>
      <c r="CO194" s="1767">
        <v>0</v>
      </c>
      <c r="CP194" s="1767">
        <v>0</v>
      </c>
    </row>
    <row r="195" spans="1:94" ht="15" customHeight="1" x14ac:dyDescent="0.2">
      <c r="A195" s="1884"/>
      <c r="B195" s="1881"/>
      <c r="C195" s="663" t="s">
        <v>36</v>
      </c>
      <c r="D195" s="936"/>
      <c r="E195" s="1844"/>
      <c r="F195" s="1225"/>
      <c r="G195" s="1767">
        <v>0</v>
      </c>
      <c r="H195" s="1767">
        <v>0</v>
      </c>
      <c r="I195" s="1767">
        <v>0</v>
      </c>
      <c r="J195" s="1767">
        <v>0</v>
      </c>
      <c r="K195" s="1767">
        <v>0</v>
      </c>
      <c r="L195" s="1767">
        <v>0</v>
      </c>
      <c r="M195" s="1767">
        <v>0</v>
      </c>
      <c r="N195" s="1767">
        <v>0</v>
      </c>
      <c r="O195" s="1767">
        <v>0</v>
      </c>
      <c r="P195" s="1767">
        <v>0</v>
      </c>
      <c r="Q195" s="1767">
        <v>0</v>
      </c>
      <c r="R195" s="1767">
        <v>0</v>
      </c>
      <c r="S195" s="1767">
        <v>0</v>
      </c>
      <c r="T195" s="1767">
        <v>0</v>
      </c>
      <c r="U195" s="1767">
        <v>0</v>
      </c>
      <c r="V195" s="1767">
        <v>0</v>
      </c>
      <c r="W195" s="1767">
        <v>0</v>
      </c>
      <c r="X195" s="1767">
        <v>0</v>
      </c>
      <c r="Y195" s="1767">
        <v>0</v>
      </c>
      <c r="Z195" s="1767">
        <v>0</v>
      </c>
      <c r="AA195" s="1767">
        <v>0</v>
      </c>
      <c r="AB195" s="1767">
        <v>0</v>
      </c>
      <c r="AC195" s="1767">
        <v>0</v>
      </c>
      <c r="AD195" s="1767">
        <v>0</v>
      </c>
      <c r="AE195" s="1767">
        <v>0</v>
      </c>
      <c r="AF195" s="1767">
        <v>0</v>
      </c>
      <c r="AG195" s="1767">
        <v>0</v>
      </c>
      <c r="AH195" s="1767">
        <v>0</v>
      </c>
      <c r="AI195" s="1767">
        <v>0</v>
      </c>
      <c r="AJ195" s="1767">
        <v>0</v>
      </c>
      <c r="AK195" s="1767">
        <v>0</v>
      </c>
      <c r="AL195" s="1767">
        <v>0</v>
      </c>
      <c r="AM195" s="1767">
        <v>0</v>
      </c>
      <c r="AN195" s="1767">
        <v>0</v>
      </c>
      <c r="AO195" s="1767">
        <v>0</v>
      </c>
      <c r="AP195" s="1767">
        <v>0</v>
      </c>
      <c r="AQ195" s="1767">
        <v>0</v>
      </c>
      <c r="AR195" s="1767">
        <v>0</v>
      </c>
      <c r="AS195" s="1767">
        <v>0</v>
      </c>
      <c r="AT195" s="1767">
        <v>0</v>
      </c>
      <c r="AU195" s="1767">
        <v>0</v>
      </c>
      <c r="AV195" s="1767">
        <v>0</v>
      </c>
      <c r="AW195" s="1767">
        <v>0</v>
      </c>
      <c r="AX195" s="1767">
        <v>0</v>
      </c>
      <c r="AY195" s="1767">
        <v>0</v>
      </c>
      <c r="AZ195" s="1767">
        <v>0</v>
      </c>
      <c r="BA195" s="1767">
        <v>0</v>
      </c>
      <c r="BB195" s="1767">
        <v>0</v>
      </c>
      <c r="BC195" s="1767">
        <v>0</v>
      </c>
      <c r="BD195" s="1767">
        <v>0</v>
      </c>
      <c r="BE195" s="1767">
        <v>0</v>
      </c>
      <c r="BF195" s="1767">
        <v>0</v>
      </c>
      <c r="BG195" s="1767">
        <v>0</v>
      </c>
      <c r="BH195" s="1767">
        <v>0</v>
      </c>
      <c r="BI195" s="1767">
        <v>0</v>
      </c>
      <c r="BJ195" s="1767">
        <v>0</v>
      </c>
      <c r="BK195" s="1767">
        <v>0</v>
      </c>
      <c r="BL195" s="1767">
        <v>0</v>
      </c>
      <c r="BM195" s="1767">
        <v>0</v>
      </c>
      <c r="BN195" s="1767">
        <v>0</v>
      </c>
      <c r="BO195" s="1767">
        <v>0</v>
      </c>
      <c r="BP195" s="1767">
        <v>0</v>
      </c>
      <c r="BQ195" s="1767">
        <v>0</v>
      </c>
      <c r="BR195" s="1767">
        <v>0</v>
      </c>
      <c r="BS195" s="1767">
        <v>0</v>
      </c>
      <c r="BT195" s="1767">
        <v>0</v>
      </c>
      <c r="BU195" s="1767">
        <v>0</v>
      </c>
      <c r="BV195" s="1767">
        <v>0</v>
      </c>
      <c r="BW195" s="1767">
        <v>0</v>
      </c>
      <c r="BX195" s="1767">
        <v>0</v>
      </c>
      <c r="BY195" s="1767">
        <v>0</v>
      </c>
      <c r="BZ195" s="1767">
        <v>0</v>
      </c>
      <c r="CA195" s="1767">
        <v>0</v>
      </c>
      <c r="CB195" s="1767">
        <v>0</v>
      </c>
      <c r="CC195" s="1767">
        <v>0</v>
      </c>
      <c r="CD195" s="1767">
        <v>0</v>
      </c>
      <c r="CE195" s="1767">
        <v>0</v>
      </c>
      <c r="CF195" s="1767">
        <v>0</v>
      </c>
      <c r="CG195" s="1767">
        <v>0</v>
      </c>
      <c r="CH195" s="1767">
        <v>0</v>
      </c>
      <c r="CI195" s="1767">
        <v>0</v>
      </c>
      <c r="CJ195" s="1767">
        <v>0</v>
      </c>
      <c r="CK195" s="1767">
        <v>0</v>
      </c>
      <c r="CL195" s="1767">
        <v>0</v>
      </c>
      <c r="CM195" s="1767">
        <v>0</v>
      </c>
      <c r="CN195" s="1767">
        <v>0</v>
      </c>
      <c r="CO195" s="1767">
        <v>0</v>
      </c>
      <c r="CP195" s="1767">
        <v>0</v>
      </c>
    </row>
    <row r="196" spans="1:94" ht="15" customHeight="1" x14ac:dyDescent="0.2">
      <c r="A196" s="1884"/>
      <c r="B196" s="1881"/>
      <c r="C196" s="663" t="s">
        <v>2</v>
      </c>
      <c r="D196" s="936"/>
      <c r="E196" s="1844"/>
      <c r="F196" s="1225"/>
      <c r="G196" s="1767">
        <v>0</v>
      </c>
      <c r="H196" s="1767">
        <v>0</v>
      </c>
      <c r="I196" s="1767">
        <v>0</v>
      </c>
      <c r="J196" s="1767">
        <v>0</v>
      </c>
      <c r="K196" s="1767">
        <v>0</v>
      </c>
      <c r="L196" s="1767">
        <v>0</v>
      </c>
      <c r="M196" s="1767">
        <v>0</v>
      </c>
      <c r="N196" s="1767">
        <v>0</v>
      </c>
      <c r="O196" s="1767">
        <v>0</v>
      </c>
      <c r="P196" s="1767">
        <v>0</v>
      </c>
      <c r="Q196" s="1767">
        <v>0</v>
      </c>
      <c r="R196" s="1767">
        <v>0</v>
      </c>
      <c r="S196" s="1767">
        <v>0</v>
      </c>
      <c r="T196" s="1767">
        <v>0</v>
      </c>
      <c r="U196" s="1767">
        <v>0</v>
      </c>
      <c r="V196" s="1767">
        <v>0</v>
      </c>
      <c r="W196" s="1767">
        <v>0</v>
      </c>
      <c r="X196" s="1767">
        <v>0</v>
      </c>
      <c r="Y196" s="1767">
        <v>0</v>
      </c>
      <c r="Z196" s="1767">
        <v>0</v>
      </c>
      <c r="AA196" s="1767">
        <v>0</v>
      </c>
      <c r="AB196" s="1767">
        <v>0</v>
      </c>
      <c r="AC196" s="1767">
        <v>0</v>
      </c>
      <c r="AD196" s="1767">
        <v>0</v>
      </c>
      <c r="AE196" s="1767">
        <v>0</v>
      </c>
      <c r="AF196" s="1767">
        <v>0</v>
      </c>
      <c r="AG196" s="1767">
        <v>0</v>
      </c>
      <c r="AH196" s="1767">
        <v>0</v>
      </c>
      <c r="AI196" s="1767">
        <v>0</v>
      </c>
      <c r="AJ196" s="1767">
        <v>0</v>
      </c>
      <c r="AK196" s="1767">
        <v>0</v>
      </c>
      <c r="AL196" s="1767">
        <v>0</v>
      </c>
      <c r="AM196" s="1767">
        <v>0</v>
      </c>
      <c r="AN196" s="1767">
        <v>0</v>
      </c>
      <c r="AO196" s="1767">
        <v>0</v>
      </c>
      <c r="AP196" s="1767">
        <v>0</v>
      </c>
      <c r="AQ196" s="1767">
        <v>0</v>
      </c>
      <c r="AR196" s="1767">
        <v>0</v>
      </c>
      <c r="AS196" s="1767">
        <v>0</v>
      </c>
      <c r="AT196" s="1767">
        <v>0</v>
      </c>
      <c r="AU196" s="1767">
        <v>0</v>
      </c>
      <c r="AV196" s="1767">
        <v>0</v>
      </c>
      <c r="AW196" s="1767">
        <v>0</v>
      </c>
      <c r="AX196" s="1767">
        <v>0</v>
      </c>
      <c r="AY196" s="1767">
        <v>0</v>
      </c>
      <c r="AZ196" s="1767">
        <v>0</v>
      </c>
      <c r="BA196" s="1767">
        <v>0</v>
      </c>
      <c r="BB196" s="1767">
        <v>0</v>
      </c>
      <c r="BC196" s="1767">
        <v>0</v>
      </c>
      <c r="BD196" s="1767">
        <v>0</v>
      </c>
      <c r="BE196" s="1767">
        <v>0</v>
      </c>
      <c r="BF196" s="1767">
        <v>0</v>
      </c>
      <c r="BG196" s="1767">
        <v>0</v>
      </c>
      <c r="BH196" s="1767">
        <v>0</v>
      </c>
      <c r="BI196" s="1767">
        <v>0</v>
      </c>
      <c r="BJ196" s="1767">
        <v>0</v>
      </c>
      <c r="BK196" s="1767">
        <v>0</v>
      </c>
      <c r="BL196" s="1767">
        <v>0</v>
      </c>
      <c r="BM196" s="1767">
        <v>0</v>
      </c>
      <c r="BN196" s="1767">
        <v>0</v>
      </c>
      <c r="BO196" s="1767">
        <v>0</v>
      </c>
      <c r="BP196" s="1767">
        <v>0</v>
      </c>
      <c r="BQ196" s="1767">
        <v>0</v>
      </c>
      <c r="BR196" s="1767">
        <v>0</v>
      </c>
      <c r="BS196" s="1767">
        <v>0</v>
      </c>
      <c r="BT196" s="1767">
        <v>0</v>
      </c>
      <c r="BU196" s="1767">
        <v>0</v>
      </c>
      <c r="BV196" s="1767">
        <v>0</v>
      </c>
      <c r="BW196" s="1767">
        <v>0</v>
      </c>
      <c r="BX196" s="1767">
        <v>0</v>
      </c>
      <c r="BY196" s="1767">
        <v>0</v>
      </c>
      <c r="BZ196" s="1767">
        <v>0</v>
      </c>
      <c r="CA196" s="1767">
        <v>0</v>
      </c>
      <c r="CB196" s="1767">
        <v>0</v>
      </c>
      <c r="CC196" s="1767">
        <v>0</v>
      </c>
      <c r="CD196" s="1767">
        <v>0</v>
      </c>
      <c r="CE196" s="1767">
        <v>0</v>
      </c>
      <c r="CF196" s="1767">
        <v>0</v>
      </c>
      <c r="CG196" s="1767">
        <v>0</v>
      </c>
      <c r="CH196" s="1767">
        <v>0</v>
      </c>
      <c r="CI196" s="1767">
        <v>0</v>
      </c>
      <c r="CJ196" s="1767">
        <v>0</v>
      </c>
      <c r="CK196" s="1767">
        <v>0</v>
      </c>
      <c r="CL196" s="1767">
        <v>0</v>
      </c>
      <c r="CM196" s="1767">
        <v>0</v>
      </c>
      <c r="CN196" s="1767">
        <v>0</v>
      </c>
      <c r="CO196" s="1767">
        <v>0</v>
      </c>
      <c r="CP196" s="1767">
        <v>0</v>
      </c>
    </row>
    <row r="197" spans="1:94" ht="15" customHeight="1" x14ac:dyDescent="0.2">
      <c r="A197" s="1884"/>
      <c r="B197" s="1881"/>
      <c r="C197" s="663" t="s">
        <v>3</v>
      </c>
      <c r="D197" s="936"/>
      <c r="E197" s="1844"/>
      <c r="F197" s="1225"/>
      <c r="G197" s="1767">
        <v>0</v>
      </c>
      <c r="H197" s="1767">
        <v>0</v>
      </c>
      <c r="I197" s="1767">
        <v>0</v>
      </c>
      <c r="J197" s="1767">
        <v>0</v>
      </c>
      <c r="K197" s="1767">
        <v>0</v>
      </c>
      <c r="L197" s="1767">
        <v>0</v>
      </c>
      <c r="M197" s="1767">
        <v>0</v>
      </c>
      <c r="N197" s="1767">
        <v>0</v>
      </c>
      <c r="O197" s="1767">
        <v>0</v>
      </c>
      <c r="P197" s="1767">
        <v>0</v>
      </c>
      <c r="Q197" s="1767">
        <v>0</v>
      </c>
      <c r="R197" s="1767">
        <v>0</v>
      </c>
      <c r="S197" s="1767">
        <v>0</v>
      </c>
      <c r="T197" s="1767">
        <v>0</v>
      </c>
      <c r="U197" s="1767">
        <v>0</v>
      </c>
      <c r="V197" s="1767">
        <v>0</v>
      </c>
      <c r="W197" s="1767">
        <v>0</v>
      </c>
      <c r="X197" s="1767">
        <v>0</v>
      </c>
      <c r="Y197" s="1767">
        <v>0</v>
      </c>
      <c r="Z197" s="1767">
        <v>0</v>
      </c>
      <c r="AA197" s="1767">
        <v>0</v>
      </c>
      <c r="AB197" s="1767">
        <v>0</v>
      </c>
      <c r="AC197" s="1767">
        <v>0</v>
      </c>
      <c r="AD197" s="1767">
        <v>0</v>
      </c>
      <c r="AE197" s="1767">
        <v>0</v>
      </c>
      <c r="AF197" s="1767">
        <v>0</v>
      </c>
      <c r="AG197" s="1767">
        <v>0</v>
      </c>
      <c r="AH197" s="1767">
        <v>0</v>
      </c>
      <c r="AI197" s="1767">
        <v>0</v>
      </c>
      <c r="AJ197" s="1767">
        <v>0</v>
      </c>
      <c r="AK197" s="1767">
        <v>0</v>
      </c>
      <c r="AL197" s="1767">
        <v>0</v>
      </c>
      <c r="AM197" s="1767">
        <v>0</v>
      </c>
      <c r="AN197" s="1767">
        <v>0</v>
      </c>
      <c r="AO197" s="1767">
        <v>0</v>
      </c>
      <c r="AP197" s="1767">
        <v>0</v>
      </c>
      <c r="AQ197" s="1767">
        <v>0</v>
      </c>
      <c r="AR197" s="1767">
        <v>0</v>
      </c>
      <c r="AS197" s="1767">
        <v>0</v>
      </c>
      <c r="AT197" s="1767">
        <v>0</v>
      </c>
      <c r="AU197" s="1767">
        <v>0</v>
      </c>
      <c r="AV197" s="1767">
        <v>0</v>
      </c>
      <c r="AW197" s="1767">
        <v>0</v>
      </c>
      <c r="AX197" s="1767">
        <v>0</v>
      </c>
      <c r="AY197" s="1767">
        <v>0</v>
      </c>
      <c r="AZ197" s="1767">
        <v>0</v>
      </c>
      <c r="BA197" s="1767">
        <v>0</v>
      </c>
      <c r="BB197" s="1767">
        <v>0</v>
      </c>
      <c r="BC197" s="1767">
        <v>0</v>
      </c>
      <c r="BD197" s="1767">
        <v>0</v>
      </c>
      <c r="BE197" s="1767">
        <v>0</v>
      </c>
      <c r="BF197" s="1767">
        <v>0</v>
      </c>
      <c r="BG197" s="1767">
        <v>0</v>
      </c>
      <c r="BH197" s="1767">
        <v>0</v>
      </c>
      <c r="BI197" s="1767">
        <v>0</v>
      </c>
      <c r="BJ197" s="1767">
        <v>0</v>
      </c>
      <c r="BK197" s="1767">
        <v>0</v>
      </c>
      <c r="BL197" s="1767">
        <v>0</v>
      </c>
      <c r="BM197" s="1767">
        <v>0</v>
      </c>
      <c r="BN197" s="1767">
        <v>0</v>
      </c>
      <c r="BO197" s="1767">
        <v>0</v>
      </c>
      <c r="BP197" s="1767">
        <v>0</v>
      </c>
      <c r="BQ197" s="1767">
        <v>0</v>
      </c>
      <c r="BR197" s="1767">
        <v>0</v>
      </c>
      <c r="BS197" s="1767">
        <v>0</v>
      </c>
      <c r="BT197" s="1767">
        <v>0</v>
      </c>
      <c r="BU197" s="1767">
        <v>0</v>
      </c>
      <c r="BV197" s="1767">
        <v>0</v>
      </c>
      <c r="BW197" s="1767">
        <v>0</v>
      </c>
      <c r="BX197" s="1767">
        <v>0</v>
      </c>
      <c r="BY197" s="1767">
        <v>0</v>
      </c>
      <c r="BZ197" s="1767">
        <v>0</v>
      </c>
      <c r="CA197" s="1767">
        <v>0</v>
      </c>
      <c r="CB197" s="1767">
        <v>0</v>
      </c>
      <c r="CC197" s="1767">
        <v>0</v>
      </c>
      <c r="CD197" s="1767">
        <v>0</v>
      </c>
      <c r="CE197" s="1767">
        <v>0</v>
      </c>
      <c r="CF197" s="1767">
        <v>0</v>
      </c>
      <c r="CG197" s="1767">
        <v>0</v>
      </c>
      <c r="CH197" s="1767">
        <v>0</v>
      </c>
      <c r="CI197" s="1767">
        <v>0</v>
      </c>
      <c r="CJ197" s="1767">
        <v>0</v>
      </c>
      <c r="CK197" s="1767">
        <v>0</v>
      </c>
      <c r="CL197" s="1767">
        <v>0</v>
      </c>
      <c r="CM197" s="1767">
        <v>0</v>
      </c>
      <c r="CN197" s="1767">
        <v>0</v>
      </c>
      <c r="CO197" s="1767">
        <v>0</v>
      </c>
      <c r="CP197" s="1767">
        <v>0</v>
      </c>
    </row>
    <row r="198" spans="1:94" ht="15" customHeight="1" thickBot="1" x14ac:dyDescent="0.25">
      <c r="A198" s="1885"/>
      <c r="B198" s="1882"/>
      <c r="C198" s="649" t="s">
        <v>4</v>
      </c>
      <c r="D198" s="936"/>
      <c r="E198" s="1845"/>
      <c r="F198" s="1225"/>
      <c r="G198" s="1767">
        <v>0</v>
      </c>
      <c r="H198" s="1767">
        <v>0</v>
      </c>
      <c r="I198" s="1767">
        <v>0</v>
      </c>
      <c r="J198" s="1767">
        <v>0</v>
      </c>
      <c r="K198" s="1767">
        <v>0</v>
      </c>
      <c r="L198" s="1767">
        <v>0</v>
      </c>
      <c r="M198" s="1767">
        <v>0</v>
      </c>
      <c r="N198" s="1767">
        <v>0</v>
      </c>
      <c r="O198" s="1767">
        <v>0</v>
      </c>
      <c r="P198" s="1767">
        <v>0</v>
      </c>
      <c r="Q198" s="1767">
        <v>0</v>
      </c>
      <c r="R198" s="1767">
        <v>0</v>
      </c>
      <c r="S198" s="1767">
        <v>0</v>
      </c>
      <c r="T198" s="1767">
        <v>0</v>
      </c>
      <c r="U198" s="1767">
        <v>0</v>
      </c>
      <c r="V198" s="1767">
        <v>0</v>
      </c>
      <c r="W198" s="1767">
        <v>0</v>
      </c>
      <c r="X198" s="1767">
        <v>0</v>
      </c>
      <c r="Y198" s="1767">
        <v>0</v>
      </c>
      <c r="Z198" s="1767">
        <v>0</v>
      </c>
      <c r="AA198" s="1767">
        <v>0</v>
      </c>
      <c r="AB198" s="1767">
        <v>0</v>
      </c>
      <c r="AC198" s="1767">
        <v>0</v>
      </c>
      <c r="AD198" s="1767">
        <v>0</v>
      </c>
      <c r="AE198" s="1767">
        <v>0</v>
      </c>
      <c r="AF198" s="1767">
        <v>0</v>
      </c>
      <c r="AG198" s="1767">
        <v>0</v>
      </c>
      <c r="AH198" s="1767">
        <v>0</v>
      </c>
      <c r="AI198" s="1767">
        <v>0</v>
      </c>
      <c r="AJ198" s="1767">
        <v>0</v>
      </c>
      <c r="AK198" s="1767">
        <v>0</v>
      </c>
      <c r="AL198" s="1767">
        <v>0</v>
      </c>
      <c r="AM198" s="1767">
        <v>0</v>
      </c>
      <c r="AN198" s="1767">
        <v>0</v>
      </c>
      <c r="AO198" s="1767">
        <v>0</v>
      </c>
      <c r="AP198" s="1767">
        <v>0</v>
      </c>
      <c r="AQ198" s="1767">
        <v>0</v>
      </c>
      <c r="AR198" s="1767">
        <v>0</v>
      </c>
      <c r="AS198" s="1767">
        <v>0</v>
      </c>
      <c r="AT198" s="1767">
        <v>0</v>
      </c>
      <c r="AU198" s="1767">
        <v>0</v>
      </c>
      <c r="AV198" s="1767">
        <v>0</v>
      </c>
      <c r="AW198" s="1767">
        <v>0</v>
      </c>
      <c r="AX198" s="1767">
        <v>0</v>
      </c>
      <c r="AY198" s="1767">
        <v>0</v>
      </c>
      <c r="AZ198" s="1767">
        <v>0</v>
      </c>
      <c r="BA198" s="1767">
        <v>0</v>
      </c>
      <c r="BB198" s="1767">
        <v>0</v>
      </c>
      <c r="BC198" s="1767">
        <v>0</v>
      </c>
      <c r="BD198" s="1767">
        <v>0</v>
      </c>
      <c r="BE198" s="1767">
        <v>0</v>
      </c>
      <c r="BF198" s="1767">
        <v>0</v>
      </c>
      <c r="BG198" s="1767">
        <v>0</v>
      </c>
      <c r="BH198" s="1767">
        <v>0</v>
      </c>
      <c r="BI198" s="1767">
        <v>0</v>
      </c>
      <c r="BJ198" s="1767">
        <v>0</v>
      </c>
      <c r="BK198" s="1767">
        <v>0</v>
      </c>
      <c r="BL198" s="1767">
        <v>0</v>
      </c>
      <c r="BM198" s="1767">
        <v>0</v>
      </c>
      <c r="BN198" s="1767">
        <v>0</v>
      </c>
      <c r="BO198" s="1767">
        <v>0</v>
      </c>
      <c r="BP198" s="1767">
        <v>0</v>
      </c>
      <c r="BQ198" s="1767">
        <v>0</v>
      </c>
      <c r="BR198" s="1767">
        <v>0</v>
      </c>
      <c r="BS198" s="1767">
        <v>0</v>
      </c>
      <c r="BT198" s="1767">
        <v>0</v>
      </c>
      <c r="BU198" s="1767">
        <v>0</v>
      </c>
      <c r="BV198" s="1767">
        <v>0</v>
      </c>
      <c r="BW198" s="1767">
        <v>0</v>
      </c>
      <c r="BX198" s="1767">
        <v>0</v>
      </c>
      <c r="BY198" s="1767">
        <v>0</v>
      </c>
      <c r="BZ198" s="1767">
        <v>0</v>
      </c>
      <c r="CA198" s="1767">
        <v>0</v>
      </c>
      <c r="CB198" s="1767">
        <v>0</v>
      </c>
      <c r="CC198" s="1767">
        <v>0</v>
      </c>
      <c r="CD198" s="1767">
        <v>0</v>
      </c>
      <c r="CE198" s="1767">
        <v>0</v>
      </c>
      <c r="CF198" s="1767">
        <v>0</v>
      </c>
      <c r="CG198" s="1767">
        <v>0</v>
      </c>
      <c r="CH198" s="1767">
        <v>0</v>
      </c>
      <c r="CI198" s="1767">
        <v>0</v>
      </c>
      <c r="CJ198" s="1767">
        <v>0</v>
      </c>
      <c r="CK198" s="1767">
        <v>0</v>
      </c>
      <c r="CL198" s="1767">
        <v>0</v>
      </c>
      <c r="CM198" s="1767">
        <v>0</v>
      </c>
      <c r="CN198" s="1767">
        <v>0</v>
      </c>
      <c r="CO198" s="1767">
        <v>0</v>
      </c>
      <c r="CP198" s="1767">
        <v>0</v>
      </c>
    </row>
    <row r="199" spans="1:94" ht="30" customHeight="1" thickBot="1" x14ac:dyDescent="0.25">
      <c r="A199" s="1849" t="s">
        <v>1312</v>
      </c>
      <c r="B199" s="1846" t="s">
        <v>1124</v>
      </c>
      <c r="C199" s="1777" t="s">
        <v>2529</v>
      </c>
      <c r="D199" s="947"/>
      <c r="E199" s="1830" t="s">
        <v>1823</v>
      </c>
      <c r="F199" s="1225"/>
      <c r="G199" s="1742"/>
      <c r="H199" s="1742"/>
      <c r="I199" s="1742"/>
      <c r="J199" s="1742"/>
      <c r="K199" s="1742"/>
      <c r="L199" s="1742"/>
      <c r="M199" s="1742"/>
      <c r="N199" s="1742"/>
      <c r="O199" s="1742"/>
      <c r="P199" s="1742"/>
      <c r="Q199" s="1742"/>
      <c r="R199" s="1742"/>
      <c r="S199" s="1742"/>
      <c r="T199" s="1742"/>
      <c r="U199" s="1742"/>
      <c r="V199" s="1742"/>
      <c r="W199" s="1742"/>
      <c r="X199" s="1742"/>
      <c r="Y199" s="1742"/>
      <c r="Z199" s="1742"/>
      <c r="AA199" s="1742"/>
      <c r="AB199" s="1742"/>
      <c r="AC199" s="1742"/>
      <c r="AD199" s="1742"/>
      <c r="AE199" s="1742"/>
      <c r="AF199" s="1742"/>
      <c r="AG199" s="1742"/>
      <c r="AH199" s="1742"/>
      <c r="AI199" s="1742"/>
      <c r="AJ199" s="1742"/>
      <c r="AK199" s="1742"/>
      <c r="AL199" s="1742"/>
      <c r="AM199" s="1742"/>
      <c r="AN199" s="1742"/>
      <c r="AO199" s="1742"/>
      <c r="AP199" s="1742"/>
      <c r="AQ199" s="1742"/>
      <c r="AR199" s="1742"/>
      <c r="AS199" s="1742"/>
      <c r="AT199" s="1742"/>
      <c r="AU199" s="1742"/>
      <c r="AV199" s="1742"/>
      <c r="AW199" s="1742"/>
      <c r="AX199" s="1742"/>
      <c r="AY199" s="1742"/>
      <c r="AZ199" s="1742"/>
      <c r="BA199" s="1742"/>
      <c r="BB199" s="1742"/>
      <c r="BC199" s="1742"/>
      <c r="BD199" s="1742"/>
      <c r="BE199" s="1742"/>
      <c r="BF199" s="1742"/>
      <c r="BG199" s="1742"/>
      <c r="BH199" s="1742"/>
      <c r="BI199" s="1742"/>
      <c r="BJ199" s="1742"/>
      <c r="BK199" s="1742"/>
      <c r="BL199" s="1742"/>
      <c r="BM199" s="1742"/>
      <c r="BN199" s="1742"/>
      <c r="BO199" s="1742"/>
      <c r="BP199" s="1742"/>
      <c r="BQ199" s="1742"/>
      <c r="BR199" s="1742"/>
      <c r="BS199" s="1742"/>
      <c r="BT199" s="1742"/>
      <c r="BU199" s="1742"/>
      <c r="BV199" s="1742"/>
      <c r="BW199" s="1742"/>
      <c r="BX199" s="1742"/>
      <c r="BY199" s="1742"/>
      <c r="BZ199" s="1742"/>
      <c r="CA199" s="1742"/>
      <c r="CB199" s="1742"/>
      <c r="CC199" s="1742"/>
      <c r="CD199" s="1742"/>
      <c r="CE199" s="1742"/>
      <c r="CF199" s="1742"/>
      <c r="CG199" s="1742"/>
      <c r="CH199" s="1742"/>
      <c r="CI199" s="1742"/>
      <c r="CJ199" s="1742"/>
      <c r="CK199" s="1742"/>
      <c r="CL199" s="1742"/>
      <c r="CM199" s="1742"/>
      <c r="CN199" s="1742"/>
      <c r="CO199" s="1742"/>
      <c r="CP199" s="1742"/>
    </row>
    <row r="200" spans="1:94" ht="15" customHeight="1" x14ac:dyDescent="0.2">
      <c r="A200" s="1847"/>
      <c r="B200" s="1856"/>
      <c r="C200" s="652" t="s">
        <v>1701</v>
      </c>
      <c r="D200" s="936"/>
      <c r="E200" s="1831"/>
      <c r="F200" s="1225"/>
      <c r="G200" s="1767">
        <v>0</v>
      </c>
      <c r="H200" s="1767">
        <v>0</v>
      </c>
      <c r="I200" s="1767">
        <v>0</v>
      </c>
      <c r="J200" s="1767">
        <v>0</v>
      </c>
      <c r="K200" s="1767">
        <v>0</v>
      </c>
      <c r="L200" s="1767">
        <v>0</v>
      </c>
      <c r="M200" s="1767">
        <v>0</v>
      </c>
      <c r="N200" s="1767">
        <v>0</v>
      </c>
      <c r="O200" s="1767">
        <v>0</v>
      </c>
      <c r="P200" s="1767">
        <v>0</v>
      </c>
      <c r="Q200" s="1767">
        <v>0</v>
      </c>
      <c r="R200" s="1767">
        <v>0</v>
      </c>
      <c r="S200" s="1767">
        <v>0</v>
      </c>
      <c r="T200" s="1767">
        <v>0</v>
      </c>
      <c r="U200" s="1767">
        <v>0</v>
      </c>
      <c r="V200" s="1767">
        <v>0</v>
      </c>
      <c r="W200" s="1767">
        <v>0</v>
      </c>
      <c r="X200" s="1767">
        <v>0</v>
      </c>
      <c r="Y200" s="1767">
        <v>0</v>
      </c>
      <c r="Z200" s="1767">
        <v>0</v>
      </c>
      <c r="AA200" s="1767">
        <v>0</v>
      </c>
      <c r="AB200" s="1767">
        <v>0</v>
      </c>
      <c r="AC200" s="1767">
        <v>0</v>
      </c>
      <c r="AD200" s="1767">
        <v>0</v>
      </c>
      <c r="AE200" s="1767">
        <v>0</v>
      </c>
      <c r="AF200" s="1767">
        <v>0</v>
      </c>
      <c r="AG200" s="1767">
        <v>0</v>
      </c>
      <c r="AH200" s="1767">
        <v>0</v>
      </c>
      <c r="AI200" s="1767">
        <v>0</v>
      </c>
      <c r="AJ200" s="1767">
        <v>0</v>
      </c>
      <c r="AK200" s="1767">
        <v>0</v>
      </c>
      <c r="AL200" s="1767">
        <v>0</v>
      </c>
      <c r="AM200" s="1767">
        <v>0</v>
      </c>
      <c r="AN200" s="1767">
        <v>0</v>
      </c>
      <c r="AO200" s="1767">
        <v>0</v>
      </c>
      <c r="AP200" s="1767">
        <v>0</v>
      </c>
      <c r="AQ200" s="1767">
        <v>0</v>
      </c>
      <c r="AR200" s="1767">
        <v>0</v>
      </c>
      <c r="AS200" s="1767">
        <v>0</v>
      </c>
      <c r="AT200" s="1767">
        <v>0</v>
      </c>
      <c r="AU200" s="1767">
        <v>0</v>
      </c>
      <c r="AV200" s="1767">
        <v>0</v>
      </c>
      <c r="AW200" s="1767">
        <v>0</v>
      </c>
      <c r="AX200" s="1767">
        <v>0</v>
      </c>
      <c r="AY200" s="1767">
        <v>0</v>
      </c>
      <c r="AZ200" s="1767">
        <v>0</v>
      </c>
      <c r="BA200" s="1767">
        <v>0</v>
      </c>
      <c r="BB200" s="1767">
        <v>0</v>
      </c>
      <c r="BC200" s="1767">
        <v>0</v>
      </c>
      <c r="BD200" s="1767">
        <v>0</v>
      </c>
      <c r="BE200" s="1767">
        <v>0</v>
      </c>
      <c r="BF200" s="1767">
        <v>0</v>
      </c>
      <c r="BG200" s="1767">
        <v>0</v>
      </c>
      <c r="BH200" s="1767">
        <v>0</v>
      </c>
      <c r="BI200" s="1767">
        <v>0</v>
      </c>
      <c r="BJ200" s="1767">
        <v>0</v>
      </c>
      <c r="BK200" s="1767">
        <v>0</v>
      </c>
      <c r="BL200" s="1767">
        <v>0</v>
      </c>
      <c r="BM200" s="1767">
        <v>0</v>
      </c>
      <c r="BN200" s="1767">
        <v>0</v>
      </c>
      <c r="BO200" s="1767">
        <v>0</v>
      </c>
      <c r="BP200" s="1767">
        <v>0</v>
      </c>
      <c r="BQ200" s="1767">
        <v>0</v>
      </c>
      <c r="BR200" s="1767">
        <v>0</v>
      </c>
      <c r="BS200" s="1767">
        <v>0</v>
      </c>
      <c r="BT200" s="1767">
        <v>0</v>
      </c>
      <c r="BU200" s="1767">
        <v>0</v>
      </c>
      <c r="BV200" s="1767">
        <v>0</v>
      </c>
      <c r="BW200" s="1767">
        <v>0</v>
      </c>
      <c r="BX200" s="1767">
        <v>0</v>
      </c>
      <c r="BY200" s="1767">
        <v>0</v>
      </c>
      <c r="BZ200" s="1767">
        <v>0</v>
      </c>
      <c r="CA200" s="1767">
        <v>0</v>
      </c>
      <c r="CB200" s="1767">
        <v>0</v>
      </c>
      <c r="CC200" s="1767">
        <v>0</v>
      </c>
      <c r="CD200" s="1767">
        <v>0</v>
      </c>
      <c r="CE200" s="1767">
        <v>0</v>
      </c>
      <c r="CF200" s="1767">
        <v>0</v>
      </c>
      <c r="CG200" s="1767">
        <v>0</v>
      </c>
      <c r="CH200" s="1767">
        <v>0</v>
      </c>
      <c r="CI200" s="1767">
        <v>0</v>
      </c>
      <c r="CJ200" s="1767">
        <v>0</v>
      </c>
      <c r="CK200" s="1767">
        <v>0</v>
      </c>
      <c r="CL200" s="1767">
        <v>0</v>
      </c>
      <c r="CM200" s="1767">
        <v>0</v>
      </c>
      <c r="CN200" s="1767">
        <v>0</v>
      </c>
      <c r="CO200" s="1767">
        <v>0</v>
      </c>
      <c r="CP200" s="1767">
        <v>0</v>
      </c>
    </row>
    <row r="201" spans="1:94" ht="15" customHeight="1" x14ac:dyDescent="0.2">
      <c r="A201" s="1847"/>
      <c r="B201" s="1856"/>
      <c r="C201" s="653" t="s">
        <v>2094</v>
      </c>
      <c r="D201" s="936"/>
      <c r="E201" s="1831"/>
      <c r="F201" s="1225"/>
      <c r="G201" s="1767">
        <v>0</v>
      </c>
      <c r="H201" s="1767">
        <v>0</v>
      </c>
      <c r="I201" s="1767">
        <v>0</v>
      </c>
      <c r="J201" s="1767">
        <v>0</v>
      </c>
      <c r="K201" s="1767">
        <v>0</v>
      </c>
      <c r="L201" s="1767">
        <v>0</v>
      </c>
      <c r="M201" s="1767">
        <v>0</v>
      </c>
      <c r="N201" s="1767">
        <v>0</v>
      </c>
      <c r="O201" s="1767">
        <v>0</v>
      </c>
      <c r="P201" s="1767">
        <v>0</v>
      </c>
      <c r="Q201" s="1767">
        <v>0</v>
      </c>
      <c r="R201" s="1767">
        <v>0</v>
      </c>
      <c r="S201" s="1767">
        <v>0</v>
      </c>
      <c r="T201" s="1767">
        <v>0</v>
      </c>
      <c r="U201" s="1767">
        <v>0</v>
      </c>
      <c r="V201" s="1767">
        <v>0</v>
      </c>
      <c r="W201" s="1767">
        <v>0</v>
      </c>
      <c r="X201" s="1767">
        <v>0</v>
      </c>
      <c r="Y201" s="1767">
        <v>0</v>
      </c>
      <c r="Z201" s="1767">
        <v>0</v>
      </c>
      <c r="AA201" s="1767">
        <v>0</v>
      </c>
      <c r="AB201" s="1767">
        <v>0</v>
      </c>
      <c r="AC201" s="1767">
        <v>0</v>
      </c>
      <c r="AD201" s="1767">
        <v>0</v>
      </c>
      <c r="AE201" s="1767">
        <v>0</v>
      </c>
      <c r="AF201" s="1767">
        <v>0</v>
      </c>
      <c r="AG201" s="1767">
        <v>0</v>
      </c>
      <c r="AH201" s="1767">
        <v>0</v>
      </c>
      <c r="AI201" s="1767">
        <v>0</v>
      </c>
      <c r="AJ201" s="1767">
        <v>0</v>
      </c>
      <c r="AK201" s="1767">
        <v>0</v>
      </c>
      <c r="AL201" s="1767">
        <v>0</v>
      </c>
      <c r="AM201" s="1767">
        <v>0</v>
      </c>
      <c r="AN201" s="1767">
        <v>0</v>
      </c>
      <c r="AO201" s="1767">
        <v>0</v>
      </c>
      <c r="AP201" s="1767">
        <v>0</v>
      </c>
      <c r="AQ201" s="1767">
        <v>0</v>
      </c>
      <c r="AR201" s="1767">
        <v>0</v>
      </c>
      <c r="AS201" s="1767">
        <v>0</v>
      </c>
      <c r="AT201" s="1767">
        <v>0</v>
      </c>
      <c r="AU201" s="1767">
        <v>0</v>
      </c>
      <c r="AV201" s="1767">
        <v>0</v>
      </c>
      <c r="AW201" s="1767">
        <v>0</v>
      </c>
      <c r="AX201" s="1767">
        <v>0</v>
      </c>
      <c r="AY201" s="1767">
        <v>0</v>
      </c>
      <c r="AZ201" s="1767">
        <v>0</v>
      </c>
      <c r="BA201" s="1767">
        <v>0</v>
      </c>
      <c r="BB201" s="1767">
        <v>0</v>
      </c>
      <c r="BC201" s="1767">
        <v>0</v>
      </c>
      <c r="BD201" s="1767">
        <v>0</v>
      </c>
      <c r="BE201" s="1767">
        <v>0</v>
      </c>
      <c r="BF201" s="1767">
        <v>0</v>
      </c>
      <c r="BG201" s="1767">
        <v>0</v>
      </c>
      <c r="BH201" s="1767">
        <v>0</v>
      </c>
      <c r="BI201" s="1767">
        <v>0</v>
      </c>
      <c r="BJ201" s="1767">
        <v>0</v>
      </c>
      <c r="BK201" s="1767">
        <v>0</v>
      </c>
      <c r="BL201" s="1767">
        <v>0</v>
      </c>
      <c r="BM201" s="1767">
        <v>0</v>
      </c>
      <c r="BN201" s="1767">
        <v>0</v>
      </c>
      <c r="BO201" s="1767">
        <v>0</v>
      </c>
      <c r="BP201" s="1767">
        <v>0</v>
      </c>
      <c r="BQ201" s="1767">
        <v>0</v>
      </c>
      <c r="BR201" s="1767">
        <v>0</v>
      </c>
      <c r="BS201" s="1767">
        <v>0</v>
      </c>
      <c r="BT201" s="1767">
        <v>0</v>
      </c>
      <c r="BU201" s="1767">
        <v>0</v>
      </c>
      <c r="BV201" s="1767">
        <v>0</v>
      </c>
      <c r="BW201" s="1767">
        <v>0</v>
      </c>
      <c r="BX201" s="1767">
        <v>0</v>
      </c>
      <c r="BY201" s="1767">
        <v>0</v>
      </c>
      <c r="BZ201" s="1767">
        <v>0</v>
      </c>
      <c r="CA201" s="1767">
        <v>0</v>
      </c>
      <c r="CB201" s="1767">
        <v>0</v>
      </c>
      <c r="CC201" s="1767">
        <v>0</v>
      </c>
      <c r="CD201" s="1767">
        <v>0</v>
      </c>
      <c r="CE201" s="1767">
        <v>0</v>
      </c>
      <c r="CF201" s="1767">
        <v>0</v>
      </c>
      <c r="CG201" s="1767">
        <v>0</v>
      </c>
      <c r="CH201" s="1767">
        <v>0</v>
      </c>
      <c r="CI201" s="1767">
        <v>0</v>
      </c>
      <c r="CJ201" s="1767">
        <v>0</v>
      </c>
      <c r="CK201" s="1767">
        <v>0</v>
      </c>
      <c r="CL201" s="1767">
        <v>0</v>
      </c>
      <c r="CM201" s="1767">
        <v>0</v>
      </c>
      <c r="CN201" s="1767">
        <v>0</v>
      </c>
      <c r="CO201" s="1767">
        <v>0</v>
      </c>
      <c r="CP201" s="1767">
        <v>0</v>
      </c>
    </row>
    <row r="202" spans="1:94" ht="27" customHeight="1" thickBot="1" x14ac:dyDescent="0.25">
      <c r="A202" s="1848"/>
      <c r="B202" s="1857"/>
      <c r="C202" s="654" t="s">
        <v>1702</v>
      </c>
      <c r="D202" s="949"/>
      <c r="E202" s="1832"/>
      <c r="F202" s="1225"/>
      <c r="G202" s="1767">
        <v>0</v>
      </c>
      <c r="H202" s="1767">
        <v>0</v>
      </c>
      <c r="I202" s="1767">
        <v>0</v>
      </c>
      <c r="J202" s="1767">
        <v>0</v>
      </c>
      <c r="K202" s="1767">
        <v>0</v>
      </c>
      <c r="L202" s="1767">
        <v>0</v>
      </c>
      <c r="M202" s="1767">
        <v>0</v>
      </c>
      <c r="N202" s="1767">
        <v>0</v>
      </c>
      <c r="O202" s="1767">
        <v>0</v>
      </c>
      <c r="P202" s="1767">
        <v>0</v>
      </c>
      <c r="Q202" s="1767">
        <v>0</v>
      </c>
      <c r="R202" s="1767">
        <v>0</v>
      </c>
      <c r="S202" s="1767">
        <v>0</v>
      </c>
      <c r="T202" s="1767">
        <v>0</v>
      </c>
      <c r="U202" s="1767">
        <v>0</v>
      </c>
      <c r="V202" s="1767">
        <v>0</v>
      </c>
      <c r="W202" s="1767">
        <v>0</v>
      </c>
      <c r="X202" s="1767">
        <v>0</v>
      </c>
      <c r="Y202" s="1767">
        <v>0</v>
      </c>
      <c r="Z202" s="1767">
        <v>0</v>
      </c>
      <c r="AA202" s="1767">
        <v>0</v>
      </c>
      <c r="AB202" s="1767">
        <v>0</v>
      </c>
      <c r="AC202" s="1767">
        <v>0</v>
      </c>
      <c r="AD202" s="1767">
        <v>0</v>
      </c>
      <c r="AE202" s="1767">
        <v>0</v>
      </c>
      <c r="AF202" s="1767">
        <v>0</v>
      </c>
      <c r="AG202" s="1767">
        <v>0</v>
      </c>
      <c r="AH202" s="1767">
        <v>0</v>
      </c>
      <c r="AI202" s="1767">
        <v>0</v>
      </c>
      <c r="AJ202" s="1767">
        <v>0</v>
      </c>
      <c r="AK202" s="1767">
        <v>0</v>
      </c>
      <c r="AL202" s="1767">
        <v>0</v>
      </c>
      <c r="AM202" s="1767">
        <v>0</v>
      </c>
      <c r="AN202" s="1767">
        <v>0</v>
      </c>
      <c r="AO202" s="1767">
        <v>0</v>
      </c>
      <c r="AP202" s="1767">
        <v>0</v>
      </c>
      <c r="AQ202" s="1767">
        <v>0</v>
      </c>
      <c r="AR202" s="1767">
        <v>0</v>
      </c>
      <c r="AS202" s="1767">
        <v>0</v>
      </c>
      <c r="AT202" s="1767">
        <v>0</v>
      </c>
      <c r="AU202" s="1767">
        <v>0</v>
      </c>
      <c r="AV202" s="1767">
        <v>0</v>
      </c>
      <c r="AW202" s="1767">
        <v>0</v>
      </c>
      <c r="AX202" s="1767">
        <v>0</v>
      </c>
      <c r="AY202" s="1767">
        <v>0</v>
      </c>
      <c r="AZ202" s="1767">
        <v>0</v>
      </c>
      <c r="BA202" s="1767">
        <v>0</v>
      </c>
      <c r="BB202" s="1767">
        <v>0</v>
      </c>
      <c r="BC202" s="1767">
        <v>0</v>
      </c>
      <c r="BD202" s="1767">
        <v>0</v>
      </c>
      <c r="BE202" s="1767">
        <v>0</v>
      </c>
      <c r="BF202" s="1767">
        <v>0</v>
      </c>
      <c r="BG202" s="1767">
        <v>0</v>
      </c>
      <c r="BH202" s="1767">
        <v>0</v>
      </c>
      <c r="BI202" s="1767">
        <v>0</v>
      </c>
      <c r="BJ202" s="1767">
        <v>0</v>
      </c>
      <c r="BK202" s="1767">
        <v>0</v>
      </c>
      <c r="BL202" s="1767">
        <v>0</v>
      </c>
      <c r="BM202" s="1767">
        <v>0</v>
      </c>
      <c r="BN202" s="1767">
        <v>0</v>
      </c>
      <c r="BO202" s="1767">
        <v>0</v>
      </c>
      <c r="BP202" s="1767">
        <v>0</v>
      </c>
      <c r="BQ202" s="1767">
        <v>0</v>
      </c>
      <c r="BR202" s="1767">
        <v>0</v>
      </c>
      <c r="BS202" s="1767">
        <v>0</v>
      </c>
      <c r="BT202" s="1767">
        <v>0</v>
      </c>
      <c r="BU202" s="1767">
        <v>0</v>
      </c>
      <c r="BV202" s="1767">
        <v>0</v>
      </c>
      <c r="BW202" s="1767">
        <v>0</v>
      </c>
      <c r="BX202" s="1767">
        <v>0</v>
      </c>
      <c r="BY202" s="1767">
        <v>0</v>
      </c>
      <c r="BZ202" s="1767">
        <v>0</v>
      </c>
      <c r="CA202" s="1767">
        <v>0</v>
      </c>
      <c r="CB202" s="1767">
        <v>0</v>
      </c>
      <c r="CC202" s="1767">
        <v>0</v>
      </c>
      <c r="CD202" s="1767">
        <v>0</v>
      </c>
      <c r="CE202" s="1767">
        <v>0</v>
      </c>
      <c r="CF202" s="1767">
        <v>0</v>
      </c>
      <c r="CG202" s="1767">
        <v>0</v>
      </c>
      <c r="CH202" s="1767">
        <v>0</v>
      </c>
      <c r="CI202" s="1767">
        <v>0</v>
      </c>
      <c r="CJ202" s="1767">
        <v>0</v>
      </c>
      <c r="CK202" s="1767">
        <v>0</v>
      </c>
      <c r="CL202" s="1767">
        <v>0</v>
      </c>
      <c r="CM202" s="1767">
        <v>0</v>
      </c>
      <c r="CN202" s="1767">
        <v>0</v>
      </c>
      <c r="CO202" s="1767">
        <v>0</v>
      </c>
      <c r="CP202" s="1767">
        <v>0</v>
      </c>
    </row>
    <row r="203" spans="1:94" ht="42.75" thickBot="1" x14ac:dyDescent="0.25">
      <c r="A203" s="651" t="s">
        <v>1313</v>
      </c>
      <c r="B203" s="716" t="s">
        <v>1703</v>
      </c>
      <c r="C203" s="1779" t="s">
        <v>2530</v>
      </c>
      <c r="D203" s="967"/>
      <c r="E203" s="828"/>
      <c r="F203" s="1225"/>
      <c r="G203" s="1767">
        <v>0</v>
      </c>
      <c r="H203" s="1767">
        <v>0</v>
      </c>
      <c r="I203" s="1767">
        <v>0</v>
      </c>
      <c r="J203" s="1767">
        <v>0</v>
      </c>
      <c r="K203" s="1767">
        <v>0</v>
      </c>
      <c r="L203" s="1767">
        <v>0</v>
      </c>
      <c r="M203" s="1767">
        <v>0</v>
      </c>
      <c r="N203" s="1767">
        <v>0</v>
      </c>
      <c r="O203" s="1767">
        <v>0</v>
      </c>
      <c r="P203" s="1767">
        <v>0</v>
      </c>
      <c r="Q203" s="1767">
        <v>0</v>
      </c>
      <c r="R203" s="1767">
        <v>0</v>
      </c>
      <c r="S203" s="1767">
        <v>0</v>
      </c>
      <c r="T203" s="1767">
        <v>0</v>
      </c>
      <c r="U203" s="1767">
        <v>0</v>
      </c>
      <c r="V203" s="1767">
        <v>0</v>
      </c>
      <c r="W203" s="1767">
        <v>0</v>
      </c>
      <c r="X203" s="1767">
        <v>0</v>
      </c>
      <c r="Y203" s="1767">
        <v>0</v>
      </c>
      <c r="Z203" s="1767">
        <v>0</v>
      </c>
      <c r="AA203" s="1767">
        <v>0</v>
      </c>
      <c r="AB203" s="1767">
        <v>0</v>
      </c>
      <c r="AC203" s="1767">
        <v>0</v>
      </c>
      <c r="AD203" s="1767">
        <v>0</v>
      </c>
      <c r="AE203" s="1767">
        <v>0</v>
      </c>
      <c r="AF203" s="1767">
        <v>0</v>
      </c>
      <c r="AG203" s="1767">
        <v>0</v>
      </c>
      <c r="AH203" s="1767">
        <v>0</v>
      </c>
      <c r="AI203" s="1767">
        <v>0</v>
      </c>
      <c r="AJ203" s="1767">
        <v>0</v>
      </c>
      <c r="AK203" s="1767">
        <v>0</v>
      </c>
      <c r="AL203" s="1767">
        <v>0</v>
      </c>
      <c r="AM203" s="1767">
        <v>0</v>
      </c>
      <c r="AN203" s="1767">
        <v>0</v>
      </c>
      <c r="AO203" s="1767">
        <v>0</v>
      </c>
      <c r="AP203" s="1767">
        <v>0</v>
      </c>
      <c r="AQ203" s="1767">
        <v>0</v>
      </c>
      <c r="AR203" s="1767">
        <v>0</v>
      </c>
      <c r="AS203" s="1767">
        <v>0</v>
      </c>
      <c r="AT203" s="1767">
        <v>0</v>
      </c>
      <c r="AU203" s="1767">
        <v>0</v>
      </c>
      <c r="AV203" s="1767">
        <v>0</v>
      </c>
      <c r="AW203" s="1767">
        <v>0</v>
      </c>
      <c r="AX203" s="1767">
        <v>0</v>
      </c>
      <c r="AY203" s="1767">
        <v>0</v>
      </c>
      <c r="AZ203" s="1767">
        <v>0</v>
      </c>
      <c r="BA203" s="1767">
        <v>0</v>
      </c>
      <c r="BB203" s="1767">
        <v>0</v>
      </c>
      <c r="BC203" s="1767">
        <v>0</v>
      </c>
      <c r="BD203" s="1767">
        <v>0</v>
      </c>
      <c r="BE203" s="1767">
        <v>0</v>
      </c>
      <c r="BF203" s="1767">
        <v>0</v>
      </c>
      <c r="BG203" s="1767">
        <v>0</v>
      </c>
      <c r="BH203" s="1767">
        <v>0</v>
      </c>
      <c r="BI203" s="1767">
        <v>0</v>
      </c>
      <c r="BJ203" s="1767">
        <v>0</v>
      </c>
      <c r="BK203" s="1767">
        <v>0</v>
      </c>
      <c r="BL203" s="1767">
        <v>0</v>
      </c>
      <c r="BM203" s="1767">
        <v>0</v>
      </c>
      <c r="BN203" s="1767">
        <v>0</v>
      </c>
      <c r="BO203" s="1767">
        <v>0</v>
      </c>
      <c r="BP203" s="1767">
        <v>0</v>
      </c>
      <c r="BQ203" s="1767">
        <v>0</v>
      </c>
      <c r="BR203" s="1767">
        <v>0</v>
      </c>
      <c r="BS203" s="1767">
        <v>0</v>
      </c>
      <c r="BT203" s="1767">
        <v>0</v>
      </c>
      <c r="BU203" s="1767">
        <v>0</v>
      </c>
      <c r="BV203" s="1767">
        <v>0</v>
      </c>
      <c r="BW203" s="1767">
        <v>0</v>
      </c>
      <c r="BX203" s="1767">
        <v>0</v>
      </c>
      <c r="BY203" s="1767">
        <v>0</v>
      </c>
      <c r="BZ203" s="1767">
        <v>0</v>
      </c>
      <c r="CA203" s="1767">
        <v>0</v>
      </c>
      <c r="CB203" s="1767">
        <v>0</v>
      </c>
      <c r="CC203" s="1767">
        <v>0</v>
      </c>
      <c r="CD203" s="1767">
        <v>0</v>
      </c>
      <c r="CE203" s="1767">
        <v>0</v>
      </c>
      <c r="CF203" s="1767">
        <v>0</v>
      </c>
      <c r="CG203" s="1767">
        <v>0</v>
      </c>
      <c r="CH203" s="1767">
        <v>0</v>
      </c>
      <c r="CI203" s="1767">
        <v>0</v>
      </c>
      <c r="CJ203" s="1767">
        <v>0</v>
      </c>
      <c r="CK203" s="1767">
        <v>0</v>
      </c>
      <c r="CL203" s="1767">
        <v>0</v>
      </c>
      <c r="CM203" s="1767">
        <v>0</v>
      </c>
      <c r="CN203" s="1767">
        <v>0</v>
      </c>
      <c r="CO203" s="1767">
        <v>0</v>
      </c>
      <c r="CP203" s="1767">
        <v>0</v>
      </c>
    </row>
    <row r="204" spans="1:94" ht="30" customHeight="1" thickBot="1" x14ac:dyDescent="0.25">
      <c r="A204" s="1833" t="s">
        <v>1314</v>
      </c>
      <c r="B204" s="1833" t="s">
        <v>433</v>
      </c>
      <c r="C204" s="1781" t="s">
        <v>2531</v>
      </c>
      <c r="D204" s="948"/>
      <c r="E204" s="1837" t="s">
        <v>1824</v>
      </c>
      <c r="F204" s="1225"/>
      <c r="G204" s="1742"/>
      <c r="H204" s="1742"/>
      <c r="I204" s="1742"/>
      <c r="J204" s="1742"/>
      <c r="K204" s="1742"/>
      <c r="L204" s="1742"/>
      <c r="M204" s="1742"/>
      <c r="N204" s="1742"/>
      <c r="O204" s="1742"/>
      <c r="P204" s="1742"/>
      <c r="Q204" s="1742"/>
      <c r="R204" s="1742"/>
      <c r="S204" s="1742"/>
      <c r="T204" s="1742"/>
      <c r="U204" s="1742"/>
      <c r="V204" s="1742"/>
      <c r="W204" s="1742"/>
      <c r="X204" s="1742"/>
      <c r="Y204" s="1742"/>
      <c r="Z204" s="1742"/>
      <c r="AA204" s="1742"/>
      <c r="AB204" s="1742"/>
      <c r="AC204" s="1742"/>
      <c r="AD204" s="1742"/>
      <c r="AE204" s="1742"/>
      <c r="AF204" s="1742"/>
      <c r="AG204" s="1742"/>
      <c r="AH204" s="1742"/>
      <c r="AI204" s="1742"/>
      <c r="AJ204" s="1742"/>
      <c r="AK204" s="1742"/>
      <c r="AL204" s="1742"/>
      <c r="AM204" s="1742"/>
      <c r="AN204" s="1742"/>
      <c r="AO204" s="1742"/>
      <c r="AP204" s="1742"/>
      <c r="AQ204" s="1742"/>
      <c r="AR204" s="1742"/>
      <c r="AS204" s="1742"/>
      <c r="AT204" s="1742"/>
      <c r="AU204" s="1742"/>
      <c r="AV204" s="1742"/>
      <c r="AW204" s="1742"/>
      <c r="AX204" s="1742"/>
      <c r="AY204" s="1742"/>
      <c r="AZ204" s="1742"/>
      <c r="BA204" s="1742"/>
      <c r="BB204" s="1742"/>
      <c r="BC204" s="1742"/>
      <c r="BD204" s="1742"/>
      <c r="BE204" s="1742"/>
      <c r="BF204" s="1742"/>
      <c r="BG204" s="1742"/>
      <c r="BH204" s="1742"/>
      <c r="BI204" s="1742"/>
      <c r="BJ204" s="1742"/>
      <c r="BK204" s="1742"/>
      <c r="BL204" s="1742"/>
      <c r="BM204" s="1742"/>
      <c r="BN204" s="1742"/>
      <c r="BO204" s="1742"/>
      <c r="BP204" s="1742"/>
      <c r="BQ204" s="1742"/>
      <c r="BR204" s="1742"/>
      <c r="BS204" s="1742"/>
      <c r="BT204" s="1742"/>
      <c r="BU204" s="1742"/>
      <c r="BV204" s="1742"/>
      <c r="BW204" s="1742"/>
      <c r="BX204" s="1742"/>
      <c r="BY204" s="1742"/>
      <c r="BZ204" s="1742"/>
      <c r="CA204" s="1742"/>
      <c r="CB204" s="1742"/>
      <c r="CC204" s="1742"/>
      <c r="CD204" s="1742"/>
      <c r="CE204" s="1742"/>
      <c r="CF204" s="1742"/>
      <c r="CG204" s="1742"/>
      <c r="CH204" s="1742"/>
      <c r="CI204" s="1742"/>
      <c r="CJ204" s="1742"/>
      <c r="CK204" s="1742"/>
      <c r="CL204" s="1742"/>
      <c r="CM204" s="1742"/>
      <c r="CN204" s="1742"/>
      <c r="CO204" s="1742"/>
      <c r="CP204" s="1742"/>
    </row>
    <row r="205" spans="1:94" ht="15" customHeight="1" x14ac:dyDescent="0.2">
      <c r="A205" s="1847"/>
      <c r="B205" s="1834"/>
      <c r="C205" s="669" t="s">
        <v>1704</v>
      </c>
      <c r="D205" s="936"/>
      <c r="E205" s="1837"/>
      <c r="F205" s="1225"/>
      <c r="G205" s="1767">
        <v>0</v>
      </c>
      <c r="H205" s="1767">
        <v>0</v>
      </c>
      <c r="I205" s="1767">
        <v>0</v>
      </c>
      <c r="J205" s="1767">
        <v>0</v>
      </c>
      <c r="K205" s="1767">
        <v>0</v>
      </c>
      <c r="L205" s="1767">
        <v>0</v>
      </c>
      <c r="M205" s="1767">
        <v>0</v>
      </c>
      <c r="N205" s="1767">
        <v>0</v>
      </c>
      <c r="O205" s="1767">
        <v>0</v>
      </c>
      <c r="P205" s="1767">
        <v>0</v>
      </c>
      <c r="Q205" s="1767">
        <v>0</v>
      </c>
      <c r="R205" s="1767">
        <v>0</v>
      </c>
      <c r="S205" s="1767">
        <v>0</v>
      </c>
      <c r="T205" s="1767">
        <v>0</v>
      </c>
      <c r="U205" s="1767">
        <v>0</v>
      </c>
      <c r="V205" s="1767">
        <v>0</v>
      </c>
      <c r="W205" s="1767">
        <v>0</v>
      </c>
      <c r="X205" s="1767">
        <v>0</v>
      </c>
      <c r="Y205" s="1767">
        <v>0</v>
      </c>
      <c r="Z205" s="1767">
        <v>0</v>
      </c>
      <c r="AA205" s="1767">
        <v>0</v>
      </c>
      <c r="AB205" s="1767">
        <v>0</v>
      </c>
      <c r="AC205" s="1767">
        <v>0</v>
      </c>
      <c r="AD205" s="1767">
        <v>0</v>
      </c>
      <c r="AE205" s="1767">
        <v>0</v>
      </c>
      <c r="AF205" s="1767">
        <v>0</v>
      </c>
      <c r="AG205" s="1767">
        <v>0</v>
      </c>
      <c r="AH205" s="1767">
        <v>0</v>
      </c>
      <c r="AI205" s="1767">
        <v>0</v>
      </c>
      <c r="AJ205" s="1767">
        <v>0</v>
      </c>
      <c r="AK205" s="1767">
        <v>0</v>
      </c>
      <c r="AL205" s="1767">
        <v>0</v>
      </c>
      <c r="AM205" s="1767">
        <v>0</v>
      </c>
      <c r="AN205" s="1767">
        <v>0</v>
      </c>
      <c r="AO205" s="1767">
        <v>0</v>
      </c>
      <c r="AP205" s="1767">
        <v>0</v>
      </c>
      <c r="AQ205" s="1767">
        <v>0</v>
      </c>
      <c r="AR205" s="1767">
        <v>0</v>
      </c>
      <c r="AS205" s="1767">
        <v>0</v>
      </c>
      <c r="AT205" s="1767">
        <v>0</v>
      </c>
      <c r="AU205" s="1767">
        <v>0</v>
      </c>
      <c r="AV205" s="1767">
        <v>0</v>
      </c>
      <c r="AW205" s="1767">
        <v>0</v>
      </c>
      <c r="AX205" s="1767">
        <v>0</v>
      </c>
      <c r="AY205" s="1767">
        <v>0</v>
      </c>
      <c r="AZ205" s="1767">
        <v>0</v>
      </c>
      <c r="BA205" s="1767">
        <v>0</v>
      </c>
      <c r="BB205" s="1767">
        <v>0</v>
      </c>
      <c r="BC205" s="1767">
        <v>0</v>
      </c>
      <c r="BD205" s="1767">
        <v>0</v>
      </c>
      <c r="BE205" s="1767">
        <v>0</v>
      </c>
      <c r="BF205" s="1767">
        <v>0</v>
      </c>
      <c r="BG205" s="1767">
        <v>0</v>
      </c>
      <c r="BH205" s="1767">
        <v>0</v>
      </c>
      <c r="BI205" s="1767">
        <v>0</v>
      </c>
      <c r="BJ205" s="1767">
        <v>0</v>
      </c>
      <c r="BK205" s="1767">
        <v>0</v>
      </c>
      <c r="BL205" s="1767">
        <v>0</v>
      </c>
      <c r="BM205" s="1767">
        <v>0</v>
      </c>
      <c r="BN205" s="1767">
        <v>0</v>
      </c>
      <c r="BO205" s="1767">
        <v>0</v>
      </c>
      <c r="BP205" s="1767">
        <v>0</v>
      </c>
      <c r="BQ205" s="1767">
        <v>0</v>
      </c>
      <c r="BR205" s="1767">
        <v>0</v>
      </c>
      <c r="BS205" s="1767">
        <v>0</v>
      </c>
      <c r="BT205" s="1767">
        <v>0</v>
      </c>
      <c r="BU205" s="1767">
        <v>0</v>
      </c>
      <c r="BV205" s="1767">
        <v>0</v>
      </c>
      <c r="BW205" s="1767">
        <v>0</v>
      </c>
      <c r="BX205" s="1767">
        <v>0</v>
      </c>
      <c r="BY205" s="1767">
        <v>0</v>
      </c>
      <c r="BZ205" s="1767">
        <v>0</v>
      </c>
      <c r="CA205" s="1767">
        <v>0</v>
      </c>
      <c r="CB205" s="1767">
        <v>0</v>
      </c>
      <c r="CC205" s="1767">
        <v>0</v>
      </c>
      <c r="CD205" s="1767">
        <v>0</v>
      </c>
      <c r="CE205" s="1767">
        <v>0</v>
      </c>
      <c r="CF205" s="1767">
        <v>0</v>
      </c>
      <c r="CG205" s="1767">
        <v>0</v>
      </c>
      <c r="CH205" s="1767">
        <v>0</v>
      </c>
      <c r="CI205" s="1767">
        <v>0</v>
      </c>
      <c r="CJ205" s="1767">
        <v>0</v>
      </c>
      <c r="CK205" s="1767">
        <v>0</v>
      </c>
      <c r="CL205" s="1767">
        <v>0</v>
      </c>
      <c r="CM205" s="1767">
        <v>0</v>
      </c>
      <c r="CN205" s="1767">
        <v>0</v>
      </c>
      <c r="CO205" s="1767">
        <v>0</v>
      </c>
      <c r="CP205" s="1767">
        <v>0</v>
      </c>
    </row>
    <row r="206" spans="1:94" ht="15" customHeight="1" x14ac:dyDescent="0.2">
      <c r="A206" s="1847"/>
      <c r="B206" s="1834"/>
      <c r="C206" s="663" t="s">
        <v>161</v>
      </c>
      <c r="D206" s="936"/>
      <c r="E206" s="1837"/>
      <c r="F206" s="1225"/>
      <c r="G206" s="1767">
        <v>0</v>
      </c>
      <c r="H206" s="1767">
        <v>0</v>
      </c>
      <c r="I206" s="1767">
        <v>0</v>
      </c>
      <c r="J206" s="1767">
        <v>0</v>
      </c>
      <c r="K206" s="1767">
        <v>0</v>
      </c>
      <c r="L206" s="1767">
        <v>0</v>
      </c>
      <c r="M206" s="1767">
        <v>0</v>
      </c>
      <c r="N206" s="1767">
        <v>0</v>
      </c>
      <c r="O206" s="1767">
        <v>0</v>
      </c>
      <c r="P206" s="1767">
        <v>0</v>
      </c>
      <c r="Q206" s="1767">
        <v>0</v>
      </c>
      <c r="R206" s="1767">
        <v>0</v>
      </c>
      <c r="S206" s="1767">
        <v>0</v>
      </c>
      <c r="T206" s="1767">
        <v>0</v>
      </c>
      <c r="U206" s="1767">
        <v>0</v>
      </c>
      <c r="V206" s="1767">
        <v>0</v>
      </c>
      <c r="W206" s="1767">
        <v>0</v>
      </c>
      <c r="X206" s="1767">
        <v>0</v>
      </c>
      <c r="Y206" s="1767">
        <v>0</v>
      </c>
      <c r="Z206" s="1767">
        <v>0</v>
      </c>
      <c r="AA206" s="1767">
        <v>0</v>
      </c>
      <c r="AB206" s="1767">
        <v>0</v>
      </c>
      <c r="AC206" s="1767">
        <v>0</v>
      </c>
      <c r="AD206" s="1767">
        <v>0</v>
      </c>
      <c r="AE206" s="1767">
        <v>0</v>
      </c>
      <c r="AF206" s="1767">
        <v>0</v>
      </c>
      <c r="AG206" s="1767">
        <v>0</v>
      </c>
      <c r="AH206" s="1767">
        <v>0</v>
      </c>
      <c r="AI206" s="1767">
        <v>0</v>
      </c>
      <c r="AJ206" s="1767">
        <v>0</v>
      </c>
      <c r="AK206" s="1767">
        <v>0</v>
      </c>
      <c r="AL206" s="1767">
        <v>0</v>
      </c>
      <c r="AM206" s="1767">
        <v>0</v>
      </c>
      <c r="AN206" s="1767">
        <v>0</v>
      </c>
      <c r="AO206" s="1767">
        <v>0</v>
      </c>
      <c r="AP206" s="1767">
        <v>0</v>
      </c>
      <c r="AQ206" s="1767">
        <v>0</v>
      </c>
      <c r="AR206" s="1767">
        <v>0</v>
      </c>
      <c r="AS206" s="1767">
        <v>0</v>
      </c>
      <c r="AT206" s="1767">
        <v>0</v>
      </c>
      <c r="AU206" s="1767">
        <v>0</v>
      </c>
      <c r="AV206" s="1767">
        <v>0</v>
      </c>
      <c r="AW206" s="1767">
        <v>0</v>
      </c>
      <c r="AX206" s="1767">
        <v>0</v>
      </c>
      <c r="AY206" s="1767">
        <v>0</v>
      </c>
      <c r="AZ206" s="1767">
        <v>0</v>
      </c>
      <c r="BA206" s="1767">
        <v>0</v>
      </c>
      <c r="BB206" s="1767">
        <v>0</v>
      </c>
      <c r="BC206" s="1767">
        <v>0</v>
      </c>
      <c r="BD206" s="1767">
        <v>0</v>
      </c>
      <c r="BE206" s="1767">
        <v>0</v>
      </c>
      <c r="BF206" s="1767">
        <v>0</v>
      </c>
      <c r="BG206" s="1767">
        <v>0</v>
      </c>
      <c r="BH206" s="1767">
        <v>0</v>
      </c>
      <c r="BI206" s="1767">
        <v>0</v>
      </c>
      <c r="BJ206" s="1767">
        <v>0</v>
      </c>
      <c r="BK206" s="1767">
        <v>0</v>
      </c>
      <c r="BL206" s="1767">
        <v>0</v>
      </c>
      <c r="BM206" s="1767">
        <v>0</v>
      </c>
      <c r="BN206" s="1767">
        <v>0</v>
      </c>
      <c r="BO206" s="1767">
        <v>0</v>
      </c>
      <c r="BP206" s="1767">
        <v>0</v>
      </c>
      <c r="BQ206" s="1767">
        <v>0</v>
      </c>
      <c r="BR206" s="1767">
        <v>0</v>
      </c>
      <c r="BS206" s="1767">
        <v>0</v>
      </c>
      <c r="BT206" s="1767">
        <v>0</v>
      </c>
      <c r="BU206" s="1767">
        <v>0</v>
      </c>
      <c r="BV206" s="1767">
        <v>0</v>
      </c>
      <c r="BW206" s="1767">
        <v>0</v>
      </c>
      <c r="BX206" s="1767">
        <v>0</v>
      </c>
      <c r="BY206" s="1767">
        <v>0</v>
      </c>
      <c r="BZ206" s="1767">
        <v>0</v>
      </c>
      <c r="CA206" s="1767">
        <v>0</v>
      </c>
      <c r="CB206" s="1767">
        <v>0</v>
      </c>
      <c r="CC206" s="1767">
        <v>0</v>
      </c>
      <c r="CD206" s="1767">
        <v>0</v>
      </c>
      <c r="CE206" s="1767">
        <v>0</v>
      </c>
      <c r="CF206" s="1767">
        <v>0</v>
      </c>
      <c r="CG206" s="1767">
        <v>0</v>
      </c>
      <c r="CH206" s="1767">
        <v>0</v>
      </c>
      <c r="CI206" s="1767">
        <v>0</v>
      </c>
      <c r="CJ206" s="1767">
        <v>0</v>
      </c>
      <c r="CK206" s="1767">
        <v>0</v>
      </c>
      <c r="CL206" s="1767">
        <v>0</v>
      </c>
      <c r="CM206" s="1767">
        <v>0</v>
      </c>
      <c r="CN206" s="1767">
        <v>0</v>
      </c>
      <c r="CO206" s="1767">
        <v>0</v>
      </c>
      <c r="CP206" s="1767">
        <v>0</v>
      </c>
    </row>
    <row r="207" spans="1:94" ht="15" customHeight="1" thickBot="1" x14ac:dyDescent="0.25">
      <c r="A207" s="1847"/>
      <c r="B207" s="1834"/>
      <c r="C207" s="649" t="s">
        <v>630</v>
      </c>
      <c r="D207" s="949"/>
      <c r="E207" s="1837"/>
      <c r="F207" s="1225"/>
      <c r="G207" s="1767">
        <v>0</v>
      </c>
      <c r="H207" s="1767">
        <v>0</v>
      </c>
      <c r="I207" s="1767">
        <v>0</v>
      </c>
      <c r="J207" s="1767">
        <v>0</v>
      </c>
      <c r="K207" s="1767">
        <v>0</v>
      </c>
      <c r="L207" s="1767">
        <v>0</v>
      </c>
      <c r="M207" s="1767">
        <v>0</v>
      </c>
      <c r="N207" s="1767">
        <v>0</v>
      </c>
      <c r="O207" s="1767">
        <v>0</v>
      </c>
      <c r="P207" s="1767">
        <v>0</v>
      </c>
      <c r="Q207" s="1767">
        <v>0</v>
      </c>
      <c r="R207" s="1767">
        <v>0</v>
      </c>
      <c r="S207" s="1767">
        <v>0</v>
      </c>
      <c r="T207" s="1767">
        <v>0</v>
      </c>
      <c r="U207" s="1767">
        <v>0</v>
      </c>
      <c r="V207" s="1767">
        <v>0</v>
      </c>
      <c r="W207" s="1767">
        <v>0</v>
      </c>
      <c r="X207" s="1767">
        <v>0</v>
      </c>
      <c r="Y207" s="1767">
        <v>0</v>
      </c>
      <c r="Z207" s="1767">
        <v>0</v>
      </c>
      <c r="AA207" s="1767">
        <v>0</v>
      </c>
      <c r="AB207" s="1767">
        <v>0</v>
      </c>
      <c r="AC207" s="1767">
        <v>0</v>
      </c>
      <c r="AD207" s="1767">
        <v>0</v>
      </c>
      <c r="AE207" s="1767">
        <v>0</v>
      </c>
      <c r="AF207" s="1767">
        <v>0</v>
      </c>
      <c r="AG207" s="1767">
        <v>0</v>
      </c>
      <c r="AH207" s="1767">
        <v>0</v>
      </c>
      <c r="AI207" s="1767">
        <v>0</v>
      </c>
      <c r="AJ207" s="1767">
        <v>0</v>
      </c>
      <c r="AK207" s="1767">
        <v>0</v>
      </c>
      <c r="AL207" s="1767">
        <v>0</v>
      </c>
      <c r="AM207" s="1767">
        <v>0</v>
      </c>
      <c r="AN207" s="1767">
        <v>0</v>
      </c>
      <c r="AO207" s="1767">
        <v>0</v>
      </c>
      <c r="AP207" s="1767">
        <v>0</v>
      </c>
      <c r="AQ207" s="1767">
        <v>0</v>
      </c>
      <c r="AR207" s="1767">
        <v>0</v>
      </c>
      <c r="AS207" s="1767">
        <v>0</v>
      </c>
      <c r="AT207" s="1767">
        <v>0</v>
      </c>
      <c r="AU207" s="1767">
        <v>0</v>
      </c>
      <c r="AV207" s="1767">
        <v>0</v>
      </c>
      <c r="AW207" s="1767">
        <v>0</v>
      </c>
      <c r="AX207" s="1767">
        <v>0</v>
      </c>
      <c r="AY207" s="1767">
        <v>0</v>
      </c>
      <c r="AZ207" s="1767">
        <v>0</v>
      </c>
      <c r="BA207" s="1767">
        <v>0</v>
      </c>
      <c r="BB207" s="1767">
        <v>0</v>
      </c>
      <c r="BC207" s="1767">
        <v>0</v>
      </c>
      <c r="BD207" s="1767">
        <v>0</v>
      </c>
      <c r="BE207" s="1767">
        <v>0</v>
      </c>
      <c r="BF207" s="1767">
        <v>0</v>
      </c>
      <c r="BG207" s="1767">
        <v>0</v>
      </c>
      <c r="BH207" s="1767">
        <v>0</v>
      </c>
      <c r="BI207" s="1767">
        <v>0</v>
      </c>
      <c r="BJ207" s="1767">
        <v>0</v>
      </c>
      <c r="BK207" s="1767">
        <v>0</v>
      </c>
      <c r="BL207" s="1767">
        <v>0</v>
      </c>
      <c r="BM207" s="1767">
        <v>0</v>
      </c>
      <c r="BN207" s="1767">
        <v>0</v>
      </c>
      <c r="BO207" s="1767">
        <v>0</v>
      </c>
      <c r="BP207" s="1767">
        <v>0</v>
      </c>
      <c r="BQ207" s="1767">
        <v>0</v>
      </c>
      <c r="BR207" s="1767">
        <v>0</v>
      </c>
      <c r="BS207" s="1767">
        <v>0</v>
      </c>
      <c r="BT207" s="1767">
        <v>0</v>
      </c>
      <c r="BU207" s="1767">
        <v>0</v>
      </c>
      <c r="BV207" s="1767">
        <v>0</v>
      </c>
      <c r="BW207" s="1767">
        <v>0</v>
      </c>
      <c r="BX207" s="1767">
        <v>0</v>
      </c>
      <c r="BY207" s="1767">
        <v>0</v>
      </c>
      <c r="BZ207" s="1767">
        <v>0</v>
      </c>
      <c r="CA207" s="1767">
        <v>0</v>
      </c>
      <c r="CB207" s="1767">
        <v>0</v>
      </c>
      <c r="CC207" s="1767">
        <v>0</v>
      </c>
      <c r="CD207" s="1767">
        <v>0</v>
      </c>
      <c r="CE207" s="1767">
        <v>0</v>
      </c>
      <c r="CF207" s="1767">
        <v>0</v>
      </c>
      <c r="CG207" s="1767">
        <v>0</v>
      </c>
      <c r="CH207" s="1767">
        <v>0</v>
      </c>
      <c r="CI207" s="1767">
        <v>0</v>
      </c>
      <c r="CJ207" s="1767">
        <v>0</v>
      </c>
      <c r="CK207" s="1767">
        <v>0</v>
      </c>
      <c r="CL207" s="1767">
        <v>0</v>
      </c>
      <c r="CM207" s="1767">
        <v>0</v>
      </c>
      <c r="CN207" s="1767">
        <v>0</v>
      </c>
      <c r="CO207" s="1767">
        <v>0</v>
      </c>
      <c r="CP207" s="1767">
        <v>0</v>
      </c>
    </row>
    <row r="208" spans="1:94" ht="45" customHeight="1" thickBot="1" x14ac:dyDescent="0.25">
      <c r="A208" s="651" t="s">
        <v>1315</v>
      </c>
      <c r="B208" s="718" t="s">
        <v>445</v>
      </c>
      <c r="C208" s="1777" t="s">
        <v>1714</v>
      </c>
      <c r="D208" s="968"/>
      <c r="E208" s="829" t="s">
        <v>1825</v>
      </c>
      <c r="F208" s="1225"/>
      <c r="G208" s="1768">
        <v>0</v>
      </c>
      <c r="H208" s="1768">
        <v>0</v>
      </c>
      <c r="I208" s="1768">
        <v>0</v>
      </c>
      <c r="J208" s="1768">
        <v>0</v>
      </c>
      <c r="K208" s="1768">
        <v>0</v>
      </c>
      <c r="L208" s="1768">
        <v>0</v>
      </c>
      <c r="M208" s="1768">
        <v>0</v>
      </c>
      <c r="N208" s="1768">
        <v>0</v>
      </c>
      <c r="O208" s="1768">
        <v>0</v>
      </c>
      <c r="P208" s="1768">
        <v>0</v>
      </c>
      <c r="Q208" s="1768">
        <v>0</v>
      </c>
      <c r="R208" s="1768">
        <v>0</v>
      </c>
      <c r="S208" s="1768">
        <v>0</v>
      </c>
      <c r="T208" s="1768">
        <v>0</v>
      </c>
      <c r="U208" s="1768">
        <v>0</v>
      </c>
      <c r="V208" s="1768">
        <v>0</v>
      </c>
      <c r="W208" s="1768">
        <v>0</v>
      </c>
      <c r="X208" s="1768">
        <v>0</v>
      </c>
      <c r="Y208" s="1768">
        <v>0</v>
      </c>
      <c r="Z208" s="1768">
        <v>0</v>
      </c>
      <c r="AA208" s="1768">
        <v>0</v>
      </c>
      <c r="AB208" s="1768">
        <v>0</v>
      </c>
      <c r="AC208" s="1768">
        <v>0</v>
      </c>
      <c r="AD208" s="1768">
        <v>0</v>
      </c>
      <c r="AE208" s="1768">
        <v>0</v>
      </c>
      <c r="AF208" s="1768">
        <v>0</v>
      </c>
      <c r="AG208" s="1768">
        <v>0</v>
      </c>
      <c r="AH208" s="1768">
        <v>0</v>
      </c>
      <c r="AI208" s="1768">
        <v>0</v>
      </c>
      <c r="AJ208" s="1768">
        <v>0</v>
      </c>
      <c r="AK208" s="1768">
        <v>0</v>
      </c>
      <c r="AL208" s="1768">
        <v>0</v>
      </c>
      <c r="AM208" s="1768">
        <v>0</v>
      </c>
      <c r="AN208" s="1768">
        <v>0</v>
      </c>
      <c r="AO208" s="1768">
        <v>0</v>
      </c>
      <c r="AP208" s="1768">
        <v>0</v>
      </c>
      <c r="AQ208" s="1768">
        <v>0</v>
      </c>
      <c r="AR208" s="1768">
        <v>0</v>
      </c>
      <c r="AS208" s="1768">
        <v>0</v>
      </c>
      <c r="AT208" s="1768">
        <v>0</v>
      </c>
      <c r="AU208" s="1768">
        <v>0</v>
      </c>
      <c r="AV208" s="1768">
        <v>0</v>
      </c>
      <c r="AW208" s="1768">
        <v>0</v>
      </c>
      <c r="AX208" s="1768">
        <v>0</v>
      </c>
      <c r="AY208" s="1768">
        <v>0</v>
      </c>
      <c r="AZ208" s="1768">
        <v>0</v>
      </c>
      <c r="BA208" s="1768">
        <v>0</v>
      </c>
      <c r="BB208" s="1768">
        <v>0</v>
      </c>
      <c r="BC208" s="1768">
        <v>0</v>
      </c>
      <c r="BD208" s="1768">
        <v>0</v>
      </c>
      <c r="BE208" s="1768">
        <v>0</v>
      </c>
      <c r="BF208" s="1768">
        <v>0</v>
      </c>
      <c r="BG208" s="1768">
        <v>0</v>
      </c>
      <c r="BH208" s="1768">
        <v>0</v>
      </c>
      <c r="BI208" s="1768">
        <v>0</v>
      </c>
      <c r="BJ208" s="1768">
        <v>0</v>
      </c>
      <c r="BK208" s="1768">
        <v>0</v>
      </c>
      <c r="BL208" s="1768">
        <v>0</v>
      </c>
      <c r="BM208" s="1768">
        <v>0</v>
      </c>
      <c r="BN208" s="1768">
        <v>0</v>
      </c>
      <c r="BO208" s="1768">
        <v>0</v>
      </c>
      <c r="BP208" s="1768">
        <v>0</v>
      </c>
      <c r="BQ208" s="1768">
        <v>0</v>
      </c>
      <c r="BR208" s="1768">
        <v>0</v>
      </c>
      <c r="BS208" s="1768">
        <v>0</v>
      </c>
      <c r="BT208" s="1768">
        <v>0</v>
      </c>
      <c r="BU208" s="1768">
        <v>0</v>
      </c>
      <c r="BV208" s="1768">
        <v>0</v>
      </c>
      <c r="BW208" s="1768">
        <v>0</v>
      </c>
      <c r="BX208" s="1768">
        <v>0</v>
      </c>
      <c r="BY208" s="1768">
        <v>0</v>
      </c>
      <c r="BZ208" s="1768">
        <v>0</v>
      </c>
      <c r="CA208" s="1768">
        <v>0</v>
      </c>
      <c r="CB208" s="1768">
        <v>0</v>
      </c>
      <c r="CC208" s="1768">
        <v>0</v>
      </c>
      <c r="CD208" s="1768">
        <v>0</v>
      </c>
      <c r="CE208" s="1768">
        <v>0</v>
      </c>
      <c r="CF208" s="1768">
        <v>0</v>
      </c>
      <c r="CG208" s="1768">
        <v>0</v>
      </c>
      <c r="CH208" s="1768">
        <v>0</v>
      </c>
      <c r="CI208" s="1768">
        <v>0</v>
      </c>
      <c r="CJ208" s="1768">
        <v>0</v>
      </c>
      <c r="CK208" s="1768">
        <v>0</v>
      </c>
      <c r="CL208" s="1768">
        <v>0</v>
      </c>
      <c r="CM208" s="1768">
        <v>0</v>
      </c>
      <c r="CN208" s="1768">
        <v>0</v>
      </c>
      <c r="CO208" s="1768">
        <v>0</v>
      </c>
      <c r="CP208" s="1768">
        <v>0</v>
      </c>
    </row>
    <row r="209" spans="1:94" ht="33.75" customHeight="1" thickBot="1" x14ac:dyDescent="0.25">
      <c r="A209" s="1357" t="s">
        <v>1316</v>
      </c>
      <c r="B209" s="1363" t="s">
        <v>444</v>
      </c>
      <c r="C209" s="1785" t="s">
        <v>2055</v>
      </c>
      <c r="D209" s="967"/>
      <c r="E209" s="1366" t="s">
        <v>1826</v>
      </c>
      <c r="F209" s="1225"/>
      <c r="G209" s="1767">
        <v>0</v>
      </c>
      <c r="H209" s="1767">
        <v>0</v>
      </c>
      <c r="I209" s="1767">
        <v>0</v>
      </c>
      <c r="J209" s="1767">
        <v>0</v>
      </c>
      <c r="K209" s="1767">
        <v>0</v>
      </c>
      <c r="L209" s="1767">
        <v>0</v>
      </c>
      <c r="M209" s="1767">
        <v>0</v>
      </c>
      <c r="N209" s="1767">
        <v>0</v>
      </c>
      <c r="O209" s="1767">
        <v>0</v>
      </c>
      <c r="P209" s="1767">
        <v>0</v>
      </c>
      <c r="Q209" s="1767">
        <v>0</v>
      </c>
      <c r="R209" s="1767">
        <v>0</v>
      </c>
      <c r="S209" s="1767">
        <v>0</v>
      </c>
      <c r="T209" s="1767">
        <v>0</v>
      </c>
      <c r="U209" s="1767">
        <v>0</v>
      </c>
      <c r="V209" s="1767">
        <v>0</v>
      </c>
      <c r="W209" s="1767">
        <v>0</v>
      </c>
      <c r="X209" s="1767">
        <v>0</v>
      </c>
      <c r="Y209" s="1767">
        <v>0</v>
      </c>
      <c r="Z209" s="1767">
        <v>0</v>
      </c>
      <c r="AA209" s="1767">
        <v>0</v>
      </c>
      <c r="AB209" s="1767">
        <v>0</v>
      </c>
      <c r="AC209" s="1767">
        <v>0</v>
      </c>
      <c r="AD209" s="1767">
        <v>0</v>
      </c>
      <c r="AE209" s="1767">
        <v>0</v>
      </c>
      <c r="AF209" s="1767">
        <v>0</v>
      </c>
      <c r="AG209" s="1767">
        <v>0</v>
      </c>
      <c r="AH209" s="1767">
        <v>0</v>
      </c>
      <c r="AI209" s="1767">
        <v>0</v>
      </c>
      <c r="AJ209" s="1767">
        <v>0</v>
      </c>
      <c r="AK209" s="1767">
        <v>0</v>
      </c>
      <c r="AL209" s="1767">
        <v>0</v>
      </c>
      <c r="AM209" s="1767">
        <v>0</v>
      </c>
      <c r="AN209" s="1767">
        <v>0</v>
      </c>
      <c r="AO209" s="1767">
        <v>0</v>
      </c>
      <c r="AP209" s="1767">
        <v>0</v>
      </c>
      <c r="AQ209" s="1767">
        <v>0</v>
      </c>
      <c r="AR209" s="1767">
        <v>0</v>
      </c>
      <c r="AS209" s="1767">
        <v>0</v>
      </c>
      <c r="AT209" s="1767">
        <v>0</v>
      </c>
      <c r="AU209" s="1767">
        <v>0</v>
      </c>
      <c r="AV209" s="1767">
        <v>0</v>
      </c>
      <c r="AW209" s="1767">
        <v>0</v>
      </c>
      <c r="AX209" s="1767">
        <v>0</v>
      </c>
      <c r="AY209" s="1767">
        <v>0</v>
      </c>
      <c r="AZ209" s="1767">
        <v>0</v>
      </c>
      <c r="BA209" s="1767">
        <v>0</v>
      </c>
      <c r="BB209" s="1767">
        <v>0</v>
      </c>
      <c r="BC209" s="1767">
        <v>0</v>
      </c>
      <c r="BD209" s="1767">
        <v>0</v>
      </c>
      <c r="BE209" s="1767">
        <v>0</v>
      </c>
      <c r="BF209" s="1767">
        <v>0</v>
      </c>
      <c r="BG209" s="1767">
        <v>0</v>
      </c>
      <c r="BH209" s="1767">
        <v>0</v>
      </c>
      <c r="BI209" s="1767">
        <v>0</v>
      </c>
      <c r="BJ209" s="1767">
        <v>0</v>
      </c>
      <c r="BK209" s="1767">
        <v>0</v>
      </c>
      <c r="BL209" s="1767">
        <v>0</v>
      </c>
      <c r="BM209" s="1767">
        <v>0</v>
      </c>
      <c r="BN209" s="1767">
        <v>0</v>
      </c>
      <c r="BO209" s="1767">
        <v>0</v>
      </c>
      <c r="BP209" s="1767">
        <v>0</v>
      </c>
      <c r="BQ209" s="1767">
        <v>0</v>
      </c>
      <c r="BR209" s="1767">
        <v>0</v>
      </c>
      <c r="BS209" s="1767">
        <v>0</v>
      </c>
      <c r="BT209" s="1767">
        <v>0</v>
      </c>
      <c r="BU209" s="1767">
        <v>0</v>
      </c>
      <c r="BV209" s="1767">
        <v>0</v>
      </c>
      <c r="BW209" s="1767">
        <v>0</v>
      </c>
      <c r="BX209" s="1767">
        <v>0</v>
      </c>
      <c r="BY209" s="1767">
        <v>0</v>
      </c>
      <c r="BZ209" s="1767">
        <v>0</v>
      </c>
      <c r="CA209" s="1767">
        <v>0</v>
      </c>
      <c r="CB209" s="1767">
        <v>0</v>
      </c>
      <c r="CC209" s="1767">
        <v>0</v>
      </c>
      <c r="CD209" s="1767">
        <v>0</v>
      </c>
      <c r="CE209" s="1767">
        <v>0</v>
      </c>
      <c r="CF209" s="1767">
        <v>0</v>
      </c>
      <c r="CG209" s="1767">
        <v>0</v>
      </c>
      <c r="CH209" s="1767">
        <v>0</v>
      </c>
      <c r="CI209" s="1767">
        <v>0</v>
      </c>
      <c r="CJ209" s="1767">
        <v>0</v>
      </c>
      <c r="CK209" s="1767">
        <v>0</v>
      </c>
      <c r="CL209" s="1767">
        <v>0</v>
      </c>
      <c r="CM209" s="1767">
        <v>0</v>
      </c>
      <c r="CN209" s="1767">
        <v>0</v>
      </c>
      <c r="CO209" s="1767">
        <v>0</v>
      </c>
      <c r="CP209" s="1767">
        <v>0</v>
      </c>
    </row>
    <row r="210" spans="1:94" ht="33" customHeight="1" thickBot="1" x14ac:dyDescent="0.25">
      <c r="A210" s="651" t="s">
        <v>23</v>
      </c>
      <c r="B210" s="718" t="s">
        <v>446</v>
      </c>
      <c r="C210" s="1777" t="s">
        <v>2054</v>
      </c>
      <c r="D210" s="967"/>
      <c r="E210" s="829" t="s">
        <v>1827</v>
      </c>
      <c r="F210" s="1225"/>
      <c r="G210" s="1767">
        <v>0</v>
      </c>
      <c r="H210" s="1767">
        <v>0</v>
      </c>
      <c r="I210" s="1767">
        <v>0</v>
      </c>
      <c r="J210" s="1767">
        <v>0</v>
      </c>
      <c r="K210" s="1767">
        <v>0</v>
      </c>
      <c r="L210" s="1767">
        <v>0</v>
      </c>
      <c r="M210" s="1767">
        <v>0</v>
      </c>
      <c r="N210" s="1767">
        <v>0</v>
      </c>
      <c r="O210" s="1767">
        <v>0</v>
      </c>
      <c r="P210" s="1767">
        <v>0</v>
      </c>
      <c r="Q210" s="1767">
        <v>0</v>
      </c>
      <c r="R210" s="1767">
        <v>0</v>
      </c>
      <c r="S210" s="1767">
        <v>0</v>
      </c>
      <c r="T210" s="1767">
        <v>0</v>
      </c>
      <c r="U210" s="1767">
        <v>0</v>
      </c>
      <c r="V210" s="1767">
        <v>0</v>
      </c>
      <c r="W210" s="1767">
        <v>0</v>
      </c>
      <c r="X210" s="1767">
        <v>0</v>
      </c>
      <c r="Y210" s="1767">
        <v>0</v>
      </c>
      <c r="Z210" s="1767">
        <v>0</v>
      </c>
      <c r="AA210" s="1767">
        <v>0</v>
      </c>
      <c r="AB210" s="1767">
        <v>0</v>
      </c>
      <c r="AC210" s="1767">
        <v>0</v>
      </c>
      <c r="AD210" s="1767">
        <v>0</v>
      </c>
      <c r="AE210" s="1767">
        <v>0</v>
      </c>
      <c r="AF210" s="1767">
        <v>0</v>
      </c>
      <c r="AG210" s="1767">
        <v>0</v>
      </c>
      <c r="AH210" s="1767">
        <v>0</v>
      </c>
      <c r="AI210" s="1767">
        <v>0</v>
      </c>
      <c r="AJ210" s="1767">
        <v>0</v>
      </c>
      <c r="AK210" s="1767">
        <v>0</v>
      </c>
      <c r="AL210" s="1767">
        <v>0</v>
      </c>
      <c r="AM210" s="1767">
        <v>0</v>
      </c>
      <c r="AN210" s="1767">
        <v>0</v>
      </c>
      <c r="AO210" s="1767">
        <v>0</v>
      </c>
      <c r="AP210" s="1767">
        <v>0</v>
      </c>
      <c r="AQ210" s="1767">
        <v>0</v>
      </c>
      <c r="AR210" s="1767">
        <v>0</v>
      </c>
      <c r="AS210" s="1767">
        <v>0</v>
      </c>
      <c r="AT210" s="1767">
        <v>0</v>
      </c>
      <c r="AU210" s="1767">
        <v>0</v>
      </c>
      <c r="AV210" s="1767">
        <v>0</v>
      </c>
      <c r="AW210" s="1767">
        <v>0</v>
      </c>
      <c r="AX210" s="1767">
        <v>0</v>
      </c>
      <c r="AY210" s="1767">
        <v>0</v>
      </c>
      <c r="AZ210" s="1767">
        <v>0</v>
      </c>
      <c r="BA210" s="1767">
        <v>0</v>
      </c>
      <c r="BB210" s="1767">
        <v>0</v>
      </c>
      <c r="BC210" s="1767">
        <v>0</v>
      </c>
      <c r="BD210" s="1767">
        <v>0</v>
      </c>
      <c r="BE210" s="1767">
        <v>0</v>
      </c>
      <c r="BF210" s="1767">
        <v>0</v>
      </c>
      <c r="BG210" s="1767">
        <v>0</v>
      </c>
      <c r="BH210" s="1767">
        <v>0</v>
      </c>
      <c r="BI210" s="1767">
        <v>0</v>
      </c>
      <c r="BJ210" s="1767">
        <v>0</v>
      </c>
      <c r="BK210" s="1767">
        <v>0</v>
      </c>
      <c r="BL210" s="1767">
        <v>0</v>
      </c>
      <c r="BM210" s="1767">
        <v>0</v>
      </c>
      <c r="BN210" s="1767">
        <v>0</v>
      </c>
      <c r="BO210" s="1767">
        <v>0</v>
      </c>
      <c r="BP210" s="1767">
        <v>0</v>
      </c>
      <c r="BQ210" s="1767">
        <v>0</v>
      </c>
      <c r="BR210" s="1767">
        <v>0</v>
      </c>
      <c r="BS210" s="1767">
        <v>0</v>
      </c>
      <c r="BT210" s="1767">
        <v>0</v>
      </c>
      <c r="BU210" s="1767">
        <v>0</v>
      </c>
      <c r="BV210" s="1767">
        <v>0</v>
      </c>
      <c r="BW210" s="1767">
        <v>0</v>
      </c>
      <c r="BX210" s="1767">
        <v>0</v>
      </c>
      <c r="BY210" s="1767">
        <v>0</v>
      </c>
      <c r="BZ210" s="1767">
        <v>0</v>
      </c>
      <c r="CA210" s="1767">
        <v>0</v>
      </c>
      <c r="CB210" s="1767">
        <v>0</v>
      </c>
      <c r="CC210" s="1767">
        <v>0</v>
      </c>
      <c r="CD210" s="1767">
        <v>0</v>
      </c>
      <c r="CE210" s="1767">
        <v>0</v>
      </c>
      <c r="CF210" s="1767">
        <v>0</v>
      </c>
      <c r="CG210" s="1767">
        <v>0</v>
      </c>
      <c r="CH210" s="1767">
        <v>0</v>
      </c>
      <c r="CI210" s="1767">
        <v>0</v>
      </c>
      <c r="CJ210" s="1767">
        <v>0</v>
      </c>
      <c r="CK210" s="1767">
        <v>0</v>
      </c>
      <c r="CL210" s="1767">
        <v>0</v>
      </c>
      <c r="CM210" s="1767">
        <v>0</v>
      </c>
      <c r="CN210" s="1767">
        <v>0</v>
      </c>
      <c r="CO210" s="1767">
        <v>0</v>
      </c>
      <c r="CP210" s="1767">
        <v>0</v>
      </c>
    </row>
    <row r="211" spans="1:94" ht="21" customHeight="1" thickBot="1" x14ac:dyDescent="0.25">
      <c r="A211" s="1846" t="s">
        <v>24</v>
      </c>
      <c r="B211" s="1846" t="s">
        <v>1329</v>
      </c>
      <c r="C211" s="1777" t="s">
        <v>1709</v>
      </c>
      <c r="D211" s="947"/>
      <c r="E211" s="1830" t="s">
        <v>2450</v>
      </c>
      <c r="F211" s="1225"/>
      <c r="G211" s="1742"/>
      <c r="H211" s="1742"/>
      <c r="I211" s="1742"/>
      <c r="J211" s="1742"/>
      <c r="K211" s="1742"/>
      <c r="L211" s="1742"/>
      <c r="M211" s="1742"/>
      <c r="N211" s="1742"/>
      <c r="O211" s="1742"/>
      <c r="P211" s="1742"/>
      <c r="Q211" s="1742"/>
      <c r="R211" s="1742"/>
      <c r="S211" s="1742"/>
      <c r="T211" s="1742"/>
      <c r="U211" s="1742"/>
      <c r="V211" s="1742"/>
      <c r="W211" s="1742"/>
      <c r="X211" s="1742"/>
      <c r="Y211" s="1742"/>
      <c r="Z211" s="1742"/>
      <c r="AA211" s="1742"/>
      <c r="AB211" s="1742"/>
      <c r="AC211" s="1742"/>
      <c r="AD211" s="1742"/>
      <c r="AE211" s="1742"/>
      <c r="AF211" s="1742"/>
      <c r="AG211" s="1742"/>
      <c r="AH211" s="1742"/>
      <c r="AI211" s="1742"/>
      <c r="AJ211" s="1742"/>
      <c r="AK211" s="1742"/>
      <c r="AL211" s="1742"/>
      <c r="AM211" s="1742"/>
      <c r="AN211" s="1742"/>
      <c r="AO211" s="1742"/>
      <c r="AP211" s="1742"/>
      <c r="AQ211" s="1742"/>
      <c r="AR211" s="1742"/>
      <c r="AS211" s="1742"/>
      <c r="AT211" s="1742"/>
      <c r="AU211" s="1742"/>
      <c r="AV211" s="1742"/>
      <c r="AW211" s="1742"/>
      <c r="AX211" s="1742"/>
      <c r="AY211" s="1742"/>
      <c r="AZ211" s="1742"/>
      <c r="BA211" s="1742"/>
      <c r="BB211" s="1742"/>
      <c r="BC211" s="1742"/>
      <c r="BD211" s="1742"/>
      <c r="BE211" s="1742"/>
      <c r="BF211" s="1742"/>
      <c r="BG211" s="1742"/>
      <c r="BH211" s="1742"/>
      <c r="BI211" s="1742"/>
      <c r="BJ211" s="1742"/>
      <c r="BK211" s="1742"/>
      <c r="BL211" s="1742"/>
      <c r="BM211" s="1742"/>
      <c r="BN211" s="1742"/>
      <c r="BO211" s="1742"/>
      <c r="BP211" s="1742"/>
      <c r="BQ211" s="1742"/>
      <c r="BR211" s="1742"/>
      <c r="BS211" s="1742"/>
      <c r="BT211" s="1742"/>
      <c r="BU211" s="1742"/>
      <c r="BV211" s="1742"/>
      <c r="BW211" s="1742"/>
      <c r="BX211" s="1742"/>
      <c r="BY211" s="1742"/>
      <c r="BZ211" s="1742"/>
      <c r="CA211" s="1742"/>
      <c r="CB211" s="1742"/>
      <c r="CC211" s="1742"/>
      <c r="CD211" s="1742"/>
      <c r="CE211" s="1742"/>
      <c r="CF211" s="1742"/>
      <c r="CG211" s="1742"/>
      <c r="CH211" s="1742"/>
      <c r="CI211" s="1742"/>
      <c r="CJ211" s="1742"/>
      <c r="CK211" s="1742"/>
      <c r="CL211" s="1742"/>
      <c r="CM211" s="1742"/>
      <c r="CN211" s="1742"/>
      <c r="CO211" s="1742"/>
      <c r="CP211" s="1742"/>
    </row>
    <row r="212" spans="1:94" ht="15" customHeight="1" x14ac:dyDescent="0.2">
      <c r="A212" s="1847"/>
      <c r="B212" s="1856"/>
      <c r="C212" s="652" t="s">
        <v>2439</v>
      </c>
      <c r="D212" s="936"/>
      <c r="E212" s="1831"/>
      <c r="F212" s="1225"/>
      <c r="G212" s="1767">
        <v>0</v>
      </c>
      <c r="H212" s="1767">
        <v>0</v>
      </c>
      <c r="I212" s="1767">
        <v>0</v>
      </c>
      <c r="J212" s="1767">
        <v>0</v>
      </c>
      <c r="K212" s="1767">
        <v>0</v>
      </c>
      <c r="L212" s="1767">
        <v>0</v>
      </c>
      <c r="M212" s="1767">
        <v>0</v>
      </c>
      <c r="N212" s="1767">
        <v>0</v>
      </c>
      <c r="O212" s="1767">
        <v>0</v>
      </c>
      <c r="P212" s="1767">
        <v>0</v>
      </c>
      <c r="Q212" s="1767">
        <v>0</v>
      </c>
      <c r="R212" s="1767">
        <v>0</v>
      </c>
      <c r="S212" s="1767">
        <v>0</v>
      </c>
      <c r="T212" s="1767">
        <v>0</v>
      </c>
      <c r="U212" s="1767">
        <v>0</v>
      </c>
      <c r="V212" s="1767">
        <v>0</v>
      </c>
      <c r="W212" s="1767">
        <v>0</v>
      </c>
      <c r="X212" s="1767">
        <v>0</v>
      </c>
      <c r="Y212" s="1767">
        <v>0</v>
      </c>
      <c r="Z212" s="1767">
        <v>0</v>
      </c>
      <c r="AA212" s="1767">
        <v>0</v>
      </c>
      <c r="AB212" s="1767">
        <v>0</v>
      </c>
      <c r="AC212" s="1767">
        <v>0</v>
      </c>
      <c r="AD212" s="1767">
        <v>0</v>
      </c>
      <c r="AE212" s="1767">
        <v>0</v>
      </c>
      <c r="AF212" s="1767">
        <v>0</v>
      </c>
      <c r="AG212" s="1767">
        <v>0</v>
      </c>
      <c r="AH212" s="1767">
        <v>0</v>
      </c>
      <c r="AI212" s="1767">
        <v>0</v>
      </c>
      <c r="AJ212" s="1767">
        <v>0</v>
      </c>
      <c r="AK212" s="1767">
        <v>0</v>
      </c>
      <c r="AL212" s="1767">
        <v>0</v>
      </c>
      <c r="AM212" s="1767">
        <v>0</v>
      </c>
      <c r="AN212" s="1767">
        <v>0</v>
      </c>
      <c r="AO212" s="1767">
        <v>0</v>
      </c>
      <c r="AP212" s="1767">
        <v>0</v>
      </c>
      <c r="AQ212" s="1767">
        <v>0</v>
      </c>
      <c r="AR212" s="1767">
        <v>0</v>
      </c>
      <c r="AS212" s="1767">
        <v>0</v>
      </c>
      <c r="AT212" s="1767">
        <v>0</v>
      </c>
      <c r="AU212" s="1767">
        <v>0</v>
      </c>
      <c r="AV212" s="1767">
        <v>0</v>
      </c>
      <c r="AW212" s="1767">
        <v>0</v>
      </c>
      <c r="AX212" s="1767">
        <v>0</v>
      </c>
      <c r="AY212" s="1767">
        <v>0</v>
      </c>
      <c r="AZ212" s="1767">
        <v>0</v>
      </c>
      <c r="BA212" s="1767">
        <v>0</v>
      </c>
      <c r="BB212" s="1767">
        <v>0</v>
      </c>
      <c r="BC212" s="1767">
        <v>0</v>
      </c>
      <c r="BD212" s="1767">
        <v>0</v>
      </c>
      <c r="BE212" s="1767">
        <v>0</v>
      </c>
      <c r="BF212" s="1767">
        <v>0</v>
      </c>
      <c r="BG212" s="1767">
        <v>0</v>
      </c>
      <c r="BH212" s="1767">
        <v>0</v>
      </c>
      <c r="BI212" s="1767">
        <v>0</v>
      </c>
      <c r="BJ212" s="1767">
        <v>0</v>
      </c>
      <c r="BK212" s="1767">
        <v>0</v>
      </c>
      <c r="BL212" s="1767">
        <v>0</v>
      </c>
      <c r="BM212" s="1767">
        <v>0</v>
      </c>
      <c r="BN212" s="1767">
        <v>0</v>
      </c>
      <c r="BO212" s="1767">
        <v>0</v>
      </c>
      <c r="BP212" s="1767">
        <v>0</v>
      </c>
      <c r="BQ212" s="1767">
        <v>0</v>
      </c>
      <c r="BR212" s="1767">
        <v>0</v>
      </c>
      <c r="BS212" s="1767">
        <v>0</v>
      </c>
      <c r="BT212" s="1767">
        <v>0</v>
      </c>
      <c r="BU212" s="1767">
        <v>0</v>
      </c>
      <c r="BV212" s="1767">
        <v>0</v>
      </c>
      <c r="BW212" s="1767">
        <v>0</v>
      </c>
      <c r="BX212" s="1767">
        <v>0</v>
      </c>
      <c r="BY212" s="1767">
        <v>0</v>
      </c>
      <c r="BZ212" s="1767">
        <v>0</v>
      </c>
      <c r="CA212" s="1767">
        <v>0</v>
      </c>
      <c r="CB212" s="1767">
        <v>0</v>
      </c>
      <c r="CC212" s="1767">
        <v>0</v>
      </c>
      <c r="CD212" s="1767">
        <v>0</v>
      </c>
      <c r="CE212" s="1767">
        <v>0</v>
      </c>
      <c r="CF212" s="1767">
        <v>0</v>
      </c>
      <c r="CG212" s="1767">
        <v>0</v>
      </c>
      <c r="CH212" s="1767">
        <v>0</v>
      </c>
      <c r="CI212" s="1767">
        <v>0</v>
      </c>
      <c r="CJ212" s="1767">
        <v>0</v>
      </c>
      <c r="CK212" s="1767">
        <v>0</v>
      </c>
      <c r="CL212" s="1767">
        <v>0</v>
      </c>
      <c r="CM212" s="1767">
        <v>0</v>
      </c>
      <c r="CN212" s="1767">
        <v>0</v>
      </c>
      <c r="CO212" s="1767">
        <v>0</v>
      </c>
      <c r="CP212" s="1767">
        <v>0</v>
      </c>
    </row>
    <row r="213" spans="1:94" ht="15" customHeight="1" x14ac:dyDescent="0.2">
      <c r="A213" s="1847"/>
      <c r="B213" s="1856"/>
      <c r="C213" s="652" t="s">
        <v>2125</v>
      </c>
      <c r="D213" s="936"/>
      <c r="E213" s="1831"/>
      <c r="F213" s="1225"/>
      <c r="G213" s="1767">
        <v>0</v>
      </c>
      <c r="H213" s="1767">
        <v>0</v>
      </c>
      <c r="I213" s="1767">
        <v>0</v>
      </c>
      <c r="J213" s="1767">
        <v>0</v>
      </c>
      <c r="K213" s="1767">
        <v>0</v>
      </c>
      <c r="L213" s="1767">
        <v>0</v>
      </c>
      <c r="M213" s="1767">
        <v>0</v>
      </c>
      <c r="N213" s="1767">
        <v>0</v>
      </c>
      <c r="O213" s="1767">
        <v>0</v>
      </c>
      <c r="P213" s="1767">
        <v>0</v>
      </c>
      <c r="Q213" s="1767">
        <v>0</v>
      </c>
      <c r="R213" s="1767">
        <v>0</v>
      </c>
      <c r="S213" s="1767">
        <v>0</v>
      </c>
      <c r="T213" s="1767">
        <v>0</v>
      </c>
      <c r="U213" s="1767">
        <v>0</v>
      </c>
      <c r="V213" s="1767">
        <v>0</v>
      </c>
      <c r="W213" s="1767">
        <v>0</v>
      </c>
      <c r="X213" s="1767">
        <v>0</v>
      </c>
      <c r="Y213" s="1767">
        <v>0</v>
      </c>
      <c r="Z213" s="1767">
        <v>0</v>
      </c>
      <c r="AA213" s="1767">
        <v>0</v>
      </c>
      <c r="AB213" s="1767">
        <v>0</v>
      </c>
      <c r="AC213" s="1767">
        <v>0</v>
      </c>
      <c r="AD213" s="1767">
        <v>0</v>
      </c>
      <c r="AE213" s="1767">
        <v>0</v>
      </c>
      <c r="AF213" s="1767">
        <v>0</v>
      </c>
      <c r="AG213" s="1767">
        <v>0</v>
      </c>
      <c r="AH213" s="1767">
        <v>0</v>
      </c>
      <c r="AI213" s="1767">
        <v>0</v>
      </c>
      <c r="AJ213" s="1767">
        <v>0</v>
      </c>
      <c r="AK213" s="1767">
        <v>0</v>
      </c>
      <c r="AL213" s="1767">
        <v>0</v>
      </c>
      <c r="AM213" s="1767">
        <v>0</v>
      </c>
      <c r="AN213" s="1767">
        <v>0</v>
      </c>
      <c r="AO213" s="1767">
        <v>0</v>
      </c>
      <c r="AP213" s="1767">
        <v>0</v>
      </c>
      <c r="AQ213" s="1767">
        <v>0</v>
      </c>
      <c r="AR213" s="1767">
        <v>0</v>
      </c>
      <c r="AS213" s="1767">
        <v>0</v>
      </c>
      <c r="AT213" s="1767">
        <v>0</v>
      </c>
      <c r="AU213" s="1767">
        <v>0</v>
      </c>
      <c r="AV213" s="1767">
        <v>0</v>
      </c>
      <c r="AW213" s="1767">
        <v>0</v>
      </c>
      <c r="AX213" s="1767">
        <v>0</v>
      </c>
      <c r="AY213" s="1767">
        <v>0</v>
      </c>
      <c r="AZ213" s="1767">
        <v>0</v>
      </c>
      <c r="BA213" s="1767">
        <v>0</v>
      </c>
      <c r="BB213" s="1767">
        <v>0</v>
      </c>
      <c r="BC213" s="1767">
        <v>0</v>
      </c>
      <c r="BD213" s="1767">
        <v>0</v>
      </c>
      <c r="BE213" s="1767">
        <v>0</v>
      </c>
      <c r="BF213" s="1767">
        <v>0</v>
      </c>
      <c r="BG213" s="1767">
        <v>0</v>
      </c>
      <c r="BH213" s="1767">
        <v>0</v>
      </c>
      <c r="BI213" s="1767">
        <v>0</v>
      </c>
      <c r="BJ213" s="1767">
        <v>0</v>
      </c>
      <c r="BK213" s="1767">
        <v>0</v>
      </c>
      <c r="BL213" s="1767">
        <v>0</v>
      </c>
      <c r="BM213" s="1767">
        <v>0</v>
      </c>
      <c r="BN213" s="1767">
        <v>0</v>
      </c>
      <c r="BO213" s="1767">
        <v>0</v>
      </c>
      <c r="BP213" s="1767">
        <v>0</v>
      </c>
      <c r="BQ213" s="1767">
        <v>0</v>
      </c>
      <c r="BR213" s="1767">
        <v>0</v>
      </c>
      <c r="BS213" s="1767">
        <v>0</v>
      </c>
      <c r="BT213" s="1767">
        <v>0</v>
      </c>
      <c r="BU213" s="1767">
        <v>0</v>
      </c>
      <c r="BV213" s="1767">
        <v>0</v>
      </c>
      <c r="BW213" s="1767">
        <v>0</v>
      </c>
      <c r="BX213" s="1767">
        <v>0</v>
      </c>
      <c r="BY213" s="1767">
        <v>0</v>
      </c>
      <c r="BZ213" s="1767">
        <v>0</v>
      </c>
      <c r="CA213" s="1767">
        <v>0</v>
      </c>
      <c r="CB213" s="1767">
        <v>0</v>
      </c>
      <c r="CC213" s="1767">
        <v>0</v>
      </c>
      <c r="CD213" s="1767">
        <v>0</v>
      </c>
      <c r="CE213" s="1767">
        <v>0</v>
      </c>
      <c r="CF213" s="1767">
        <v>0</v>
      </c>
      <c r="CG213" s="1767">
        <v>0</v>
      </c>
      <c r="CH213" s="1767">
        <v>0</v>
      </c>
      <c r="CI213" s="1767">
        <v>0</v>
      </c>
      <c r="CJ213" s="1767">
        <v>0</v>
      </c>
      <c r="CK213" s="1767">
        <v>0</v>
      </c>
      <c r="CL213" s="1767">
        <v>0</v>
      </c>
      <c r="CM213" s="1767">
        <v>0</v>
      </c>
      <c r="CN213" s="1767">
        <v>0</v>
      </c>
      <c r="CO213" s="1767">
        <v>0</v>
      </c>
      <c r="CP213" s="1767">
        <v>0</v>
      </c>
    </row>
    <row r="214" spans="1:94" ht="15" customHeight="1" x14ac:dyDescent="0.2">
      <c r="A214" s="1847"/>
      <c r="B214" s="1856"/>
      <c r="C214" s="969" t="s">
        <v>2044</v>
      </c>
      <c r="D214" s="964"/>
      <c r="E214" s="1831"/>
      <c r="F214" s="1225"/>
      <c r="G214" s="1767">
        <v>0</v>
      </c>
      <c r="H214" s="1767">
        <v>0</v>
      </c>
      <c r="I214" s="1767">
        <v>0</v>
      </c>
      <c r="J214" s="1767">
        <v>0</v>
      </c>
      <c r="K214" s="1767">
        <v>0</v>
      </c>
      <c r="L214" s="1767">
        <v>0</v>
      </c>
      <c r="M214" s="1767">
        <v>0</v>
      </c>
      <c r="N214" s="1767">
        <v>0</v>
      </c>
      <c r="O214" s="1767">
        <v>0</v>
      </c>
      <c r="P214" s="1767">
        <v>0</v>
      </c>
      <c r="Q214" s="1767">
        <v>0</v>
      </c>
      <c r="R214" s="1767">
        <v>0</v>
      </c>
      <c r="S214" s="1767">
        <v>0</v>
      </c>
      <c r="T214" s="1767">
        <v>0</v>
      </c>
      <c r="U214" s="1767">
        <v>0</v>
      </c>
      <c r="V214" s="1767">
        <v>0</v>
      </c>
      <c r="W214" s="1767">
        <v>0</v>
      </c>
      <c r="X214" s="1767">
        <v>0</v>
      </c>
      <c r="Y214" s="1767">
        <v>0</v>
      </c>
      <c r="Z214" s="1767">
        <v>0</v>
      </c>
      <c r="AA214" s="1767">
        <v>0</v>
      </c>
      <c r="AB214" s="1767">
        <v>0</v>
      </c>
      <c r="AC214" s="1767">
        <v>0</v>
      </c>
      <c r="AD214" s="1767">
        <v>0</v>
      </c>
      <c r="AE214" s="1767">
        <v>0</v>
      </c>
      <c r="AF214" s="1767">
        <v>0</v>
      </c>
      <c r="AG214" s="1767">
        <v>0</v>
      </c>
      <c r="AH214" s="1767">
        <v>0</v>
      </c>
      <c r="AI214" s="1767">
        <v>0</v>
      </c>
      <c r="AJ214" s="1767">
        <v>0</v>
      </c>
      <c r="AK214" s="1767">
        <v>0</v>
      </c>
      <c r="AL214" s="1767">
        <v>0</v>
      </c>
      <c r="AM214" s="1767">
        <v>0</v>
      </c>
      <c r="AN214" s="1767">
        <v>0</v>
      </c>
      <c r="AO214" s="1767">
        <v>0</v>
      </c>
      <c r="AP214" s="1767">
        <v>0</v>
      </c>
      <c r="AQ214" s="1767">
        <v>0</v>
      </c>
      <c r="AR214" s="1767">
        <v>0</v>
      </c>
      <c r="AS214" s="1767">
        <v>0</v>
      </c>
      <c r="AT214" s="1767">
        <v>0</v>
      </c>
      <c r="AU214" s="1767">
        <v>0</v>
      </c>
      <c r="AV214" s="1767">
        <v>0</v>
      </c>
      <c r="AW214" s="1767">
        <v>0</v>
      </c>
      <c r="AX214" s="1767">
        <v>0</v>
      </c>
      <c r="AY214" s="1767">
        <v>0</v>
      </c>
      <c r="AZ214" s="1767">
        <v>0</v>
      </c>
      <c r="BA214" s="1767">
        <v>0</v>
      </c>
      <c r="BB214" s="1767">
        <v>0</v>
      </c>
      <c r="BC214" s="1767">
        <v>0</v>
      </c>
      <c r="BD214" s="1767">
        <v>0</v>
      </c>
      <c r="BE214" s="1767">
        <v>0</v>
      </c>
      <c r="BF214" s="1767">
        <v>0</v>
      </c>
      <c r="BG214" s="1767">
        <v>0</v>
      </c>
      <c r="BH214" s="1767">
        <v>0</v>
      </c>
      <c r="BI214" s="1767">
        <v>0</v>
      </c>
      <c r="BJ214" s="1767">
        <v>0</v>
      </c>
      <c r="BK214" s="1767">
        <v>0</v>
      </c>
      <c r="BL214" s="1767">
        <v>0</v>
      </c>
      <c r="BM214" s="1767">
        <v>0</v>
      </c>
      <c r="BN214" s="1767">
        <v>0</v>
      </c>
      <c r="BO214" s="1767">
        <v>0</v>
      </c>
      <c r="BP214" s="1767">
        <v>0</v>
      </c>
      <c r="BQ214" s="1767">
        <v>0</v>
      </c>
      <c r="BR214" s="1767">
        <v>0</v>
      </c>
      <c r="BS214" s="1767">
        <v>0</v>
      </c>
      <c r="BT214" s="1767">
        <v>0</v>
      </c>
      <c r="BU214" s="1767">
        <v>0</v>
      </c>
      <c r="BV214" s="1767">
        <v>0</v>
      </c>
      <c r="BW214" s="1767">
        <v>0</v>
      </c>
      <c r="BX214" s="1767">
        <v>0</v>
      </c>
      <c r="BY214" s="1767">
        <v>0</v>
      </c>
      <c r="BZ214" s="1767">
        <v>0</v>
      </c>
      <c r="CA214" s="1767">
        <v>0</v>
      </c>
      <c r="CB214" s="1767">
        <v>0</v>
      </c>
      <c r="CC214" s="1767">
        <v>0</v>
      </c>
      <c r="CD214" s="1767">
        <v>0</v>
      </c>
      <c r="CE214" s="1767">
        <v>0</v>
      </c>
      <c r="CF214" s="1767">
        <v>0</v>
      </c>
      <c r="CG214" s="1767">
        <v>0</v>
      </c>
      <c r="CH214" s="1767">
        <v>0</v>
      </c>
      <c r="CI214" s="1767">
        <v>0</v>
      </c>
      <c r="CJ214" s="1767">
        <v>0</v>
      </c>
      <c r="CK214" s="1767">
        <v>0</v>
      </c>
      <c r="CL214" s="1767">
        <v>0</v>
      </c>
      <c r="CM214" s="1767">
        <v>0</v>
      </c>
      <c r="CN214" s="1767">
        <v>0</v>
      </c>
      <c r="CO214" s="1767">
        <v>0</v>
      </c>
      <c r="CP214" s="1767">
        <v>0</v>
      </c>
    </row>
    <row r="215" spans="1:94" ht="26.25" customHeight="1" thickBot="1" x14ac:dyDescent="0.25">
      <c r="A215" s="1848"/>
      <c r="B215" s="1857"/>
      <c r="C215" s="960" t="s">
        <v>1689</v>
      </c>
      <c r="D215" s="970"/>
      <c r="E215" s="1832"/>
      <c r="F215" s="1225"/>
      <c r="G215" s="1801"/>
      <c r="H215" s="1801"/>
      <c r="I215" s="1801"/>
      <c r="J215" s="1801"/>
      <c r="K215" s="1801"/>
      <c r="L215" s="1801"/>
      <c r="M215" s="1801"/>
      <c r="N215" s="1801"/>
      <c r="O215" s="1801"/>
      <c r="P215" s="1801"/>
      <c r="Q215" s="1801"/>
      <c r="R215" s="1801"/>
      <c r="S215" s="1801"/>
      <c r="T215" s="1801"/>
      <c r="U215" s="1801"/>
      <c r="V215" s="1801"/>
      <c r="W215" s="1801"/>
      <c r="X215" s="1801"/>
      <c r="Y215" s="1801"/>
      <c r="Z215" s="1801"/>
      <c r="AA215" s="1801"/>
      <c r="AB215" s="1801"/>
      <c r="AC215" s="1801"/>
      <c r="AD215" s="1801"/>
      <c r="AE215" s="1801"/>
      <c r="AF215" s="1801"/>
      <c r="AG215" s="1801"/>
      <c r="AH215" s="1801"/>
      <c r="AI215" s="1801"/>
      <c r="AJ215" s="1801"/>
      <c r="AK215" s="1801"/>
      <c r="AL215" s="1801"/>
      <c r="AM215" s="1801"/>
      <c r="AN215" s="1801"/>
      <c r="AO215" s="1801"/>
      <c r="AP215" s="1801"/>
      <c r="AQ215" s="1801"/>
      <c r="AR215" s="1801"/>
      <c r="AS215" s="1801"/>
      <c r="AT215" s="1801"/>
      <c r="AU215" s="1801"/>
      <c r="AV215" s="1801"/>
      <c r="AW215" s="1801"/>
      <c r="AX215" s="1801"/>
      <c r="AY215" s="1801"/>
      <c r="AZ215" s="1801"/>
      <c r="BA215" s="1801"/>
      <c r="BB215" s="1801"/>
      <c r="BC215" s="1801"/>
      <c r="BD215" s="1801"/>
      <c r="BE215" s="1801"/>
      <c r="BF215" s="1801"/>
      <c r="BG215" s="1801"/>
      <c r="BH215" s="1801"/>
      <c r="BI215" s="1801"/>
      <c r="BJ215" s="1801"/>
      <c r="BK215" s="1801"/>
      <c r="BL215" s="1801"/>
      <c r="BM215" s="1801"/>
      <c r="BN215" s="1801"/>
      <c r="BO215" s="1801"/>
      <c r="BP215" s="1801"/>
      <c r="BQ215" s="1801"/>
      <c r="BR215" s="1801"/>
      <c r="BS215" s="1801"/>
      <c r="BT215" s="1801"/>
      <c r="BU215" s="1801"/>
      <c r="BV215" s="1801"/>
      <c r="BW215" s="1801"/>
      <c r="BX215" s="1801"/>
      <c r="BY215" s="1801"/>
      <c r="BZ215" s="1801"/>
      <c r="CA215" s="1801"/>
      <c r="CB215" s="1801"/>
      <c r="CC215" s="1801"/>
      <c r="CD215" s="1801"/>
      <c r="CE215" s="1801"/>
      <c r="CF215" s="1801"/>
      <c r="CG215" s="1801"/>
      <c r="CH215" s="1801"/>
      <c r="CI215" s="1801"/>
      <c r="CJ215" s="1801"/>
      <c r="CK215" s="1801"/>
      <c r="CL215" s="1801"/>
      <c r="CM215" s="1801"/>
      <c r="CN215" s="1801"/>
      <c r="CO215" s="1801"/>
      <c r="CP215" s="1801"/>
    </row>
    <row r="216" spans="1:94" ht="21" customHeight="1" thickBot="1" x14ac:dyDescent="0.25">
      <c r="A216" s="1887" t="s">
        <v>66</v>
      </c>
      <c r="B216" s="1891" t="s">
        <v>1947</v>
      </c>
      <c r="C216" s="1779" t="s">
        <v>2322</v>
      </c>
      <c r="D216" s="945"/>
      <c r="E216" s="1859" t="s">
        <v>2451</v>
      </c>
      <c r="F216" s="1225"/>
      <c r="G216" s="1742"/>
      <c r="H216" s="1742"/>
      <c r="I216" s="1742"/>
      <c r="J216" s="1742"/>
      <c r="K216" s="1742"/>
      <c r="L216" s="1742"/>
      <c r="M216" s="1742"/>
      <c r="N216" s="1742"/>
      <c r="O216" s="1742"/>
      <c r="P216" s="1742"/>
      <c r="Q216" s="1742"/>
      <c r="R216" s="1742"/>
      <c r="S216" s="1742"/>
      <c r="T216" s="1742"/>
      <c r="U216" s="1742"/>
      <c r="V216" s="1742"/>
      <c r="W216" s="1742"/>
      <c r="X216" s="1742"/>
      <c r="Y216" s="1742"/>
      <c r="Z216" s="1742"/>
      <c r="AA216" s="1742"/>
      <c r="AB216" s="1742"/>
      <c r="AC216" s="1742"/>
      <c r="AD216" s="1742"/>
      <c r="AE216" s="1742"/>
      <c r="AF216" s="1742"/>
      <c r="AG216" s="1742"/>
      <c r="AH216" s="1742"/>
      <c r="AI216" s="1742"/>
      <c r="AJ216" s="1742"/>
      <c r="AK216" s="1742"/>
      <c r="AL216" s="1742"/>
      <c r="AM216" s="1742"/>
      <c r="AN216" s="1742"/>
      <c r="AO216" s="1742"/>
      <c r="AP216" s="1742"/>
      <c r="AQ216" s="1742"/>
      <c r="AR216" s="1742"/>
      <c r="AS216" s="1742"/>
      <c r="AT216" s="1742"/>
      <c r="AU216" s="1742"/>
      <c r="AV216" s="1742"/>
      <c r="AW216" s="1742"/>
      <c r="AX216" s="1742"/>
      <c r="AY216" s="1742"/>
      <c r="AZ216" s="1742"/>
      <c r="BA216" s="1742"/>
      <c r="BB216" s="1742"/>
      <c r="BC216" s="1742"/>
      <c r="BD216" s="1742"/>
      <c r="BE216" s="1742"/>
      <c r="BF216" s="1742"/>
      <c r="BG216" s="1742"/>
      <c r="BH216" s="1742"/>
      <c r="BI216" s="1742"/>
      <c r="BJ216" s="1742"/>
      <c r="BK216" s="1742"/>
      <c r="BL216" s="1742"/>
      <c r="BM216" s="1742"/>
      <c r="BN216" s="1742"/>
      <c r="BO216" s="1742"/>
      <c r="BP216" s="1742"/>
      <c r="BQ216" s="1742"/>
      <c r="BR216" s="1742"/>
      <c r="BS216" s="1742"/>
      <c r="BT216" s="1742"/>
      <c r="BU216" s="1742"/>
      <c r="BV216" s="1742"/>
      <c r="BW216" s="1742"/>
      <c r="BX216" s="1742"/>
      <c r="BY216" s="1742"/>
      <c r="BZ216" s="1742"/>
      <c r="CA216" s="1742"/>
      <c r="CB216" s="1742"/>
      <c r="CC216" s="1742"/>
      <c r="CD216" s="1742"/>
      <c r="CE216" s="1742"/>
      <c r="CF216" s="1742"/>
      <c r="CG216" s="1742"/>
      <c r="CH216" s="1742"/>
      <c r="CI216" s="1742"/>
      <c r="CJ216" s="1742"/>
      <c r="CK216" s="1742"/>
      <c r="CL216" s="1742"/>
      <c r="CM216" s="1742"/>
      <c r="CN216" s="1742"/>
      <c r="CO216" s="1742"/>
      <c r="CP216" s="1742"/>
    </row>
    <row r="217" spans="1:94" ht="15" customHeight="1" x14ac:dyDescent="0.2">
      <c r="A217" s="1847"/>
      <c r="B217" s="1892"/>
      <c r="C217" s="652" t="s">
        <v>2439</v>
      </c>
      <c r="D217" s="973"/>
      <c r="E217" s="1860"/>
      <c r="F217" s="1225"/>
      <c r="G217" s="1767">
        <v>0</v>
      </c>
      <c r="H217" s="1767">
        <v>0</v>
      </c>
      <c r="I217" s="1767">
        <v>0</v>
      </c>
      <c r="J217" s="1767">
        <v>0</v>
      </c>
      <c r="K217" s="1767">
        <v>0</v>
      </c>
      <c r="L217" s="1767">
        <v>0</v>
      </c>
      <c r="M217" s="1767">
        <v>0</v>
      </c>
      <c r="N217" s="1767">
        <v>0</v>
      </c>
      <c r="O217" s="1767">
        <v>0</v>
      </c>
      <c r="P217" s="1767">
        <v>0</v>
      </c>
      <c r="Q217" s="1767">
        <v>0</v>
      </c>
      <c r="R217" s="1767">
        <v>0</v>
      </c>
      <c r="S217" s="1767">
        <v>0</v>
      </c>
      <c r="T217" s="1767">
        <v>0</v>
      </c>
      <c r="U217" s="1767">
        <v>0</v>
      </c>
      <c r="V217" s="1767">
        <v>0</v>
      </c>
      <c r="W217" s="1767">
        <v>0</v>
      </c>
      <c r="X217" s="1767">
        <v>0</v>
      </c>
      <c r="Y217" s="1767">
        <v>0</v>
      </c>
      <c r="Z217" s="1767">
        <v>0</v>
      </c>
      <c r="AA217" s="1767">
        <v>0</v>
      </c>
      <c r="AB217" s="1767">
        <v>0</v>
      </c>
      <c r="AC217" s="1767">
        <v>0</v>
      </c>
      <c r="AD217" s="1767">
        <v>0</v>
      </c>
      <c r="AE217" s="1767">
        <v>0</v>
      </c>
      <c r="AF217" s="1767">
        <v>0</v>
      </c>
      <c r="AG217" s="1767">
        <v>0</v>
      </c>
      <c r="AH217" s="1767">
        <v>0</v>
      </c>
      <c r="AI217" s="1767">
        <v>0</v>
      </c>
      <c r="AJ217" s="1767">
        <v>0</v>
      </c>
      <c r="AK217" s="1767">
        <v>0</v>
      </c>
      <c r="AL217" s="1767">
        <v>0</v>
      </c>
      <c r="AM217" s="1767">
        <v>0</v>
      </c>
      <c r="AN217" s="1767">
        <v>0</v>
      </c>
      <c r="AO217" s="1767">
        <v>0</v>
      </c>
      <c r="AP217" s="1767">
        <v>0</v>
      </c>
      <c r="AQ217" s="1767">
        <v>0</v>
      </c>
      <c r="AR217" s="1767">
        <v>0</v>
      </c>
      <c r="AS217" s="1767">
        <v>0</v>
      </c>
      <c r="AT217" s="1767">
        <v>0</v>
      </c>
      <c r="AU217" s="1767">
        <v>0</v>
      </c>
      <c r="AV217" s="1767">
        <v>0</v>
      </c>
      <c r="AW217" s="1767">
        <v>0</v>
      </c>
      <c r="AX217" s="1767">
        <v>0</v>
      </c>
      <c r="AY217" s="1767">
        <v>0</v>
      </c>
      <c r="AZ217" s="1767">
        <v>0</v>
      </c>
      <c r="BA217" s="1767">
        <v>0</v>
      </c>
      <c r="BB217" s="1767">
        <v>0</v>
      </c>
      <c r="BC217" s="1767">
        <v>0</v>
      </c>
      <c r="BD217" s="1767">
        <v>0</v>
      </c>
      <c r="BE217" s="1767">
        <v>0</v>
      </c>
      <c r="BF217" s="1767">
        <v>0</v>
      </c>
      <c r="BG217" s="1767">
        <v>0</v>
      </c>
      <c r="BH217" s="1767">
        <v>0</v>
      </c>
      <c r="BI217" s="1767">
        <v>0</v>
      </c>
      <c r="BJ217" s="1767">
        <v>0</v>
      </c>
      <c r="BK217" s="1767">
        <v>0</v>
      </c>
      <c r="BL217" s="1767">
        <v>0</v>
      </c>
      <c r="BM217" s="1767">
        <v>0</v>
      </c>
      <c r="BN217" s="1767">
        <v>0</v>
      </c>
      <c r="BO217" s="1767">
        <v>0</v>
      </c>
      <c r="BP217" s="1767">
        <v>0</v>
      </c>
      <c r="BQ217" s="1767">
        <v>0</v>
      </c>
      <c r="BR217" s="1767">
        <v>0</v>
      </c>
      <c r="BS217" s="1767">
        <v>0</v>
      </c>
      <c r="BT217" s="1767">
        <v>0</v>
      </c>
      <c r="BU217" s="1767">
        <v>0</v>
      </c>
      <c r="BV217" s="1767">
        <v>0</v>
      </c>
      <c r="BW217" s="1767">
        <v>0</v>
      </c>
      <c r="BX217" s="1767">
        <v>0</v>
      </c>
      <c r="BY217" s="1767">
        <v>0</v>
      </c>
      <c r="BZ217" s="1767">
        <v>0</v>
      </c>
      <c r="CA217" s="1767">
        <v>0</v>
      </c>
      <c r="CB217" s="1767">
        <v>0</v>
      </c>
      <c r="CC217" s="1767">
        <v>0</v>
      </c>
      <c r="CD217" s="1767">
        <v>0</v>
      </c>
      <c r="CE217" s="1767">
        <v>0</v>
      </c>
      <c r="CF217" s="1767">
        <v>0</v>
      </c>
      <c r="CG217" s="1767">
        <v>0</v>
      </c>
      <c r="CH217" s="1767">
        <v>0</v>
      </c>
      <c r="CI217" s="1767">
        <v>0</v>
      </c>
      <c r="CJ217" s="1767">
        <v>0</v>
      </c>
      <c r="CK217" s="1767">
        <v>0</v>
      </c>
      <c r="CL217" s="1767">
        <v>0</v>
      </c>
      <c r="CM217" s="1767">
        <v>0</v>
      </c>
      <c r="CN217" s="1767">
        <v>0</v>
      </c>
      <c r="CO217" s="1767">
        <v>0</v>
      </c>
      <c r="CP217" s="1767">
        <v>0</v>
      </c>
    </row>
    <row r="218" spans="1:94" ht="25.5" x14ac:dyDescent="0.2">
      <c r="A218" s="1847"/>
      <c r="B218" s="1892"/>
      <c r="C218" s="942" t="s">
        <v>2045</v>
      </c>
      <c r="D218" s="952"/>
      <c r="E218" s="1860"/>
      <c r="F218" s="1225"/>
      <c r="G218" s="1765">
        <v>0</v>
      </c>
      <c r="H218" s="1765">
        <v>0</v>
      </c>
      <c r="I218" s="1765">
        <v>0</v>
      </c>
      <c r="J218" s="1765">
        <v>0</v>
      </c>
      <c r="K218" s="1765">
        <v>0</v>
      </c>
      <c r="L218" s="1765">
        <v>0</v>
      </c>
      <c r="M218" s="1765">
        <v>0</v>
      </c>
      <c r="N218" s="1765">
        <v>0</v>
      </c>
      <c r="O218" s="1765">
        <v>0</v>
      </c>
      <c r="P218" s="1765">
        <v>0</v>
      </c>
      <c r="Q218" s="1765">
        <v>0</v>
      </c>
      <c r="R218" s="1765">
        <v>0</v>
      </c>
      <c r="S218" s="1765">
        <v>0</v>
      </c>
      <c r="T218" s="1765">
        <v>0</v>
      </c>
      <c r="U218" s="1765">
        <v>0</v>
      </c>
      <c r="V218" s="1765">
        <v>0</v>
      </c>
      <c r="W218" s="1765">
        <v>0</v>
      </c>
      <c r="X218" s="1765">
        <v>0</v>
      </c>
      <c r="Y218" s="1765">
        <v>0</v>
      </c>
      <c r="Z218" s="1765">
        <v>0</v>
      </c>
      <c r="AA218" s="1765">
        <v>0</v>
      </c>
      <c r="AB218" s="1765">
        <v>0</v>
      </c>
      <c r="AC218" s="1765">
        <v>0</v>
      </c>
      <c r="AD218" s="1765">
        <v>0</v>
      </c>
      <c r="AE218" s="1765">
        <v>0</v>
      </c>
      <c r="AF218" s="1765">
        <v>0</v>
      </c>
      <c r="AG218" s="1765">
        <v>0</v>
      </c>
      <c r="AH218" s="1765">
        <v>0</v>
      </c>
      <c r="AI218" s="1765">
        <v>0</v>
      </c>
      <c r="AJ218" s="1765">
        <v>0</v>
      </c>
      <c r="AK218" s="1765">
        <v>0</v>
      </c>
      <c r="AL218" s="1765">
        <v>0</v>
      </c>
      <c r="AM218" s="1765">
        <v>0</v>
      </c>
      <c r="AN218" s="1765">
        <v>0</v>
      </c>
      <c r="AO218" s="1765">
        <v>0</v>
      </c>
      <c r="AP218" s="1765">
        <v>0</v>
      </c>
      <c r="AQ218" s="1765">
        <v>0</v>
      </c>
      <c r="AR218" s="1765">
        <v>0</v>
      </c>
      <c r="AS218" s="1765">
        <v>0</v>
      </c>
      <c r="AT218" s="1765">
        <v>0</v>
      </c>
      <c r="AU218" s="1765">
        <v>0</v>
      </c>
      <c r="AV218" s="1765">
        <v>0</v>
      </c>
      <c r="AW218" s="1765">
        <v>0</v>
      </c>
      <c r="AX218" s="1765">
        <v>0</v>
      </c>
      <c r="AY218" s="1765">
        <v>0</v>
      </c>
      <c r="AZ218" s="1765">
        <v>0</v>
      </c>
      <c r="BA218" s="1765">
        <v>0</v>
      </c>
      <c r="BB218" s="1765">
        <v>0</v>
      </c>
      <c r="BC218" s="1765">
        <v>0</v>
      </c>
      <c r="BD218" s="1765">
        <v>0</v>
      </c>
      <c r="BE218" s="1765">
        <v>0</v>
      </c>
      <c r="BF218" s="1765">
        <v>0</v>
      </c>
      <c r="BG218" s="1765">
        <v>0</v>
      </c>
      <c r="BH218" s="1765">
        <v>0</v>
      </c>
      <c r="BI218" s="1765">
        <v>0</v>
      </c>
      <c r="BJ218" s="1765">
        <v>0</v>
      </c>
      <c r="BK218" s="1765">
        <v>0</v>
      </c>
      <c r="BL218" s="1765">
        <v>0</v>
      </c>
      <c r="BM218" s="1765">
        <v>0</v>
      </c>
      <c r="BN218" s="1765">
        <v>0</v>
      </c>
      <c r="BO218" s="1765">
        <v>0</v>
      </c>
      <c r="BP218" s="1765">
        <v>0</v>
      </c>
      <c r="BQ218" s="1765">
        <v>0</v>
      </c>
      <c r="BR218" s="1765">
        <v>0</v>
      </c>
      <c r="BS218" s="1765">
        <v>0</v>
      </c>
      <c r="BT218" s="1765">
        <v>0</v>
      </c>
      <c r="BU218" s="1765">
        <v>0</v>
      </c>
      <c r="BV218" s="1765">
        <v>0</v>
      </c>
      <c r="BW218" s="1765">
        <v>0</v>
      </c>
      <c r="BX218" s="1765">
        <v>0</v>
      </c>
      <c r="BY218" s="1765">
        <v>0</v>
      </c>
      <c r="BZ218" s="1765">
        <v>0</v>
      </c>
      <c r="CA218" s="1765">
        <v>0</v>
      </c>
      <c r="CB218" s="1765">
        <v>0</v>
      </c>
      <c r="CC218" s="1765">
        <v>0</v>
      </c>
      <c r="CD218" s="1765">
        <v>0</v>
      </c>
      <c r="CE218" s="1765">
        <v>0</v>
      </c>
      <c r="CF218" s="1765">
        <v>0</v>
      </c>
      <c r="CG218" s="1765">
        <v>0</v>
      </c>
      <c r="CH218" s="1765">
        <v>0</v>
      </c>
      <c r="CI218" s="1765">
        <v>0</v>
      </c>
      <c r="CJ218" s="1765">
        <v>0</v>
      </c>
      <c r="CK218" s="1765">
        <v>0</v>
      </c>
      <c r="CL218" s="1765">
        <v>0</v>
      </c>
      <c r="CM218" s="1765">
        <v>0</v>
      </c>
      <c r="CN218" s="1765">
        <v>0</v>
      </c>
      <c r="CO218" s="1765">
        <v>0</v>
      </c>
      <c r="CP218" s="1765">
        <v>0</v>
      </c>
    </row>
    <row r="219" spans="1:94" ht="15" customHeight="1" x14ac:dyDescent="0.2">
      <c r="A219" s="1847"/>
      <c r="B219" s="1892"/>
      <c r="C219" s="943" t="s">
        <v>2046</v>
      </c>
      <c r="D219" s="952"/>
      <c r="E219" s="1860"/>
      <c r="F219" s="1225"/>
      <c r="G219" s="1765">
        <v>0</v>
      </c>
      <c r="H219" s="1765">
        <v>0</v>
      </c>
      <c r="I219" s="1765">
        <v>0</v>
      </c>
      <c r="J219" s="1765">
        <v>0</v>
      </c>
      <c r="K219" s="1765">
        <v>0</v>
      </c>
      <c r="L219" s="1765">
        <v>0</v>
      </c>
      <c r="M219" s="1765">
        <v>0</v>
      </c>
      <c r="N219" s="1765">
        <v>0</v>
      </c>
      <c r="O219" s="1765">
        <v>0</v>
      </c>
      <c r="P219" s="1765">
        <v>0</v>
      </c>
      <c r="Q219" s="1765">
        <v>0</v>
      </c>
      <c r="R219" s="1765">
        <v>0</v>
      </c>
      <c r="S219" s="1765">
        <v>0</v>
      </c>
      <c r="T219" s="1765">
        <v>0</v>
      </c>
      <c r="U219" s="1765">
        <v>0</v>
      </c>
      <c r="V219" s="1765">
        <v>0</v>
      </c>
      <c r="W219" s="1765">
        <v>0</v>
      </c>
      <c r="X219" s="1765">
        <v>0</v>
      </c>
      <c r="Y219" s="1765">
        <v>0</v>
      </c>
      <c r="Z219" s="1765">
        <v>0</v>
      </c>
      <c r="AA219" s="1765">
        <v>0</v>
      </c>
      <c r="AB219" s="1765">
        <v>0</v>
      </c>
      <c r="AC219" s="1765">
        <v>0</v>
      </c>
      <c r="AD219" s="1765">
        <v>0</v>
      </c>
      <c r="AE219" s="1765">
        <v>0</v>
      </c>
      <c r="AF219" s="1765">
        <v>0</v>
      </c>
      <c r="AG219" s="1765">
        <v>0</v>
      </c>
      <c r="AH219" s="1765">
        <v>0</v>
      </c>
      <c r="AI219" s="1765">
        <v>0</v>
      </c>
      <c r="AJ219" s="1765">
        <v>0</v>
      </c>
      <c r="AK219" s="1765">
        <v>0</v>
      </c>
      <c r="AL219" s="1765">
        <v>0</v>
      </c>
      <c r="AM219" s="1765">
        <v>0</v>
      </c>
      <c r="AN219" s="1765">
        <v>0</v>
      </c>
      <c r="AO219" s="1765">
        <v>0</v>
      </c>
      <c r="AP219" s="1765">
        <v>0</v>
      </c>
      <c r="AQ219" s="1765">
        <v>0</v>
      </c>
      <c r="AR219" s="1765">
        <v>0</v>
      </c>
      <c r="AS219" s="1765">
        <v>0</v>
      </c>
      <c r="AT219" s="1765">
        <v>0</v>
      </c>
      <c r="AU219" s="1765">
        <v>0</v>
      </c>
      <c r="AV219" s="1765">
        <v>0</v>
      </c>
      <c r="AW219" s="1765">
        <v>0</v>
      </c>
      <c r="AX219" s="1765">
        <v>0</v>
      </c>
      <c r="AY219" s="1765">
        <v>0</v>
      </c>
      <c r="AZ219" s="1765">
        <v>0</v>
      </c>
      <c r="BA219" s="1765">
        <v>0</v>
      </c>
      <c r="BB219" s="1765">
        <v>0</v>
      </c>
      <c r="BC219" s="1765">
        <v>0</v>
      </c>
      <c r="BD219" s="1765">
        <v>0</v>
      </c>
      <c r="BE219" s="1765">
        <v>0</v>
      </c>
      <c r="BF219" s="1765">
        <v>0</v>
      </c>
      <c r="BG219" s="1765">
        <v>0</v>
      </c>
      <c r="BH219" s="1765">
        <v>0</v>
      </c>
      <c r="BI219" s="1765">
        <v>0</v>
      </c>
      <c r="BJ219" s="1765">
        <v>0</v>
      </c>
      <c r="BK219" s="1765">
        <v>0</v>
      </c>
      <c r="BL219" s="1765">
        <v>0</v>
      </c>
      <c r="BM219" s="1765">
        <v>0</v>
      </c>
      <c r="BN219" s="1765">
        <v>0</v>
      </c>
      <c r="BO219" s="1765">
        <v>0</v>
      </c>
      <c r="BP219" s="1765">
        <v>0</v>
      </c>
      <c r="BQ219" s="1765">
        <v>0</v>
      </c>
      <c r="BR219" s="1765">
        <v>0</v>
      </c>
      <c r="BS219" s="1765">
        <v>0</v>
      </c>
      <c r="BT219" s="1765">
        <v>0</v>
      </c>
      <c r="BU219" s="1765">
        <v>0</v>
      </c>
      <c r="BV219" s="1765">
        <v>0</v>
      </c>
      <c r="BW219" s="1765">
        <v>0</v>
      </c>
      <c r="BX219" s="1765">
        <v>0</v>
      </c>
      <c r="BY219" s="1765">
        <v>0</v>
      </c>
      <c r="BZ219" s="1765">
        <v>0</v>
      </c>
      <c r="CA219" s="1765">
        <v>0</v>
      </c>
      <c r="CB219" s="1765">
        <v>0</v>
      </c>
      <c r="CC219" s="1765">
        <v>0</v>
      </c>
      <c r="CD219" s="1765">
        <v>0</v>
      </c>
      <c r="CE219" s="1765">
        <v>0</v>
      </c>
      <c r="CF219" s="1765">
        <v>0</v>
      </c>
      <c r="CG219" s="1765">
        <v>0</v>
      </c>
      <c r="CH219" s="1765">
        <v>0</v>
      </c>
      <c r="CI219" s="1765">
        <v>0</v>
      </c>
      <c r="CJ219" s="1765">
        <v>0</v>
      </c>
      <c r="CK219" s="1765">
        <v>0</v>
      </c>
      <c r="CL219" s="1765">
        <v>0</v>
      </c>
      <c r="CM219" s="1765">
        <v>0</v>
      </c>
      <c r="CN219" s="1765">
        <v>0</v>
      </c>
      <c r="CO219" s="1765">
        <v>0</v>
      </c>
      <c r="CP219" s="1765">
        <v>0</v>
      </c>
    </row>
    <row r="220" spans="1:94" ht="15" customHeight="1" x14ac:dyDescent="0.2">
      <c r="A220" s="1847"/>
      <c r="B220" s="1892"/>
      <c r="C220" s="941" t="s">
        <v>2016</v>
      </c>
      <c r="D220" s="971"/>
      <c r="E220" s="1860"/>
      <c r="F220" s="1225"/>
      <c r="G220" s="1801"/>
      <c r="H220" s="1801"/>
      <c r="I220" s="1801"/>
      <c r="J220" s="1801"/>
      <c r="K220" s="1801"/>
      <c r="L220" s="1801"/>
      <c r="M220" s="1801"/>
      <c r="N220" s="1801"/>
      <c r="O220" s="1801"/>
      <c r="P220" s="1801"/>
      <c r="Q220" s="1801"/>
      <c r="R220" s="1801"/>
      <c r="S220" s="1801"/>
      <c r="T220" s="1801"/>
      <c r="U220" s="1801"/>
      <c r="V220" s="1801"/>
      <c r="W220" s="1801"/>
      <c r="X220" s="1801"/>
      <c r="Y220" s="1801"/>
      <c r="Z220" s="1801"/>
      <c r="AA220" s="1801"/>
      <c r="AB220" s="1801"/>
      <c r="AC220" s="1801"/>
      <c r="AD220" s="1801"/>
      <c r="AE220" s="1801"/>
      <c r="AF220" s="1801"/>
      <c r="AG220" s="1801"/>
      <c r="AH220" s="1801"/>
      <c r="AI220" s="1801"/>
      <c r="AJ220" s="1801"/>
      <c r="AK220" s="1801"/>
      <c r="AL220" s="1801"/>
      <c r="AM220" s="1801"/>
      <c r="AN220" s="1801"/>
      <c r="AO220" s="1801"/>
      <c r="AP220" s="1801"/>
      <c r="AQ220" s="1801"/>
      <c r="AR220" s="1801"/>
      <c r="AS220" s="1801"/>
      <c r="AT220" s="1801"/>
      <c r="AU220" s="1801"/>
      <c r="AV220" s="1801"/>
      <c r="AW220" s="1801"/>
      <c r="AX220" s="1801"/>
      <c r="AY220" s="1801"/>
      <c r="AZ220" s="1801"/>
      <c r="BA220" s="1801"/>
      <c r="BB220" s="1801"/>
      <c r="BC220" s="1801"/>
      <c r="BD220" s="1801"/>
      <c r="BE220" s="1801"/>
      <c r="BF220" s="1801"/>
      <c r="BG220" s="1801"/>
      <c r="BH220" s="1801"/>
      <c r="BI220" s="1801"/>
      <c r="BJ220" s="1801"/>
      <c r="BK220" s="1801"/>
      <c r="BL220" s="1801"/>
      <c r="BM220" s="1801"/>
      <c r="BN220" s="1801"/>
      <c r="BO220" s="1801"/>
      <c r="BP220" s="1801"/>
      <c r="BQ220" s="1801"/>
      <c r="BR220" s="1801"/>
      <c r="BS220" s="1801"/>
      <c r="BT220" s="1801"/>
      <c r="BU220" s="1801"/>
      <c r="BV220" s="1801"/>
      <c r="BW220" s="1801"/>
      <c r="BX220" s="1801"/>
      <c r="BY220" s="1801"/>
      <c r="BZ220" s="1801"/>
      <c r="CA220" s="1801"/>
      <c r="CB220" s="1801"/>
      <c r="CC220" s="1801"/>
      <c r="CD220" s="1801"/>
      <c r="CE220" s="1801"/>
      <c r="CF220" s="1801"/>
      <c r="CG220" s="1801"/>
      <c r="CH220" s="1801"/>
      <c r="CI220" s="1801"/>
      <c r="CJ220" s="1801"/>
      <c r="CK220" s="1801"/>
      <c r="CL220" s="1801"/>
      <c r="CM220" s="1801"/>
      <c r="CN220" s="1801"/>
      <c r="CO220" s="1801"/>
      <c r="CP220" s="1801"/>
    </row>
    <row r="221" spans="1:94" ht="15" customHeight="1" thickBot="1" x14ac:dyDescent="0.25">
      <c r="A221" s="1848"/>
      <c r="B221" s="1893"/>
      <c r="C221" s="941" t="s">
        <v>2172</v>
      </c>
      <c r="D221" s="972"/>
      <c r="E221" s="1861"/>
      <c r="F221" s="1225"/>
      <c r="G221" s="1801"/>
      <c r="H221" s="1801"/>
      <c r="I221" s="1801"/>
      <c r="J221" s="1801"/>
      <c r="K221" s="1801"/>
      <c r="L221" s="1801"/>
      <c r="M221" s="1801"/>
      <c r="N221" s="1801"/>
      <c r="O221" s="1801"/>
      <c r="P221" s="1801"/>
      <c r="Q221" s="1801"/>
      <c r="R221" s="1801"/>
      <c r="S221" s="1801"/>
      <c r="T221" s="1801"/>
      <c r="U221" s="1801"/>
      <c r="V221" s="1801"/>
      <c r="W221" s="1801"/>
      <c r="X221" s="1801"/>
      <c r="Y221" s="1801"/>
      <c r="Z221" s="1801"/>
      <c r="AA221" s="1801"/>
      <c r="AB221" s="1801"/>
      <c r="AC221" s="1801"/>
      <c r="AD221" s="1801"/>
      <c r="AE221" s="1801"/>
      <c r="AF221" s="1801"/>
      <c r="AG221" s="1801"/>
      <c r="AH221" s="1801"/>
      <c r="AI221" s="1801"/>
      <c r="AJ221" s="1801"/>
      <c r="AK221" s="1801"/>
      <c r="AL221" s="1801"/>
      <c r="AM221" s="1801"/>
      <c r="AN221" s="1801"/>
      <c r="AO221" s="1801"/>
      <c r="AP221" s="1801"/>
      <c r="AQ221" s="1801"/>
      <c r="AR221" s="1801"/>
      <c r="AS221" s="1801"/>
      <c r="AT221" s="1801"/>
      <c r="AU221" s="1801"/>
      <c r="AV221" s="1801"/>
      <c r="AW221" s="1801"/>
      <c r="AX221" s="1801"/>
      <c r="AY221" s="1801"/>
      <c r="AZ221" s="1801"/>
      <c r="BA221" s="1801"/>
      <c r="BB221" s="1801"/>
      <c r="BC221" s="1801"/>
      <c r="BD221" s="1801"/>
      <c r="BE221" s="1801"/>
      <c r="BF221" s="1801"/>
      <c r="BG221" s="1801"/>
      <c r="BH221" s="1801"/>
      <c r="BI221" s="1801"/>
      <c r="BJ221" s="1801"/>
      <c r="BK221" s="1801"/>
      <c r="BL221" s="1801"/>
      <c r="BM221" s="1801"/>
      <c r="BN221" s="1801"/>
      <c r="BO221" s="1801"/>
      <c r="BP221" s="1801"/>
      <c r="BQ221" s="1801"/>
      <c r="BR221" s="1801"/>
      <c r="BS221" s="1801"/>
      <c r="BT221" s="1801"/>
      <c r="BU221" s="1801"/>
      <c r="BV221" s="1801"/>
      <c r="BW221" s="1801"/>
      <c r="BX221" s="1801"/>
      <c r="BY221" s="1801"/>
      <c r="BZ221" s="1801"/>
      <c r="CA221" s="1801"/>
      <c r="CB221" s="1801"/>
      <c r="CC221" s="1801"/>
      <c r="CD221" s="1801"/>
      <c r="CE221" s="1801"/>
      <c r="CF221" s="1801"/>
      <c r="CG221" s="1801"/>
      <c r="CH221" s="1801"/>
      <c r="CI221" s="1801"/>
      <c r="CJ221" s="1801"/>
      <c r="CK221" s="1801"/>
      <c r="CL221" s="1801"/>
      <c r="CM221" s="1801"/>
      <c r="CN221" s="1801"/>
      <c r="CO221" s="1801"/>
      <c r="CP221" s="1801"/>
    </row>
    <row r="222" spans="1:94" ht="21" customHeight="1" thickBot="1" x14ac:dyDescent="0.25">
      <c r="A222" s="1887" t="s">
        <v>25</v>
      </c>
      <c r="B222" s="1846" t="s">
        <v>650</v>
      </c>
      <c r="C222" s="1777" t="s">
        <v>458</v>
      </c>
      <c r="D222" s="947"/>
      <c r="E222" s="1843" t="s">
        <v>1828</v>
      </c>
      <c r="F222" s="1225"/>
      <c r="G222" s="1742"/>
      <c r="H222" s="1742"/>
      <c r="I222" s="1742"/>
      <c r="J222" s="1742"/>
      <c r="K222" s="1742"/>
      <c r="L222" s="1742"/>
      <c r="M222" s="1742"/>
      <c r="N222" s="1742"/>
      <c r="O222" s="1742"/>
      <c r="P222" s="1742"/>
      <c r="Q222" s="1742"/>
      <c r="R222" s="1742"/>
      <c r="S222" s="1742"/>
      <c r="T222" s="1742"/>
      <c r="U222" s="1742"/>
      <c r="V222" s="1742"/>
      <c r="W222" s="1742"/>
      <c r="X222" s="1742"/>
      <c r="Y222" s="1742"/>
      <c r="Z222" s="1742"/>
      <c r="AA222" s="1742"/>
      <c r="AB222" s="1742"/>
      <c r="AC222" s="1742"/>
      <c r="AD222" s="1742"/>
      <c r="AE222" s="1742"/>
      <c r="AF222" s="1742"/>
      <c r="AG222" s="1742"/>
      <c r="AH222" s="1742"/>
      <c r="AI222" s="1742"/>
      <c r="AJ222" s="1742"/>
      <c r="AK222" s="1742"/>
      <c r="AL222" s="1742"/>
      <c r="AM222" s="1742"/>
      <c r="AN222" s="1742"/>
      <c r="AO222" s="1742"/>
      <c r="AP222" s="1742"/>
      <c r="AQ222" s="1742"/>
      <c r="AR222" s="1742"/>
      <c r="AS222" s="1742"/>
      <c r="AT222" s="1742"/>
      <c r="AU222" s="1742"/>
      <c r="AV222" s="1742"/>
      <c r="AW222" s="1742"/>
      <c r="AX222" s="1742"/>
      <c r="AY222" s="1742"/>
      <c r="AZ222" s="1742"/>
      <c r="BA222" s="1742"/>
      <c r="BB222" s="1742"/>
      <c r="BC222" s="1742"/>
      <c r="BD222" s="1742"/>
      <c r="BE222" s="1742"/>
      <c r="BF222" s="1742"/>
      <c r="BG222" s="1742"/>
      <c r="BH222" s="1742"/>
      <c r="BI222" s="1742"/>
      <c r="BJ222" s="1742"/>
      <c r="BK222" s="1742"/>
      <c r="BL222" s="1742"/>
      <c r="BM222" s="1742"/>
      <c r="BN222" s="1742"/>
      <c r="BO222" s="1742"/>
      <c r="BP222" s="1742"/>
      <c r="BQ222" s="1742"/>
      <c r="BR222" s="1742"/>
      <c r="BS222" s="1742"/>
      <c r="BT222" s="1742"/>
      <c r="BU222" s="1742"/>
      <c r="BV222" s="1742"/>
      <c r="BW222" s="1742"/>
      <c r="BX222" s="1742"/>
      <c r="BY222" s="1742"/>
      <c r="BZ222" s="1742"/>
      <c r="CA222" s="1742"/>
      <c r="CB222" s="1742"/>
      <c r="CC222" s="1742"/>
      <c r="CD222" s="1742"/>
      <c r="CE222" s="1742"/>
      <c r="CF222" s="1742"/>
      <c r="CG222" s="1742"/>
      <c r="CH222" s="1742"/>
      <c r="CI222" s="1742"/>
      <c r="CJ222" s="1742"/>
      <c r="CK222" s="1742"/>
      <c r="CL222" s="1742"/>
      <c r="CM222" s="1742"/>
      <c r="CN222" s="1742"/>
      <c r="CO222" s="1742"/>
      <c r="CP222" s="1742"/>
    </row>
    <row r="223" spans="1:94" ht="27" customHeight="1" x14ac:dyDescent="0.2">
      <c r="A223" s="1847"/>
      <c r="B223" s="1856"/>
      <c r="C223" s="660" t="s">
        <v>459</v>
      </c>
      <c r="D223" s="936"/>
      <c r="E223" s="1844"/>
      <c r="F223" s="1225"/>
      <c r="G223" s="1767">
        <v>0</v>
      </c>
      <c r="H223" s="1767">
        <v>0</v>
      </c>
      <c r="I223" s="1767">
        <v>0</v>
      </c>
      <c r="J223" s="1767">
        <v>0</v>
      </c>
      <c r="K223" s="1767">
        <v>0</v>
      </c>
      <c r="L223" s="1767">
        <v>0</v>
      </c>
      <c r="M223" s="1767">
        <v>0</v>
      </c>
      <c r="N223" s="1767">
        <v>0</v>
      </c>
      <c r="O223" s="1767">
        <v>0</v>
      </c>
      <c r="P223" s="1767">
        <v>0</v>
      </c>
      <c r="Q223" s="1767">
        <v>0</v>
      </c>
      <c r="R223" s="1767">
        <v>0</v>
      </c>
      <c r="S223" s="1767">
        <v>0</v>
      </c>
      <c r="T223" s="1767">
        <v>0</v>
      </c>
      <c r="U223" s="1767">
        <v>0</v>
      </c>
      <c r="V223" s="1767">
        <v>0</v>
      </c>
      <c r="W223" s="1767">
        <v>0</v>
      </c>
      <c r="X223" s="1767">
        <v>0</v>
      </c>
      <c r="Y223" s="1767">
        <v>0</v>
      </c>
      <c r="Z223" s="1767">
        <v>0</v>
      </c>
      <c r="AA223" s="1767">
        <v>0</v>
      </c>
      <c r="AB223" s="1767">
        <v>0</v>
      </c>
      <c r="AC223" s="1767">
        <v>0</v>
      </c>
      <c r="AD223" s="1767">
        <v>0</v>
      </c>
      <c r="AE223" s="1767">
        <v>0</v>
      </c>
      <c r="AF223" s="1767">
        <v>0</v>
      </c>
      <c r="AG223" s="1767">
        <v>0</v>
      </c>
      <c r="AH223" s="1767">
        <v>0</v>
      </c>
      <c r="AI223" s="1767">
        <v>0</v>
      </c>
      <c r="AJ223" s="1767">
        <v>0</v>
      </c>
      <c r="AK223" s="1767">
        <v>0</v>
      </c>
      <c r="AL223" s="1767">
        <v>0</v>
      </c>
      <c r="AM223" s="1767">
        <v>0</v>
      </c>
      <c r="AN223" s="1767">
        <v>0</v>
      </c>
      <c r="AO223" s="1767">
        <v>0</v>
      </c>
      <c r="AP223" s="1767">
        <v>0</v>
      </c>
      <c r="AQ223" s="1767">
        <v>0</v>
      </c>
      <c r="AR223" s="1767">
        <v>0</v>
      </c>
      <c r="AS223" s="1767">
        <v>0</v>
      </c>
      <c r="AT223" s="1767">
        <v>0</v>
      </c>
      <c r="AU223" s="1767">
        <v>0</v>
      </c>
      <c r="AV223" s="1767">
        <v>0</v>
      </c>
      <c r="AW223" s="1767">
        <v>0</v>
      </c>
      <c r="AX223" s="1767">
        <v>0</v>
      </c>
      <c r="AY223" s="1767">
        <v>0</v>
      </c>
      <c r="AZ223" s="1767">
        <v>0</v>
      </c>
      <c r="BA223" s="1767">
        <v>0</v>
      </c>
      <c r="BB223" s="1767">
        <v>0</v>
      </c>
      <c r="BC223" s="1767">
        <v>0</v>
      </c>
      <c r="BD223" s="1767">
        <v>0</v>
      </c>
      <c r="BE223" s="1767">
        <v>0</v>
      </c>
      <c r="BF223" s="1767">
        <v>0</v>
      </c>
      <c r="BG223" s="1767">
        <v>0</v>
      </c>
      <c r="BH223" s="1767">
        <v>0</v>
      </c>
      <c r="BI223" s="1767">
        <v>0</v>
      </c>
      <c r="BJ223" s="1767">
        <v>0</v>
      </c>
      <c r="BK223" s="1767">
        <v>0</v>
      </c>
      <c r="BL223" s="1767">
        <v>0</v>
      </c>
      <c r="BM223" s="1767">
        <v>0</v>
      </c>
      <c r="BN223" s="1767">
        <v>0</v>
      </c>
      <c r="BO223" s="1767">
        <v>0</v>
      </c>
      <c r="BP223" s="1767">
        <v>0</v>
      </c>
      <c r="BQ223" s="1767">
        <v>0</v>
      </c>
      <c r="BR223" s="1767">
        <v>0</v>
      </c>
      <c r="BS223" s="1767">
        <v>0</v>
      </c>
      <c r="BT223" s="1767">
        <v>0</v>
      </c>
      <c r="BU223" s="1767">
        <v>0</v>
      </c>
      <c r="BV223" s="1767">
        <v>0</v>
      </c>
      <c r="BW223" s="1767">
        <v>0</v>
      </c>
      <c r="BX223" s="1767">
        <v>0</v>
      </c>
      <c r="BY223" s="1767">
        <v>0</v>
      </c>
      <c r="BZ223" s="1767">
        <v>0</v>
      </c>
      <c r="CA223" s="1767">
        <v>0</v>
      </c>
      <c r="CB223" s="1767">
        <v>0</v>
      </c>
      <c r="CC223" s="1767">
        <v>0</v>
      </c>
      <c r="CD223" s="1767">
        <v>0</v>
      </c>
      <c r="CE223" s="1767">
        <v>0</v>
      </c>
      <c r="CF223" s="1767">
        <v>0</v>
      </c>
      <c r="CG223" s="1767">
        <v>0</v>
      </c>
      <c r="CH223" s="1767">
        <v>0</v>
      </c>
      <c r="CI223" s="1767">
        <v>0</v>
      </c>
      <c r="CJ223" s="1767">
        <v>0</v>
      </c>
      <c r="CK223" s="1767">
        <v>0</v>
      </c>
      <c r="CL223" s="1767">
        <v>0</v>
      </c>
      <c r="CM223" s="1767">
        <v>0</v>
      </c>
      <c r="CN223" s="1767">
        <v>0</v>
      </c>
      <c r="CO223" s="1767">
        <v>0</v>
      </c>
      <c r="CP223" s="1767">
        <v>0</v>
      </c>
    </row>
    <row r="224" spans="1:94" ht="42" customHeight="1" x14ac:dyDescent="0.2">
      <c r="A224" s="1847"/>
      <c r="B224" s="1856"/>
      <c r="C224" s="653" t="s">
        <v>457</v>
      </c>
      <c r="D224" s="936"/>
      <c r="E224" s="1844"/>
      <c r="F224" s="1225"/>
      <c r="G224" s="1767">
        <v>0</v>
      </c>
      <c r="H224" s="1767">
        <v>0</v>
      </c>
      <c r="I224" s="1767">
        <v>0</v>
      </c>
      <c r="J224" s="1767">
        <v>0</v>
      </c>
      <c r="K224" s="1767">
        <v>0</v>
      </c>
      <c r="L224" s="1767">
        <v>0</v>
      </c>
      <c r="M224" s="1767">
        <v>0</v>
      </c>
      <c r="N224" s="1767">
        <v>0</v>
      </c>
      <c r="O224" s="1767">
        <v>0</v>
      </c>
      <c r="P224" s="1767">
        <v>0</v>
      </c>
      <c r="Q224" s="1767">
        <v>0</v>
      </c>
      <c r="R224" s="1767">
        <v>0</v>
      </c>
      <c r="S224" s="1767">
        <v>0</v>
      </c>
      <c r="T224" s="1767">
        <v>0</v>
      </c>
      <c r="U224" s="1767">
        <v>0</v>
      </c>
      <c r="V224" s="1767">
        <v>0</v>
      </c>
      <c r="W224" s="1767">
        <v>0</v>
      </c>
      <c r="X224" s="1767">
        <v>0</v>
      </c>
      <c r="Y224" s="1767">
        <v>0</v>
      </c>
      <c r="Z224" s="1767">
        <v>0</v>
      </c>
      <c r="AA224" s="1767">
        <v>0</v>
      </c>
      <c r="AB224" s="1767">
        <v>0</v>
      </c>
      <c r="AC224" s="1767">
        <v>0</v>
      </c>
      <c r="AD224" s="1767">
        <v>0</v>
      </c>
      <c r="AE224" s="1767">
        <v>0</v>
      </c>
      <c r="AF224" s="1767">
        <v>0</v>
      </c>
      <c r="AG224" s="1767">
        <v>0</v>
      </c>
      <c r="AH224" s="1767">
        <v>0</v>
      </c>
      <c r="AI224" s="1767">
        <v>0</v>
      </c>
      <c r="AJ224" s="1767">
        <v>0</v>
      </c>
      <c r="AK224" s="1767">
        <v>0</v>
      </c>
      <c r="AL224" s="1767">
        <v>0</v>
      </c>
      <c r="AM224" s="1767">
        <v>0</v>
      </c>
      <c r="AN224" s="1767">
        <v>0</v>
      </c>
      <c r="AO224" s="1767">
        <v>0</v>
      </c>
      <c r="AP224" s="1767">
        <v>0</v>
      </c>
      <c r="AQ224" s="1767">
        <v>0</v>
      </c>
      <c r="AR224" s="1767">
        <v>0</v>
      </c>
      <c r="AS224" s="1767">
        <v>0</v>
      </c>
      <c r="AT224" s="1767">
        <v>0</v>
      </c>
      <c r="AU224" s="1767">
        <v>0</v>
      </c>
      <c r="AV224" s="1767">
        <v>0</v>
      </c>
      <c r="AW224" s="1767">
        <v>0</v>
      </c>
      <c r="AX224" s="1767">
        <v>0</v>
      </c>
      <c r="AY224" s="1767">
        <v>0</v>
      </c>
      <c r="AZ224" s="1767">
        <v>0</v>
      </c>
      <c r="BA224" s="1767">
        <v>0</v>
      </c>
      <c r="BB224" s="1767">
        <v>0</v>
      </c>
      <c r="BC224" s="1767">
        <v>0</v>
      </c>
      <c r="BD224" s="1767">
        <v>0</v>
      </c>
      <c r="BE224" s="1767">
        <v>0</v>
      </c>
      <c r="BF224" s="1767">
        <v>0</v>
      </c>
      <c r="BG224" s="1767">
        <v>0</v>
      </c>
      <c r="BH224" s="1767">
        <v>0</v>
      </c>
      <c r="BI224" s="1767">
        <v>0</v>
      </c>
      <c r="BJ224" s="1767">
        <v>0</v>
      </c>
      <c r="BK224" s="1767">
        <v>0</v>
      </c>
      <c r="BL224" s="1767">
        <v>0</v>
      </c>
      <c r="BM224" s="1767">
        <v>0</v>
      </c>
      <c r="BN224" s="1767">
        <v>0</v>
      </c>
      <c r="BO224" s="1767">
        <v>0</v>
      </c>
      <c r="BP224" s="1767">
        <v>0</v>
      </c>
      <c r="BQ224" s="1767">
        <v>0</v>
      </c>
      <c r="BR224" s="1767">
        <v>0</v>
      </c>
      <c r="BS224" s="1767">
        <v>0</v>
      </c>
      <c r="BT224" s="1767">
        <v>0</v>
      </c>
      <c r="BU224" s="1767">
        <v>0</v>
      </c>
      <c r="BV224" s="1767">
        <v>0</v>
      </c>
      <c r="BW224" s="1767">
        <v>0</v>
      </c>
      <c r="BX224" s="1767">
        <v>0</v>
      </c>
      <c r="BY224" s="1767">
        <v>0</v>
      </c>
      <c r="BZ224" s="1767">
        <v>0</v>
      </c>
      <c r="CA224" s="1767">
        <v>0</v>
      </c>
      <c r="CB224" s="1767">
        <v>0</v>
      </c>
      <c r="CC224" s="1767">
        <v>0</v>
      </c>
      <c r="CD224" s="1767">
        <v>0</v>
      </c>
      <c r="CE224" s="1767">
        <v>0</v>
      </c>
      <c r="CF224" s="1767">
        <v>0</v>
      </c>
      <c r="CG224" s="1767">
        <v>0</v>
      </c>
      <c r="CH224" s="1767">
        <v>0</v>
      </c>
      <c r="CI224" s="1767">
        <v>0</v>
      </c>
      <c r="CJ224" s="1767">
        <v>0</v>
      </c>
      <c r="CK224" s="1767">
        <v>0</v>
      </c>
      <c r="CL224" s="1767">
        <v>0</v>
      </c>
      <c r="CM224" s="1767">
        <v>0</v>
      </c>
      <c r="CN224" s="1767">
        <v>0</v>
      </c>
      <c r="CO224" s="1767">
        <v>0</v>
      </c>
      <c r="CP224" s="1767">
        <v>0</v>
      </c>
    </row>
    <row r="225" spans="1:94" ht="28.5" customHeight="1" thickBot="1" x14ac:dyDescent="0.25">
      <c r="A225" s="1847"/>
      <c r="B225" s="1856"/>
      <c r="C225" s="850" t="s">
        <v>614</v>
      </c>
      <c r="D225" s="936"/>
      <c r="E225" s="1844"/>
      <c r="F225" s="1225"/>
      <c r="G225" s="1767">
        <v>0</v>
      </c>
      <c r="H225" s="1767">
        <v>0</v>
      </c>
      <c r="I225" s="1767">
        <v>0</v>
      </c>
      <c r="J225" s="1767">
        <v>0</v>
      </c>
      <c r="K225" s="1767">
        <v>0</v>
      </c>
      <c r="L225" s="1767">
        <v>0</v>
      </c>
      <c r="M225" s="1767">
        <v>0</v>
      </c>
      <c r="N225" s="1767">
        <v>0</v>
      </c>
      <c r="O225" s="1767">
        <v>0</v>
      </c>
      <c r="P225" s="1767">
        <v>0</v>
      </c>
      <c r="Q225" s="1767">
        <v>0</v>
      </c>
      <c r="R225" s="1767">
        <v>0</v>
      </c>
      <c r="S225" s="1767">
        <v>0</v>
      </c>
      <c r="T225" s="1767">
        <v>0</v>
      </c>
      <c r="U225" s="1767">
        <v>0</v>
      </c>
      <c r="V225" s="1767">
        <v>0</v>
      </c>
      <c r="W225" s="1767">
        <v>0</v>
      </c>
      <c r="X225" s="1767">
        <v>0</v>
      </c>
      <c r="Y225" s="1767">
        <v>0</v>
      </c>
      <c r="Z225" s="1767">
        <v>0</v>
      </c>
      <c r="AA225" s="1767">
        <v>0</v>
      </c>
      <c r="AB225" s="1767">
        <v>0</v>
      </c>
      <c r="AC225" s="1767">
        <v>0</v>
      </c>
      <c r="AD225" s="1767">
        <v>0</v>
      </c>
      <c r="AE225" s="1767">
        <v>0</v>
      </c>
      <c r="AF225" s="1767">
        <v>0</v>
      </c>
      <c r="AG225" s="1767">
        <v>0</v>
      </c>
      <c r="AH225" s="1767">
        <v>0</v>
      </c>
      <c r="AI225" s="1767">
        <v>0</v>
      </c>
      <c r="AJ225" s="1767">
        <v>0</v>
      </c>
      <c r="AK225" s="1767">
        <v>0</v>
      </c>
      <c r="AL225" s="1767">
        <v>0</v>
      </c>
      <c r="AM225" s="1767">
        <v>0</v>
      </c>
      <c r="AN225" s="1767">
        <v>0</v>
      </c>
      <c r="AO225" s="1767">
        <v>0</v>
      </c>
      <c r="AP225" s="1767">
        <v>0</v>
      </c>
      <c r="AQ225" s="1767">
        <v>0</v>
      </c>
      <c r="AR225" s="1767">
        <v>0</v>
      </c>
      <c r="AS225" s="1767">
        <v>0</v>
      </c>
      <c r="AT225" s="1767">
        <v>0</v>
      </c>
      <c r="AU225" s="1767">
        <v>0</v>
      </c>
      <c r="AV225" s="1767">
        <v>0</v>
      </c>
      <c r="AW225" s="1767">
        <v>0</v>
      </c>
      <c r="AX225" s="1767">
        <v>0</v>
      </c>
      <c r="AY225" s="1767">
        <v>0</v>
      </c>
      <c r="AZ225" s="1767">
        <v>0</v>
      </c>
      <c r="BA225" s="1767">
        <v>0</v>
      </c>
      <c r="BB225" s="1767">
        <v>0</v>
      </c>
      <c r="BC225" s="1767">
        <v>0</v>
      </c>
      <c r="BD225" s="1767">
        <v>0</v>
      </c>
      <c r="BE225" s="1767">
        <v>0</v>
      </c>
      <c r="BF225" s="1767">
        <v>0</v>
      </c>
      <c r="BG225" s="1767">
        <v>0</v>
      </c>
      <c r="BH225" s="1767">
        <v>0</v>
      </c>
      <c r="BI225" s="1767">
        <v>0</v>
      </c>
      <c r="BJ225" s="1767">
        <v>0</v>
      </c>
      <c r="BK225" s="1767">
        <v>0</v>
      </c>
      <c r="BL225" s="1767">
        <v>0</v>
      </c>
      <c r="BM225" s="1767">
        <v>0</v>
      </c>
      <c r="BN225" s="1767">
        <v>0</v>
      </c>
      <c r="BO225" s="1767">
        <v>0</v>
      </c>
      <c r="BP225" s="1767">
        <v>0</v>
      </c>
      <c r="BQ225" s="1767">
        <v>0</v>
      </c>
      <c r="BR225" s="1767">
        <v>0</v>
      </c>
      <c r="BS225" s="1767">
        <v>0</v>
      </c>
      <c r="BT225" s="1767">
        <v>0</v>
      </c>
      <c r="BU225" s="1767">
        <v>0</v>
      </c>
      <c r="BV225" s="1767">
        <v>0</v>
      </c>
      <c r="BW225" s="1767">
        <v>0</v>
      </c>
      <c r="BX225" s="1767">
        <v>0</v>
      </c>
      <c r="BY225" s="1767">
        <v>0</v>
      </c>
      <c r="BZ225" s="1767">
        <v>0</v>
      </c>
      <c r="CA225" s="1767">
        <v>0</v>
      </c>
      <c r="CB225" s="1767">
        <v>0</v>
      </c>
      <c r="CC225" s="1767">
        <v>0</v>
      </c>
      <c r="CD225" s="1767">
        <v>0</v>
      </c>
      <c r="CE225" s="1767">
        <v>0</v>
      </c>
      <c r="CF225" s="1767">
        <v>0</v>
      </c>
      <c r="CG225" s="1767">
        <v>0</v>
      </c>
      <c r="CH225" s="1767">
        <v>0</v>
      </c>
      <c r="CI225" s="1767">
        <v>0</v>
      </c>
      <c r="CJ225" s="1767">
        <v>0</v>
      </c>
      <c r="CK225" s="1767">
        <v>0</v>
      </c>
      <c r="CL225" s="1767">
        <v>0</v>
      </c>
      <c r="CM225" s="1767">
        <v>0</v>
      </c>
      <c r="CN225" s="1767">
        <v>0</v>
      </c>
      <c r="CO225" s="1767">
        <v>0</v>
      </c>
      <c r="CP225" s="1767">
        <v>0</v>
      </c>
    </row>
    <row r="226" spans="1:94" ht="48" customHeight="1" thickBot="1" x14ac:dyDescent="0.25">
      <c r="A226" s="853" t="s">
        <v>38</v>
      </c>
      <c r="B226" s="718" t="s">
        <v>2049</v>
      </c>
      <c r="C226" s="1777" t="s">
        <v>2532</v>
      </c>
      <c r="D226" s="951"/>
      <c r="E226" s="829" t="s">
        <v>1830</v>
      </c>
      <c r="F226" s="1225"/>
      <c r="G226" s="1765">
        <v>0</v>
      </c>
      <c r="H226" s="1765">
        <v>0</v>
      </c>
      <c r="I226" s="1765">
        <v>0</v>
      </c>
      <c r="J226" s="1765">
        <v>0</v>
      </c>
      <c r="K226" s="1765">
        <v>0</v>
      </c>
      <c r="L226" s="1765">
        <v>0</v>
      </c>
      <c r="M226" s="1765">
        <v>0</v>
      </c>
      <c r="N226" s="1765">
        <v>0</v>
      </c>
      <c r="O226" s="1765">
        <v>0</v>
      </c>
      <c r="P226" s="1765">
        <v>0</v>
      </c>
      <c r="Q226" s="1765">
        <v>0</v>
      </c>
      <c r="R226" s="1765">
        <v>0</v>
      </c>
      <c r="S226" s="1765">
        <v>0</v>
      </c>
      <c r="T226" s="1765">
        <v>0</v>
      </c>
      <c r="U226" s="1765">
        <v>0</v>
      </c>
      <c r="V226" s="1765">
        <v>0</v>
      </c>
      <c r="W226" s="1765">
        <v>0</v>
      </c>
      <c r="X226" s="1765">
        <v>0</v>
      </c>
      <c r="Y226" s="1765">
        <v>0</v>
      </c>
      <c r="Z226" s="1765">
        <v>0</v>
      </c>
      <c r="AA226" s="1765">
        <v>0</v>
      </c>
      <c r="AB226" s="1765">
        <v>0</v>
      </c>
      <c r="AC226" s="1765">
        <v>0</v>
      </c>
      <c r="AD226" s="1765">
        <v>0</v>
      </c>
      <c r="AE226" s="1765">
        <v>0</v>
      </c>
      <c r="AF226" s="1765">
        <v>0</v>
      </c>
      <c r="AG226" s="1765">
        <v>0</v>
      </c>
      <c r="AH226" s="1765">
        <v>0</v>
      </c>
      <c r="AI226" s="1765">
        <v>0</v>
      </c>
      <c r="AJ226" s="1765">
        <v>0</v>
      </c>
      <c r="AK226" s="1765">
        <v>0</v>
      </c>
      <c r="AL226" s="1765">
        <v>0</v>
      </c>
      <c r="AM226" s="1765">
        <v>0</v>
      </c>
      <c r="AN226" s="1765">
        <v>0</v>
      </c>
      <c r="AO226" s="1765">
        <v>0</v>
      </c>
      <c r="AP226" s="1765">
        <v>0</v>
      </c>
      <c r="AQ226" s="1765">
        <v>0</v>
      </c>
      <c r="AR226" s="1765">
        <v>0</v>
      </c>
      <c r="AS226" s="1765">
        <v>0</v>
      </c>
      <c r="AT226" s="1765">
        <v>0</v>
      </c>
      <c r="AU226" s="1765">
        <v>0</v>
      </c>
      <c r="AV226" s="1765">
        <v>0</v>
      </c>
      <c r="AW226" s="1765">
        <v>0</v>
      </c>
      <c r="AX226" s="1765">
        <v>0</v>
      </c>
      <c r="AY226" s="1765">
        <v>0</v>
      </c>
      <c r="AZ226" s="1765">
        <v>0</v>
      </c>
      <c r="BA226" s="1765">
        <v>0</v>
      </c>
      <c r="BB226" s="1765">
        <v>0</v>
      </c>
      <c r="BC226" s="1765">
        <v>0</v>
      </c>
      <c r="BD226" s="1765">
        <v>0</v>
      </c>
      <c r="BE226" s="1765">
        <v>0</v>
      </c>
      <c r="BF226" s="1765">
        <v>0</v>
      </c>
      <c r="BG226" s="1765">
        <v>0</v>
      </c>
      <c r="BH226" s="1765">
        <v>0</v>
      </c>
      <c r="BI226" s="1765">
        <v>0</v>
      </c>
      <c r="BJ226" s="1765">
        <v>0</v>
      </c>
      <c r="BK226" s="1765">
        <v>0</v>
      </c>
      <c r="BL226" s="1765">
        <v>0</v>
      </c>
      <c r="BM226" s="1765">
        <v>0</v>
      </c>
      <c r="BN226" s="1765">
        <v>0</v>
      </c>
      <c r="BO226" s="1765">
        <v>0</v>
      </c>
      <c r="BP226" s="1765">
        <v>0</v>
      </c>
      <c r="BQ226" s="1765">
        <v>0</v>
      </c>
      <c r="BR226" s="1765">
        <v>0</v>
      </c>
      <c r="BS226" s="1765">
        <v>0</v>
      </c>
      <c r="BT226" s="1765">
        <v>0</v>
      </c>
      <c r="BU226" s="1765">
        <v>0</v>
      </c>
      <c r="BV226" s="1765">
        <v>0</v>
      </c>
      <c r="BW226" s="1765">
        <v>0</v>
      </c>
      <c r="BX226" s="1765">
        <v>0</v>
      </c>
      <c r="BY226" s="1765">
        <v>0</v>
      </c>
      <c r="BZ226" s="1765">
        <v>0</v>
      </c>
      <c r="CA226" s="1765">
        <v>0</v>
      </c>
      <c r="CB226" s="1765">
        <v>0</v>
      </c>
      <c r="CC226" s="1765">
        <v>0</v>
      </c>
      <c r="CD226" s="1765">
        <v>0</v>
      </c>
      <c r="CE226" s="1765">
        <v>0</v>
      </c>
      <c r="CF226" s="1765">
        <v>0</v>
      </c>
      <c r="CG226" s="1765">
        <v>0</v>
      </c>
      <c r="CH226" s="1765">
        <v>0</v>
      </c>
      <c r="CI226" s="1765">
        <v>0</v>
      </c>
      <c r="CJ226" s="1765">
        <v>0</v>
      </c>
      <c r="CK226" s="1765">
        <v>0</v>
      </c>
      <c r="CL226" s="1765">
        <v>0</v>
      </c>
      <c r="CM226" s="1765">
        <v>0</v>
      </c>
      <c r="CN226" s="1765">
        <v>0</v>
      </c>
      <c r="CO226" s="1765">
        <v>0</v>
      </c>
      <c r="CP226" s="1765">
        <v>0</v>
      </c>
    </row>
    <row r="227" spans="1:94" ht="30" customHeight="1" thickBot="1" x14ac:dyDescent="0.25">
      <c r="A227" s="1849" t="s">
        <v>237</v>
      </c>
      <c r="B227" s="1846" t="s">
        <v>1120</v>
      </c>
      <c r="C227" s="1777" t="s">
        <v>2533</v>
      </c>
      <c r="D227" s="947"/>
      <c r="E227" s="1843" t="s">
        <v>1829</v>
      </c>
      <c r="F227" s="1225"/>
      <c r="G227" s="1742"/>
      <c r="H227" s="1742"/>
      <c r="I227" s="1742"/>
      <c r="J227" s="1742"/>
      <c r="K227" s="1742"/>
      <c r="L227" s="1742"/>
      <c r="M227" s="1742"/>
      <c r="N227" s="1742"/>
      <c r="O227" s="1742"/>
      <c r="P227" s="1742"/>
      <c r="Q227" s="1742"/>
      <c r="R227" s="1742"/>
      <c r="S227" s="1742"/>
      <c r="T227" s="1742"/>
      <c r="U227" s="1742"/>
      <c r="V227" s="1742"/>
      <c r="W227" s="1742"/>
      <c r="X227" s="1742"/>
      <c r="Y227" s="1742"/>
      <c r="Z227" s="1742"/>
      <c r="AA227" s="1742"/>
      <c r="AB227" s="1742"/>
      <c r="AC227" s="1742"/>
      <c r="AD227" s="1742"/>
      <c r="AE227" s="1742"/>
      <c r="AF227" s="1742"/>
      <c r="AG227" s="1742"/>
      <c r="AH227" s="1742"/>
      <c r="AI227" s="1742"/>
      <c r="AJ227" s="1742"/>
      <c r="AK227" s="1742"/>
      <c r="AL227" s="1742"/>
      <c r="AM227" s="1742"/>
      <c r="AN227" s="1742"/>
      <c r="AO227" s="1742"/>
      <c r="AP227" s="1742"/>
      <c r="AQ227" s="1742"/>
      <c r="AR227" s="1742"/>
      <c r="AS227" s="1742"/>
      <c r="AT227" s="1742"/>
      <c r="AU227" s="1742"/>
      <c r="AV227" s="1742"/>
      <c r="AW227" s="1742"/>
      <c r="AX227" s="1742"/>
      <c r="AY227" s="1742"/>
      <c r="AZ227" s="1742"/>
      <c r="BA227" s="1742"/>
      <c r="BB227" s="1742"/>
      <c r="BC227" s="1742"/>
      <c r="BD227" s="1742"/>
      <c r="BE227" s="1742"/>
      <c r="BF227" s="1742"/>
      <c r="BG227" s="1742"/>
      <c r="BH227" s="1742"/>
      <c r="BI227" s="1742"/>
      <c r="BJ227" s="1742"/>
      <c r="BK227" s="1742"/>
      <c r="BL227" s="1742"/>
      <c r="BM227" s="1742"/>
      <c r="BN227" s="1742"/>
      <c r="BO227" s="1742"/>
      <c r="BP227" s="1742"/>
      <c r="BQ227" s="1742"/>
      <c r="BR227" s="1742"/>
      <c r="BS227" s="1742"/>
      <c r="BT227" s="1742"/>
      <c r="BU227" s="1742"/>
      <c r="BV227" s="1742"/>
      <c r="BW227" s="1742"/>
      <c r="BX227" s="1742"/>
      <c r="BY227" s="1742"/>
      <c r="BZ227" s="1742"/>
      <c r="CA227" s="1742"/>
      <c r="CB227" s="1742"/>
      <c r="CC227" s="1742"/>
      <c r="CD227" s="1742"/>
      <c r="CE227" s="1742"/>
      <c r="CF227" s="1742"/>
      <c r="CG227" s="1742"/>
      <c r="CH227" s="1742"/>
      <c r="CI227" s="1742"/>
      <c r="CJ227" s="1742"/>
      <c r="CK227" s="1742"/>
      <c r="CL227" s="1742"/>
      <c r="CM227" s="1742"/>
      <c r="CN227" s="1742"/>
      <c r="CO227" s="1742"/>
      <c r="CP227" s="1742"/>
    </row>
    <row r="228" spans="1:94" ht="40.5" customHeight="1" x14ac:dyDescent="0.2">
      <c r="A228" s="1847"/>
      <c r="B228" s="1856"/>
      <c r="C228" s="652" t="s">
        <v>1705</v>
      </c>
      <c r="D228" s="936"/>
      <c r="E228" s="1879"/>
      <c r="F228" s="1225"/>
      <c r="G228" s="1765">
        <v>0</v>
      </c>
      <c r="H228" s="1765">
        <v>0</v>
      </c>
      <c r="I228" s="1765">
        <v>0</v>
      </c>
      <c r="J228" s="1765">
        <v>0</v>
      </c>
      <c r="K228" s="1765">
        <v>0</v>
      </c>
      <c r="L228" s="1765">
        <v>0</v>
      </c>
      <c r="M228" s="1765">
        <v>0</v>
      </c>
      <c r="N228" s="1765">
        <v>0</v>
      </c>
      <c r="O228" s="1765">
        <v>0</v>
      </c>
      <c r="P228" s="1765">
        <v>0</v>
      </c>
      <c r="Q228" s="1765">
        <v>0</v>
      </c>
      <c r="R228" s="1765">
        <v>0</v>
      </c>
      <c r="S228" s="1765">
        <v>0</v>
      </c>
      <c r="T228" s="1765">
        <v>0</v>
      </c>
      <c r="U228" s="1765">
        <v>0</v>
      </c>
      <c r="V228" s="1765">
        <v>0</v>
      </c>
      <c r="W228" s="1765">
        <v>0</v>
      </c>
      <c r="X228" s="1765">
        <v>0</v>
      </c>
      <c r="Y228" s="1765">
        <v>0</v>
      </c>
      <c r="Z228" s="1765">
        <v>0</v>
      </c>
      <c r="AA228" s="1765">
        <v>0</v>
      </c>
      <c r="AB228" s="1765">
        <v>0</v>
      </c>
      <c r="AC228" s="1765">
        <v>0</v>
      </c>
      <c r="AD228" s="1765">
        <v>0</v>
      </c>
      <c r="AE228" s="1765">
        <v>0</v>
      </c>
      <c r="AF228" s="1765">
        <v>0</v>
      </c>
      <c r="AG228" s="1765">
        <v>0</v>
      </c>
      <c r="AH228" s="1765">
        <v>0</v>
      </c>
      <c r="AI228" s="1765">
        <v>0</v>
      </c>
      <c r="AJ228" s="1765">
        <v>0</v>
      </c>
      <c r="AK228" s="1765">
        <v>0</v>
      </c>
      <c r="AL228" s="1765">
        <v>0</v>
      </c>
      <c r="AM228" s="1765">
        <v>0</v>
      </c>
      <c r="AN228" s="1765">
        <v>0</v>
      </c>
      <c r="AO228" s="1765">
        <v>0</v>
      </c>
      <c r="AP228" s="1765">
        <v>0</v>
      </c>
      <c r="AQ228" s="1765">
        <v>0</v>
      </c>
      <c r="AR228" s="1765">
        <v>0</v>
      </c>
      <c r="AS228" s="1765">
        <v>0</v>
      </c>
      <c r="AT228" s="1765">
        <v>0</v>
      </c>
      <c r="AU228" s="1765">
        <v>0</v>
      </c>
      <c r="AV228" s="1765">
        <v>0</v>
      </c>
      <c r="AW228" s="1765">
        <v>0</v>
      </c>
      <c r="AX228" s="1765">
        <v>0</v>
      </c>
      <c r="AY228" s="1765">
        <v>0</v>
      </c>
      <c r="AZ228" s="1765">
        <v>0</v>
      </c>
      <c r="BA228" s="1765">
        <v>0</v>
      </c>
      <c r="BB228" s="1765">
        <v>0</v>
      </c>
      <c r="BC228" s="1765">
        <v>0</v>
      </c>
      <c r="BD228" s="1765">
        <v>0</v>
      </c>
      <c r="BE228" s="1765">
        <v>0</v>
      </c>
      <c r="BF228" s="1765">
        <v>0</v>
      </c>
      <c r="BG228" s="1765">
        <v>0</v>
      </c>
      <c r="BH228" s="1765">
        <v>0</v>
      </c>
      <c r="BI228" s="1765">
        <v>0</v>
      </c>
      <c r="BJ228" s="1765">
        <v>0</v>
      </c>
      <c r="BK228" s="1765">
        <v>0</v>
      </c>
      <c r="BL228" s="1765">
        <v>0</v>
      </c>
      <c r="BM228" s="1765">
        <v>0</v>
      </c>
      <c r="BN228" s="1765">
        <v>0</v>
      </c>
      <c r="BO228" s="1765">
        <v>0</v>
      </c>
      <c r="BP228" s="1765">
        <v>0</v>
      </c>
      <c r="BQ228" s="1765">
        <v>0</v>
      </c>
      <c r="BR228" s="1765">
        <v>0</v>
      </c>
      <c r="BS228" s="1765">
        <v>0</v>
      </c>
      <c r="BT228" s="1765">
        <v>0</v>
      </c>
      <c r="BU228" s="1765">
        <v>0</v>
      </c>
      <c r="BV228" s="1765">
        <v>0</v>
      </c>
      <c r="BW228" s="1765">
        <v>0</v>
      </c>
      <c r="BX228" s="1765">
        <v>0</v>
      </c>
      <c r="BY228" s="1765">
        <v>0</v>
      </c>
      <c r="BZ228" s="1765">
        <v>0</v>
      </c>
      <c r="CA228" s="1765">
        <v>0</v>
      </c>
      <c r="CB228" s="1765">
        <v>0</v>
      </c>
      <c r="CC228" s="1765">
        <v>0</v>
      </c>
      <c r="CD228" s="1765">
        <v>0</v>
      </c>
      <c r="CE228" s="1765">
        <v>0</v>
      </c>
      <c r="CF228" s="1765">
        <v>0</v>
      </c>
      <c r="CG228" s="1765">
        <v>0</v>
      </c>
      <c r="CH228" s="1765">
        <v>0</v>
      </c>
      <c r="CI228" s="1765">
        <v>0</v>
      </c>
      <c r="CJ228" s="1765">
        <v>0</v>
      </c>
      <c r="CK228" s="1765">
        <v>0</v>
      </c>
      <c r="CL228" s="1765">
        <v>0</v>
      </c>
      <c r="CM228" s="1765">
        <v>0</v>
      </c>
      <c r="CN228" s="1765">
        <v>0</v>
      </c>
      <c r="CO228" s="1765">
        <v>0</v>
      </c>
      <c r="CP228" s="1765">
        <v>0</v>
      </c>
    </row>
    <row r="229" spans="1:94" ht="15" customHeight="1" x14ac:dyDescent="0.2">
      <c r="A229" s="1847"/>
      <c r="B229" s="1856"/>
      <c r="C229" s="653" t="s">
        <v>1123</v>
      </c>
      <c r="D229" s="936"/>
      <c r="E229" s="1879"/>
      <c r="F229" s="1225"/>
      <c r="G229" s="1765">
        <v>0</v>
      </c>
      <c r="H229" s="1765">
        <v>0</v>
      </c>
      <c r="I229" s="1765">
        <v>0</v>
      </c>
      <c r="J229" s="1765">
        <v>0</v>
      </c>
      <c r="K229" s="1765">
        <v>0</v>
      </c>
      <c r="L229" s="1765">
        <v>0</v>
      </c>
      <c r="M229" s="1765">
        <v>0</v>
      </c>
      <c r="N229" s="1765">
        <v>0</v>
      </c>
      <c r="O229" s="1765">
        <v>0</v>
      </c>
      <c r="P229" s="1765">
        <v>0</v>
      </c>
      <c r="Q229" s="1765">
        <v>0</v>
      </c>
      <c r="R229" s="1765">
        <v>0</v>
      </c>
      <c r="S229" s="1765">
        <v>0</v>
      </c>
      <c r="T229" s="1765">
        <v>0</v>
      </c>
      <c r="U229" s="1765">
        <v>0</v>
      </c>
      <c r="V229" s="1765">
        <v>0</v>
      </c>
      <c r="W229" s="1765">
        <v>0</v>
      </c>
      <c r="X229" s="1765">
        <v>0</v>
      </c>
      <c r="Y229" s="1765">
        <v>0</v>
      </c>
      <c r="Z229" s="1765">
        <v>0</v>
      </c>
      <c r="AA229" s="1765">
        <v>0</v>
      </c>
      <c r="AB229" s="1765">
        <v>0</v>
      </c>
      <c r="AC229" s="1765">
        <v>0</v>
      </c>
      <c r="AD229" s="1765">
        <v>0</v>
      </c>
      <c r="AE229" s="1765">
        <v>0</v>
      </c>
      <c r="AF229" s="1765">
        <v>0</v>
      </c>
      <c r="AG229" s="1765">
        <v>0</v>
      </c>
      <c r="AH229" s="1765">
        <v>0</v>
      </c>
      <c r="AI229" s="1765">
        <v>0</v>
      </c>
      <c r="AJ229" s="1765">
        <v>0</v>
      </c>
      <c r="AK229" s="1765">
        <v>0</v>
      </c>
      <c r="AL229" s="1765">
        <v>0</v>
      </c>
      <c r="AM229" s="1765">
        <v>0</v>
      </c>
      <c r="AN229" s="1765">
        <v>0</v>
      </c>
      <c r="AO229" s="1765">
        <v>0</v>
      </c>
      <c r="AP229" s="1765">
        <v>0</v>
      </c>
      <c r="AQ229" s="1765">
        <v>0</v>
      </c>
      <c r="AR229" s="1765">
        <v>0</v>
      </c>
      <c r="AS229" s="1765">
        <v>0</v>
      </c>
      <c r="AT229" s="1765">
        <v>0</v>
      </c>
      <c r="AU229" s="1765">
        <v>0</v>
      </c>
      <c r="AV229" s="1765">
        <v>0</v>
      </c>
      <c r="AW229" s="1765">
        <v>0</v>
      </c>
      <c r="AX229" s="1765">
        <v>0</v>
      </c>
      <c r="AY229" s="1765">
        <v>0</v>
      </c>
      <c r="AZ229" s="1765">
        <v>0</v>
      </c>
      <c r="BA229" s="1765">
        <v>0</v>
      </c>
      <c r="BB229" s="1765">
        <v>0</v>
      </c>
      <c r="BC229" s="1765">
        <v>0</v>
      </c>
      <c r="BD229" s="1765">
        <v>0</v>
      </c>
      <c r="BE229" s="1765">
        <v>0</v>
      </c>
      <c r="BF229" s="1765">
        <v>0</v>
      </c>
      <c r="BG229" s="1765">
        <v>0</v>
      </c>
      <c r="BH229" s="1765">
        <v>0</v>
      </c>
      <c r="BI229" s="1765">
        <v>0</v>
      </c>
      <c r="BJ229" s="1765">
        <v>0</v>
      </c>
      <c r="BK229" s="1765">
        <v>0</v>
      </c>
      <c r="BL229" s="1765">
        <v>0</v>
      </c>
      <c r="BM229" s="1765">
        <v>0</v>
      </c>
      <c r="BN229" s="1765">
        <v>0</v>
      </c>
      <c r="BO229" s="1765">
        <v>0</v>
      </c>
      <c r="BP229" s="1765">
        <v>0</v>
      </c>
      <c r="BQ229" s="1765">
        <v>0</v>
      </c>
      <c r="BR229" s="1765">
        <v>0</v>
      </c>
      <c r="BS229" s="1765">
        <v>0</v>
      </c>
      <c r="BT229" s="1765">
        <v>0</v>
      </c>
      <c r="BU229" s="1765">
        <v>0</v>
      </c>
      <c r="BV229" s="1765">
        <v>0</v>
      </c>
      <c r="BW229" s="1765">
        <v>0</v>
      </c>
      <c r="BX229" s="1765">
        <v>0</v>
      </c>
      <c r="BY229" s="1765">
        <v>0</v>
      </c>
      <c r="BZ229" s="1765">
        <v>0</v>
      </c>
      <c r="CA229" s="1765">
        <v>0</v>
      </c>
      <c r="CB229" s="1765">
        <v>0</v>
      </c>
      <c r="CC229" s="1765">
        <v>0</v>
      </c>
      <c r="CD229" s="1765">
        <v>0</v>
      </c>
      <c r="CE229" s="1765">
        <v>0</v>
      </c>
      <c r="CF229" s="1765">
        <v>0</v>
      </c>
      <c r="CG229" s="1765">
        <v>0</v>
      </c>
      <c r="CH229" s="1765">
        <v>0</v>
      </c>
      <c r="CI229" s="1765">
        <v>0</v>
      </c>
      <c r="CJ229" s="1765">
        <v>0</v>
      </c>
      <c r="CK229" s="1765">
        <v>0</v>
      </c>
      <c r="CL229" s="1765">
        <v>0</v>
      </c>
      <c r="CM229" s="1765">
        <v>0</v>
      </c>
      <c r="CN229" s="1765">
        <v>0</v>
      </c>
      <c r="CO229" s="1765">
        <v>0</v>
      </c>
      <c r="CP229" s="1765">
        <v>0</v>
      </c>
    </row>
    <row r="230" spans="1:94" ht="28.5" customHeight="1" x14ac:dyDescent="0.2">
      <c r="A230" s="1847"/>
      <c r="B230" s="1856"/>
      <c r="C230" s="652" t="s">
        <v>1122</v>
      </c>
      <c r="D230" s="936"/>
      <c r="E230" s="1879"/>
      <c r="F230" s="1225"/>
      <c r="G230" s="1765">
        <v>0</v>
      </c>
      <c r="H230" s="1765">
        <v>0</v>
      </c>
      <c r="I230" s="1765">
        <v>0</v>
      </c>
      <c r="J230" s="1765">
        <v>0</v>
      </c>
      <c r="K230" s="1765">
        <v>0</v>
      </c>
      <c r="L230" s="1765">
        <v>0</v>
      </c>
      <c r="M230" s="1765">
        <v>0</v>
      </c>
      <c r="N230" s="1765">
        <v>0</v>
      </c>
      <c r="O230" s="1765">
        <v>0</v>
      </c>
      <c r="P230" s="1765">
        <v>0</v>
      </c>
      <c r="Q230" s="1765">
        <v>0</v>
      </c>
      <c r="R230" s="1765">
        <v>0</v>
      </c>
      <c r="S230" s="1765">
        <v>0</v>
      </c>
      <c r="T230" s="1765">
        <v>0</v>
      </c>
      <c r="U230" s="1765">
        <v>0</v>
      </c>
      <c r="V230" s="1765">
        <v>0</v>
      </c>
      <c r="W230" s="1765">
        <v>0</v>
      </c>
      <c r="X230" s="1765">
        <v>0</v>
      </c>
      <c r="Y230" s="1765">
        <v>0</v>
      </c>
      <c r="Z230" s="1765">
        <v>0</v>
      </c>
      <c r="AA230" s="1765">
        <v>0</v>
      </c>
      <c r="AB230" s="1765">
        <v>0</v>
      </c>
      <c r="AC230" s="1765">
        <v>0</v>
      </c>
      <c r="AD230" s="1765">
        <v>0</v>
      </c>
      <c r="AE230" s="1765">
        <v>0</v>
      </c>
      <c r="AF230" s="1765">
        <v>0</v>
      </c>
      <c r="AG230" s="1765">
        <v>0</v>
      </c>
      <c r="AH230" s="1765">
        <v>0</v>
      </c>
      <c r="AI230" s="1765">
        <v>0</v>
      </c>
      <c r="AJ230" s="1765">
        <v>0</v>
      </c>
      <c r="AK230" s="1765">
        <v>0</v>
      </c>
      <c r="AL230" s="1765">
        <v>0</v>
      </c>
      <c r="AM230" s="1765">
        <v>0</v>
      </c>
      <c r="AN230" s="1765">
        <v>0</v>
      </c>
      <c r="AO230" s="1765">
        <v>0</v>
      </c>
      <c r="AP230" s="1765">
        <v>0</v>
      </c>
      <c r="AQ230" s="1765">
        <v>0</v>
      </c>
      <c r="AR230" s="1765">
        <v>0</v>
      </c>
      <c r="AS230" s="1765">
        <v>0</v>
      </c>
      <c r="AT230" s="1765">
        <v>0</v>
      </c>
      <c r="AU230" s="1765">
        <v>0</v>
      </c>
      <c r="AV230" s="1765">
        <v>0</v>
      </c>
      <c r="AW230" s="1765">
        <v>0</v>
      </c>
      <c r="AX230" s="1765">
        <v>0</v>
      </c>
      <c r="AY230" s="1765">
        <v>0</v>
      </c>
      <c r="AZ230" s="1765">
        <v>0</v>
      </c>
      <c r="BA230" s="1765">
        <v>0</v>
      </c>
      <c r="BB230" s="1765">
        <v>0</v>
      </c>
      <c r="BC230" s="1765">
        <v>0</v>
      </c>
      <c r="BD230" s="1765">
        <v>0</v>
      </c>
      <c r="BE230" s="1765">
        <v>0</v>
      </c>
      <c r="BF230" s="1765">
        <v>0</v>
      </c>
      <c r="BG230" s="1765">
        <v>0</v>
      </c>
      <c r="BH230" s="1765">
        <v>0</v>
      </c>
      <c r="BI230" s="1765">
        <v>0</v>
      </c>
      <c r="BJ230" s="1765">
        <v>0</v>
      </c>
      <c r="BK230" s="1765">
        <v>0</v>
      </c>
      <c r="BL230" s="1765">
        <v>0</v>
      </c>
      <c r="BM230" s="1765">
        <v>0</v>
      </c>
      <c r="BN230" s="1765">
        <v>0</v>
      </c>
      <c r="BO230" s="1765">
        <v>0</v>
      </c>
      <c r="BP230" s="1765">
        <v>0</v>
      </c>
      <c r="BQ230" s="1765">
        <v>0</v>
      </c>
      <c r="BR230" s="1765">
        <v>0</v>
      </c>
      <c r="BS230" s="1765">
        <v>0</v>
      </c>
      <c r="BT230" s="1765">
        <v>0</v>
      </c>
      <c r="BU230" s="1765">
        <v>0</v>
      </c>
      <c r="BV230" s="1765">
        <v>0</v>
      </c>
      <c r="BW230" s="1765">
        <v>0</v>
      </c>
      <c r="BX230" s="1765">
        <v>0</v>
      </c>
      <c r="BY230" s="1765">
        <v>0</v>
      </c>
      <c r="BZ230" s="1765">
        <v>0</v>
      </c>
      <c r="CA230" s="1765">
        <v>0</v>
      </c>
      <c r="CB230" s="1765">
        <v>0</v>
      </c>
      <c r="CC230" s="1765">
        <v>0</v>
      </c>
      <c r="CD230" s="1765">
        <v>0</v>
      </c>
      <c r="CE230" s="1765">
        <v>0</v>
      </c>
      <c r="CF230" s="1765">
        <v>0</v>
      </c>
      <c r="CG230" s="1765">
        <v>0</v>
      </c>
      <c r="CH230" s="1765">
        <v>0</v>
      </c>
      <c r="CI230" s="1765">
        <v>0</v>
      </c>
      <c r="CJ230" s="1765">
        <v>0</v>
      </c>
      <c r="CK230" s="1765">
        <v>0</v>
      </c>
      <c r="CL230" s="1765">
        <v>0</v>
      </c>
      <c r="CM230" s="1765">
        <v>0</v>
      </c>
      <c r="CN230" s="1765">
        <v>0</v>
      </c>
      <c r="CO230" s="1765">
        <v>0</v>
      </c>
      <c r="CP230" s="1765">
        <v>0</v>
      </c>
    </row>
    <row r="231" spans="1:94" ht="15" customHeight="1" x14ac:dyDescent="0.2">
      <c r="A231" s="1847"/>
      <c r="B231" s="1856"/>
      <c r="C231" s="652" t="s">
        <v>1121</v>
      </c>
      <c r="D231" s="936"/>
      <c r="E231" s="1879"/>
      <c r="F231" s="1225"/>
      <c r="G231" s="1765">
        <v>0</v>
      </c>
      <c r="H231" s="1765">
        <v>0</v>
      </c>
      <c r="I231" s="1765">
        <v>0</v>
      </c>
      <c r="J231" s="1765">
        <v>0</v>
      </c>
      <c r="K231" s="1765">
        <v>0</v>
      </c>
      <c r="L231" s="1765">
        <v>0</v>
      </c>
      <c r="M231" s="1765">
        <v>0</v>
      </c>
      <c r="N231" s="1765">
        <v>0</v>
      </c>
      <c r="O231" s="1765">
        <v>0</v>
      </c>
      <c r="P231" s="1765">
        <v>0</v>
      </c>
      <c r="Q231" s="1765">
        <v>0</v>
      </c>
      <c r="R231" s="1765">
        <v>0</v>
      </c>
      <c r="S231" s="1765">
        <v>0</v>
      </c>
      <c r="T231" s="1765">
        <v>0</v>
      </c>
      <c r="U231" s="1765">
        <v>0</v>
      </c>
      <c r="V231" s="1765">
        <v>0</v>
      </c>
      <c r="W231" s="1765">
        <v>0</v>
      </c>
      <c r="X231" s="1765">
        <v>0</v>
      </c>
      <c r="Y231" s="1765">
        <v>0</v>
      </c>
      <c r="Z231" s="1765">
        <v>0</v>
      </c>
      <c r="AA231" s="1765">
        <v>0</v>
      </c>
      <c r="AB231" s="1765">
        <v>0</v>
      </c>
      <c r="AC231" s="1765">
        <v>0</v>
      </c>
      <c r="AD231" s="1765">
        <v>0</v>
      </c>
      <c r="AE231" s="1765">
        <v>0</v>
      </c>
      <c r="AF231" s="1765">
        <v>0</v>
      </c>
      <c r="AG231" s="1765">
        <v>0</v>
      </c>
      <c r="AH231" s="1765">
        <v>0</v>
      </c>
      <c r="AI231" s="1765">
        <v>0</v>
      </c>
      <c r="AJ231" s="1765">
        <v>0</v>
      </c>
      <c r="AK231" s="1765">
        <v>0</v>
      </c>
      <c r="AL231" s="1765">
        <v>0</v>
      </c>
      <c r="AM231" s="1765">
        <v>0</v>
      </c>
      <c r="AN231" s="1765">
        <v>0</v>
      </c>
      <c r="AO231" s="1765">
        <v>0</v>
      </c>
      <c r="AP231" s="1765">
        <v>0</v>
      </c>
      <c r="AQ231" s="1765">
        <v>0</v>
      </c>
      <c r="AR231" s="1765">
        <v>0</v>
      </c>
      <c r="AS231" s="1765">
        <v>0</v>
      </c>
      <c r="AT231" s="1765">
        <v>0</v>
      </c>
      <c r="AU231" s="1765">
        <v>0</v>
      </c>
      <c r="AV231" s="1765">
        <v>0</v>
      </c>
      <c r="AW231" s="1765">
        <v>0</v>
      </c>
      <c r="AX231" s="1765">
        <v>0</v>
      </c>
      <c r="AY231" s="1765">
        <v>0</v>
      </c>
      <c r="AZ231" s="1765">
        <v>0</v>
      </c>
      <c r="BA231" s="1765">
        <v>0</v>
      </c>
      <c r="BB231" s="1765">
        <v>0</v>
      </c>
      <c r="BC231" s="1765">
        <v>0</v>
      </c>
      <c r="BD231" s="1765">
        <v>0</v>
      </c>
      <c r="BE231" s="1765">
        <v>0</v>
      </c>
      <c r="BF231" s="1765">
        <v>0</v>
      </c>
      <c r="BG231" s="1765">
        <v>0</v>
      </c>
      <c r="BH231" s="1765">
        <v>0</v>
      </c>
      <c r="BI231" s="1765">
        <v>0</v>
      </c>
      <c r="BJ231" s="1765">
        <v>0</v>
      </c>
      <c r="BK231" s="1765">
        <v>0</v>
      </c>
      <c r="BL231" s="1765">
        <v>0</v>
      </c>
      <c r="BM231" s="1765">
        <v>0</v>
      </c>
      <c r="BN231" s="1765">
        <v>0</v>
      </c>
      <c r="BO231" s="1765">
        <v>0</v>
      </c>
      <c r="BP231" s="1765">
        <v>0</v>
      </c>
      <c r="BQ231" s="1765">
        <v>0</v>
      </c>
      <c r="BR231" s="1765">
        <v>0</v>
      </c>
      <c r="BS231" s="1765">
        <v>0</v>
      </c>
      <c r="BT231" s="1765">
        <v>0</v>
      </c>
      <c r="BU231" s="1765">
        <v>0</v>
      </c>
      <c r="BV231" s="1765">
        <v>0</v>
      </c>
      <c r="BW231" s="1765">
        <v>0</v>
      </c>
      <c r="BX231" s="1765">
        <v>0</v>
      </c>
      <c r="BY231" s="1765">
        <v>0</v>
      </c>
      <c r="BZ231" s="1765">
        <v>0</v>
      </c>
      <c r="CA231" s="1765">
        <v>0</v>
      </c>
      <c r="CB231" s="1765">
        <v>0</v>
      </c>
      <c r="CC231" s="1765">
        <v>0</v>
      </c>
      <c r="CD231" s="1765">
        <v>0</v>
      </c>
      <c r="CE231" s="1765">
        <v>0</v>
      </c>
      <c r="CF231" s="1765">
        <v>0</v>
      </c>
      <c r="CG231" s="1765">
        <v>0</v>
      </c>
      <c r="CH231" s="1765">
        <v>0</v>
      </c>
      <c r="CI231" s="1765">
        <v>0</v>
      </c>
      <c r="CJ231" s="1765">
        <v>0</v>
      </c>
      <c r="CK231" s="1765">
        <v>0</v>
      </c>
      <c r="CL231" s="1765">
        <v>0</v>
      </c>
      <c r="CM231" s="1765">
        <v>0</v>
      </c>
      <c r="CN231" s="1765">
        <v>0</v>
      </c>
      <c r="CO231" s="1765">
        <v>0</v>
      </c>
      <c r="CP231" s="1765">
        <v>0</v>
      </c>
    </row>
    <row r="232" spans="1:94" ht="27" customHeight="1" thickBot="1" x14ac:dyDescent="0.25">
      <c r="A232" s="1848"/>
      <c r="B232" s="1857"/>
      <c r="C232" s="652" t="s">
        <v>2126</v>
      </c>
      <c r="D232" s="936"/>
      <c r="E232" s="1880"/>
      <c r="F232" s="1225"/>
      <c r="G232" s="1765">
        <v>0</v>
      </c>
      <c r="H232" s="1765">
        <v>0</v>
      </c>
      <c r="I232" s="1765">
        <v>0</v>
      </c>
      <c r="J232" s="1765">
        <v>0</v>
      </c>
      <c r="K232" s="1765">
        <v>0</v>
      </c>
      <c r="L232" s="1765">
        <v>0</v>
      </c>
      <c r="M232" s="1765">
        <v>0</v>
      </c>
      <c r="N232" s="1765">
        <v>0</v>
      </c>
      <c r="O232" s="1765">
        <v>0</v>
      </c>
      <c r="P232" s="1765">
        <v>0</v>
      </c>
      <c r="Q232" s="1765">
        <v>0</v>
      </c>
      <c r="R232" s="1765">
        <v>0</v>
      </c>
      <c r="S232" s="1765">
        <v>0</v>
      </c>
      <c r="T232" s="1765">
        <v>0</v>
      </c>
      <c r="U232" s="1765">
        <v>0</v>
      </c>
      <c r="V232" s="1765">
        <v>0</v>
      </c>
      <c r="W232" s="1765">
        <v>0</v>
      </c>
      <c r="X232" s="1765">
        <v>0</v>
      </c>
      <c r="Y232" s="1765">
        <v>0</v>
      </c>
      <c r="Z232" s="1765">
        <v>0</v>
      </c>
      <c r="AA232" s="1765">
        <v>0</v>
      </c>
      <c r="AB232" s="1765">
        <v>0</v>
      </c>
      <c r="AC232" s="1765">
        <v>0</v>
      </c>
      <c r="AD232" s="1765">
        <v>0</v>
      </c>
      <c r="AE232" s="1765">
        <v>0</v>
      </c>
      <c r="AF232" s="1765">
        <v>0</v>
      </c>
      <c r="AG232" s="1765">
        <v>0</v>
      </c>
      <c r="AH232" s="1765">
        <v>0</v>
      </c>
      <c r="AI232" s="1765">
        <v>0</v>
      </c>
      <c r="AJ232" s="1765">
        <v>0</v>
      </c>
      <c r="AK232" s="1765">
        <v>0</v>
      </c>
      <c r="AL232" s="1765">
        <v>0</v>
      </c>
      <c r="AM232" s="1765">
        <v>0</v>
      </c>
      <c r="AN232" s="1765">
        <v>0</v>
      </c>
      <c r="AO232" s="1765">
        <v>0</v>
      </c>
      <c r="AP232" s="1765">
        <v>0</v>
      </c>
      <c r="AQ232" s="1765">
        <v>0</v>
      </c>
      <c r="AR232" s="1765">
        <v>0</v>
      </c>
      <c r="AS232" s="1765">
        <v>0</v>
      </c>
      <c r="AT232" s="1765">
        <v>0</v>
      </c>
      <c r="AU232" s="1765">
        <v>0</v>
      </c>
      <c r="AV232" s="1765">
        <v>0</v>
      </c>
      <c r="AW232" s="1765">
        <v>0</v>
      </c>
      <c r="AX232" s="1765">
        <v>0</v>
      </c>
      <c r="AY232" s="1765">
        <v>0</v>
      </c>
      <c r="AZ232" s="1765">
        <v>0</v>
      </c>
      <c r="BA232" s="1765">
        <v>0</v>
      </c>
      <c r="BB232" s="1765">
        <v>0</v>
      </c>
      <c r="BC232" s="1765">
        <v>0</v>
      </c>
      <c r="BD232" s="1765">
        <v>0</v>
      </c>
      <c r="BE232" s="1765">
        <v>0</v>
      </c>
      <c r="BF232" s="1765">
        <v>0</v>
      </c>
      <c r="BG232" s="1765">
        <v>0</v>
      </c>
      <c r="BH232" s="1765">
        <v>0</v>
      </c>
      <c r="BI232" s="1765">
        <v>0</v>
      </c>
      <c r="BJ232" s="1765">
        <v>0</v>
      </c>
      <c r="BK232" s="1765">
        <v>0</v>
      </c>
      <c r="BL232" s="1765">
        <v>0</v>
      </c>
      <c r="BM232" s="1765">
        <v>0</v>
      </c>
      <c r="BN232" s="1765">
        <v>0</v>
      </c>
      <c r="BO232" s="1765">
        <v>0</v>
      </c>
      <c r="BP232" s="1765">
        <v>0</v>
      </c>
      <c r="BQ232" s="1765">
        <v>0</v>
      </c>
      <c r="BR232" s="1765">
        <v>0</v>
      </c>
      <c r="BS232" s="1765">
        <v>0</v>
      </c>
      <c r="BT232" s="1765">
        <v>0</v>
      </c>
      <c r="BU232" s="1765">
        <v>0</v>
      </c>
      <c r="BV232" s="1765">
        <v>0</v>
      </c>
      <c r="BW232" s="1765">
        <v>0</v>
      </c>
      <c r="BX232" s="1765">
        <v>0</v>
      </c>
      <c r="BY232" s="1765">
        <v>0</v>
      </c>
      <c r="BZ232" s="1765">
        <v>0</v>
      </c>
      <c r="CA232" s="1765">
        <v>0</v>
      </c>
      <c r="CB232" s="1765">
        <v>0</v>
      </c>
      <c r="CC232" s="1765">
        <v>0</v>
      </c>
      <c r="CD232" s="1765">
        <v>0</v>
      </c>
      <c r="CE232" s="1765">
        <v>0</v>
      </c>
      <c r="CF232" s="1765">
        <v>0</v>
      </c>
      <c r="CG232" s="1765">
        <v>0</v>
      </c>
      <c r="CH232" s="1765">
        <v>0</v>
      </c>
      <c r="CI232" s="1765">
        <v>0</v>
      </c>
      <c r="CJ232" s="1765">
        <v>0</v>
      </c>
      <c r="CK232" s="1765">
        <v>0</v>
      </c>
      <c r="CL232" s="1765">
        <v>0</v>
      </c>
      <c r="CM232" s="1765">
        <v>0</v>
      </c>
      <c r="CN232" s="1765">
        <v>0</v>
      </c>
      <c r="CO232" s="1765">
        <v>0</v>
      </c>
      <c r="CP232" s="1765">
        <v>0</v>
      </c>
    </row>
    <row r="233" spans="1:94" ht="68.25" customHeight="1" thickBot="1" x14ac:dyDescent="0.25">
      <c r="A233" s="1846" t="s">
        <v>248</v>
      </c>
      <c r="B233" s="1846" t="s">
        <v>631</v>
      </c>
      <c r="C233" s="1776" t="s">
        <v>2534</v>
      </c>
      <c r="D233" s="947"/>
      <c r="E233" s="1830" t="s">
        <v>2323</v>
      </c>
      <c r="F233" s="1225"/>
      <c r="G233" s="1742"/>
      <c r="H233" s="1742"/>
      <c r="I233" s="1742"/>
      <c r="J233" s="1742"/>
      <c r="K233" s="1742"/>
      <c r="L233" s="1742"/>
      <c r="M233" s="1742"/>
      <c r="N233" s="1742"/>
      <c r="O233" s="1742"/>
      <c r="P233" s="1742"/>
      <c r="Q233" s="1742"/>
      <c r="R233" s="1742"/>
      <c r="S233" s="1742"/>
      <c r="T233" s="1742"/>
      <c r="U233" s="1742"/>
      <c r="V233" s="1742"/>
      <c r="W233" s="1742"/>
      <c r="X233" s="1742"/>
      <c r="Y233" s="1742"/>
      <c r="Z233" s="1742"/>
      <c r="AA233" s="1742"/>
      <c r="AB233" s="1742"/>
      <c r="AC233" s="1742"/>
      <c r="AD233" s="1742"/>
      <c r="AE233" s="1742"/>
      <c r="AF233" s="1742"/>
      <c r="AG233" s="1742"/>
      <c r="AH233" s="1742"/>
      <c r="AI233" s="1742"/>
      <c r="AJ233" s="1742"/>
      <c r="AK233" s="1742"/>
      <c r="AL233" s="1742"/>
      <c r="AM233" s="1742"/>
      <c r="AN233" s="1742"/>
      <c r="AO233" s="1742"/>
      <c r="AP233" s="1742"/>
      <c r="AQ233" s="1742"/>
      <c r="AR233" s="1742"/>
      <c r="AS233" s="1742"/>
      <c r="AT233" s="1742"/>
      <c r="AU233" s="1742"/>
      <c r="AV233" s="1742"/>
      <c r="AW233" s="1742"/>
      <c r="AX233" s="1742"/>
      <c r="AY233" s="1742"/>
      <c r="AZ233" s="1742"/>
      <c r="BA233" s="1742"/>
      <c r="BB233" s="1742"/>
      <c r="BC233" s="1742"/>
      <c r="BD233" s="1742"/>
      <c r="BE233" s="1742"/>
      <c r="BF233" s="1742"/>
      <c r="BG233" s="1742"/>
      <c r="BH233" s="1742"/>
      <c r="BI233" s="1742"/>
      <c r="BJ233" s="1742"/>
      <c r="BK233" s="1742"/>
      <c r="BL233" s="1742"/>
      <c r="BM233" s="1742"/>
      <c r="BN233" s="1742"/>
      <c r="BO233" s="1742"/>
      <c r="BP233" s="1742"/>
      <c r="BQ233" s="1742"/>
      <c r="BR233" s="1742"/>
      <c r="BS233" s="1742"/>
      <c r="BT233" s="1742"/>
      <c r="BU233" s="1742"/>
      <c r="BV233" s="1742"/>
      <c r="BW233" s="1742"/>
      <c r="BX233" s="1742"/>
      <c r="BY233" s="1742"/>
      <c r="BZ233" s="1742"/>
      <c r="CA233" s="1742"/>
      <c r="CB233" s="1742"/>
      <c r="CC233" s="1742"/>
      <c r="CD233" s="1742"/>
      <c r="CE233" s="1742"/>
      <c r="CF233" s="1742"/>
      <c r="CG233" s="1742"/>
      <c r="CH233" s="1742"/>
      <c r="CI233" s="1742"/>
      <c r="CJ233" s="1742"/>
      <c r="CK233" s="1742"/>
      <c r="CL233" s="1742"/>
      <c r="CM233" s="1742"/>
      <c r="CN233" s="1742"/>
      <c r="CO233" s="1742"/>
      <c r="CP233" s="1742"/>
    </row>
    <row r="234" spans="1:94" ht="15" customHeight="1" x14ac:dyDescent="0.2">
      <c r="A234" s="1847"/>
      <c r="B234" s="1856"/>
      <c r="C234" s="655" t="s">
        <v>2127</v>
      </c>
      <c r="D234" s="936"/>
      <c r="E234" s="1831"/>
      <c r="F234" s="1225"/>
      <c r="G234" s="1767">
        <v>0</v>
      </c>
      <c r="H234" s="1767">
        <v>0</v>
      </c>
      <c r="I234" s="1767">
        <v>0</v>
      </c>
      <c r="J234" s="1767">
        <v>0</v>
      </c>
      <c r="K234" s="1767">
        <v>0</v>
      </c>
      <c r="L234" s="1767">
        <v>0</v>
      </c>
      <c r="M234" s="1767">
        <v>0</v>
      </c>
      <c r="N234" s="1767">
        <v>0</v>
      </c>
      <c r="O234" s="1767">
        <v>0</v>
      </c>
      <c r="P234" s="1767">
        <v>0</v>
      </c>
      <c r="Q234" s="1767">
        <v>0</v>
      </c>
      <c r="R234" s="1767">
        <v>0</v>
      </c>
      <c r="S234" s="1767">
        <v>0</v>
      </c>
      <c r="T234" s="1767">
        <v>0</v>
      </c>
      <c r="U234" s="1767">
        <v>0</v>
      </c>
      <c r="V234" s="1767">
        <v>0</v>
      </c>
      <c r="W234" s="1767">
        <v>0</v>
      </c>
      <c r="X234" s="1767">
        <v>0</v>
      </c>
      <c r="Y234" s="1767">
        <v>0</v>
      </c>
      <c r="Z234" s="1767">
        <v>0</v>
      </c>
      <c r="AA234" s="1767">
        <v>0</v>
      </c>
      <c r="AB234" s="1767">
        <v>0</v>
      </c>
      <c r="AC234" s="1767">
        <v>0</v>
      </c>
      <c r="AD234" s="1767">
        <v>0</v>
      </c>
      <c r="AE234" s="1767">
        <v>0</v>
      </c>
      <c r="AF234" s="1767">
        <v>0</v>
      </c>
      <c r="AG234" s="1767">
        <v>0</v>
      </c>
      <c r="AH234" s="1767">
        <v>0</v>
      </c>
      <c r="AI234" s="1767">
        <v>0</v>
      </c>
      <c r="AJ234" s="1767">
        <v>0</v>
      </c>
      <c r="AK234" s="1767">
        <v>0</v>
      </c>
      <c r="AL234" s="1767">
        <v>0</v>
      </c>
      <c r="AM234" s="1767">
        <v>0</v>
      </c>
      <c r="AN234" s="1767">
        <v>0</v>
      </c>
      <c r="AO234" s="1767">
        <v>0</v>
      </c>
      <c r="AP234" s="1767">
        <v>0</v>
      </c>
      <c r="AQ234" s="1767">
        <v>0</v>
      </c>
      <c r="AR234" s="1767">
        <v>0</v>
      </c>
      <c r="AS234" s="1767">
        <v>0</v>
      </c>
      <c r="AT234" s="1767">
        <v>0</v>
      </c>
      <c r="AU234" s="1767">
        <v>0</v>
      </c>
      <c r="AV234" s="1767">
        <v>0</v>
      </c>
      <c r="AW234" s="1767">
        <v>0</v>
      </c>
      <c r="AX234" s="1767">
        <v>0</v>
      </c>
      <c r="AY234" s="1767">
        <v>0</v>
      </c>
      <c r="AZ234" s="1767">
        <v>0</v>
      </c>
      <c r="BA234" s="1767">
        <v>0</v>
      </c>
      <c r="BB234" s="1767">
        <v>0</v>
      </c>
      <c r="BC234" s="1767">
        <v>0</v>
      </c>
      <c r="BD234" s="1767">
        <v>0</v>
      </c>
      <c r="BE234" s="1767">
        <v>0</v>
      </c>
      <c r="BF234" s="1767">
        <v>0</v>
      </c>
      <c r="BG234" s="1767">
        <v>0</v>
      </c>
      <c r="BH234" s="1767">
        <v>0</v>
      </c>
      <c r="BI234" s="1767">
        <v>0</v>
      </c>
      <c r="BJ234" s="1767">
        <v>0</v>
      </c>
      <c r="BK234" s="1767">
        <v>0</v>
      </c>
      <c r="BL234" s="1767">
        <v>0</v>
      </c>
      <c r="BM234" s="1767">
        <v>0</v>
      </c>
      <c r="BN234" s="1767">
        <v>0</v>
      </c>
      <c r="BO234" s="1767">
        <v>0</v>
      </c>
      <c r="BP234" s="1767">
        <v>0</v>
      </c>
      <c r="BQ234" s="1767">
        <v>0</v>
      </c>
      <c r="BR234" s="1767">
        <v>0</v>
      </c>
      <c r="BS234" s="1767">
        <v>0</v>
      </c>
      <c r="BT234" s="1767">
        <v>0</v>
      </c>
      <c r="BU234" s="1767">
        <v>0</v>
      </c>
      <c r="BV234" s="1767">
        <v>0</v>
      </c>
      <c r="BW234" s="1767">
        <v>0</v>
      </c>
      <c r="BX234" s="1767">
        <v>0</v>
      </c>
      <c r="BY234" s="1767">
        <v>0</v>
      </c>
      <c r="BZ234" s="1767">
        <v>0</v>
      </c>
      <c r="CA234" s="1767">
        <v>0</v>
      </c>
      <c r="CB234" s="1767">
        <v>0</v>
      </c>
      <c r="CC234" s="1767">
        <v>0</v>
      </c>
      <c r="CD234" s="1767">
        <v>0</v>
      </c>
      <c r="CE234" s="1767">
        <v>0</v>
      </c>
      <c r="CF234" s="1767">
        <v>0</v>
      </c>
      <c r="CG234" s="1767">
        <v>0</v>
      </c>
      <c r="CH234" s="1767">
        <v>0</v>
      </c>
      <c r="CI234" s="1767">
        <v>0</v>
      </c>
      <c r="CJ234" s="1767">
        <v>0</v>
      </c>
      <c r="CK234" s="1767">
        <v>0</v>
      </c>
      <c r="CL234" s="1767">
        <v>0</v>
      </c>
      <c r="CM234" s="1767">
        <v>0</v>
      </c>
      <c r="CN234" s="1767">
        <v>0</v>
      </c>
      <c r="CO234" s="1767">
        <v>0</v>
      </c>
      <c r="CP234" s="1767">
        <v>0</v>
      </c>
    </row>
    <row r="235" spans="1:94" ht="15" customHeight="1" x14ac:dyDescent="0.2">
      <c r="A235" s="1847"/>
      <c r="B235" s="1856"/>
      <c r="C235" s="656" t="s">
        <v>2128</v>
      </c>
      <c r="D235" s="936"/>
      <c r="E235" s="1831"/>
      <c r="F235" s="1225"/>
      <c r="G235" s="1767">
        <v>0</v>
      </c>
      <c r="H235" s="1767">
        <v>0</v>
      </c>
      <c r="I235" s="1767">
        <v>0</v>
      </c>
      <c r="J235" s="1767">
        <v>0</v>
      </c>
      <c r="K235" s="1767">
        <v>0</v>
      </c>
      <c r="L235" s="1767">
        <v>0</v>
      </c>
      <c r="M235" s="1767">
        <v>0</v>
      </c>
      <c r="N235" s="1767">
        <v>0</v>
      </c>
      <c r="O235" s="1767">
        <v>0</v>
      </c>
      <c r="P235" s="1767">
        <v>0</v>
      </c>
      <c r="Q235" s="1767">
        <v>0</v>
      </c>
      <c r="R235" s="1767">
        <v>0</v>
      </c>
      <c r="S235" s="1767">
        <v>0</v>
      </c>
      <c r="T235" s="1767">
        <v>0</v>
      </c>
      <c r="U235" s="1767">
        <v>0</v>
      </c>
      <c r="V235" s="1767">
        <v>0</v>
      </c>
      <c r="W235" s="1767">
        <v>0</v>
      </c>
      <c r="X235" s="1767">
        <v>0</v>
      </c>
      <c r="Y235" s="1767">
        <v>0</v>
      </c>
      <c r="Z235" s="1767">
        <v>0</v>
      </c>
      <c r="AA235" s="1767">
        <v>0</v>
      </c>
      <c r="AB235" s="1767">
        <v>0</v>
      </c>
      <c r="AC235" s="1767">
        <v>0</v>
      </c>
      <c r="AD235" s="1767">
        <v>0</v>
      </c>
      <c r="AE235" s="1767">
        <v>0</v>
      </c>
      <c r="AF235" s="1767">
        <v>0</v>
      </c>
      <c r="AG235" s="1767">
        <v>0</v>
      </c>
      <c r="AH235" s="1767">
        <v>0</v>
      </c>
      <c r="AI235" s="1767">
        <v>0</v>
      </c>
      <c r="AJ235" s="1767">
        <v>0</v>
      </c>
      <c r="AK235" s="1767">
        <v>0</v>
      </c>
      <c r="AL235" s="1767">
        <v>0</v>
      </c>
      <c r="AM235" s="1767">
        <v>0</v>
      </c>
      <c r="AN235" s="1767">
        <v>0</v>
      </c>
      <c r="AO235" s="1767">
        <v>0</v>
      </c>
      <c r="AP235" s="1767">
        <v>0</v>
      </c>
      <c r="AQ235" s="1767">
        <v>0</v>
      </c>
      <c r="AR235" s="1767">
        <v>0</v>
      </c>
      <c r="AS235" s="1767">
        <v>0</v>
      </c>
      <c r="AT235" s="1767">
        <v>0</v>
      </c>
      <c r="AU235" s="1767">
        <v>0</v>
      </c>
      <c r="AV235" s="1767">
        <v>0</v>
      </c>
      <c r="AW235" s="1767">
        <v>0</v>
      </c>
      <c r="AX235" s="1767">
        <v>0</v>
      </c>
      <c r="AY235" s="1767">
        <v>0</v>
      </c>
      <c r="AZ235" s="1767">
        <v>0</v>
      </c>
      <c r="BA235" s="1767">
        <v>0</v>
      </c>
      <c r="BB235" s="1767">
        <v>0</v>
      </c>
      <c r="BC235" s="1767">
        <v>0</v>
      </c>
      <c r="BD235" s="1767">
        <v>0</v>
      </c>
      <c r="BE235" s="1767">
        <v>0</v>
      </c>
      <c r="BF235" s="1767">
        <v>0</v>
      </c>
      <c r="BG235" s="1767">
        <v>0</v>
      </c>
      <c r="BH235" s="1767">
        <v>0</v>
      </c>
      <c r="BI235" s="1767">
        <v>0</v>
      </c>
      <c r="BJ235" s="1767">
        <v>0</v>
      </c>
      <c r="BK235" s="1767">
        <v>0</v>
      </c>
      <c r="BL235" s="1767">
        <v>0</v>
      </c>
      <c r="BM235" s="1767">
        <v>0</v>
      </c>
      <c r="BN235" s="1767">
        <v>0</v>
      </c>
      <c r="BO235" s="1767">
        <v>0</v>
      </c>
      <c r="BP235" s="1767">
        <v>0</v>
      </c>
      <c r="BQ235" s="1767">
        <v>0</v>
      </c>
      <c r="BR235" s="1767">
        <v>0</v>
      </c>
      <c r="BS235" s="1767">
        <v>0</v>
      </c>
      <c r="BT235" s="1767">
        <v>0</v>
      </c>
      <c r="BU235" s="1767">
        <v>0</v>
      </c>
      <c r="BV235" s="1767">
        <v>0</v>
      </c>
      <c r="BW235" s="1767">
        <v>0</v>
      </c>
      <c r="BX235" s="1767">
        <v>0</v>
      </c>
      <c r="BY235" s="1767">
        <v>0</v>
      </c>
      <c r="BZ235" s="1767">
        <v>0</v>
      </c>
      <c r="CA235" s="1767">
        <v>0</v>
      </c>
      <c r="CB235" s="1767">
        <v>0</v>
      </c>
      <c r="CC235" s="1767">
        <v>0</v>
      </c>
      <c r="CD235" s="1767">
        <v>0</v>
      </c>
      <c r="CE235" s="1767">
        <v>0</v>
      </c>
      <c r="CF235" s="1767">
        <v>0</v>
      </c>
      <c r="CG235" s="1767">
        <v>0</v>
      </c>
      <c r="CH235" s="1767">
        <v>0</v>
      </c>
      <c r="CI235" s="1767">
        <v>0</v>
      </c>
      <c r="CJ235" s="1767">
        <v>0</v>
      </c>
      <c r="CK235" s="1767">
        <v>0</v>
      </c>
      <c r="CL235" s="1767">
        <v>0</v>
      </c>
      <c r="CM235" s="1767">
        <v>0</v>
      </c>
      <c r="CN235" s="1767">
        <v>0</v>
      </c>
      <c r="CO235" s="1767">
        <v>0</v>
      </c>
      <c r="CP235" s="1767">
        <v>0</v>
      </c>
    </row>
    <row r="236" spans="1:94" ht="15" customHeight="1" x14ac:dyDescent="0.2">
      <c r="A236" s="1847"/>
      <c r="B236" s="1856"/>
      <c r="C236" s="656" t="s">
        <v>2129</v>
      </c>
      <c r="D236" s="936"/>
      <c r="E236" s="1831"/>
      <c r="F236" s="1225"/>
      <c r="G236" s="1767">
        <v>0</v>
      </c>
      <c r="H236" s="1767">
        <v>0</v>
      </c>
      <c r="I236" s="1767">
        <v>0</v>
      </c>
      <c r="J236" s="1767">
        <v>0</v>
      </c>
      <c r="K236" s="1767">
        <v>0</v>
      </c>
      <c r="L236" s="1767">
        <v>0</v>
      </c>
      <c r="M236" s="1767">
        <v>0</v>
      </c>
      <c r="N236" s="1767">
        <v>0</v>
      </c>
      <c r="O236" s="1767">
        <v>0</v>
      </c>
      <c r="P236" s="1767">
        <v>0</v>
      </c>
      <c r="Q236" s="1767">
        <v>0</v>
      </c>
      <c r="R236" s="1767">
        <v>0</v>
      </c>
      <c r="S236" s="1767">
        <v>0</v>
      </c>
      <c r="T236" s="1767">
        <v>0</v>
      </c>
      <c r="U236" s="1767">
        <v>0</v>
      </c>
      <c r="V236" s="1767">
        <v>0</v>
      </c>
      <c r="W236" s="1767">
        <v>0</v>
      </c>
      <c r="X236" s="1767">
        <v>0</v>
      </c>
      <c r="Y236" s="1767">
        <v>0</v>
      </c>
      <c r="Z236" s="1767">
        <v>0</v>
      </c>
      <c r="AA236" s="1767">
        <v>0</v>
      </c>
      <c r="AB236" s="1767">
        <v>0</v>
      </c>
      <c r="AC236" s="1767">
        <v>0</v>
      </c>
      <c r="AD236" s="1767">
        <v>0</v>
      </c>
      <c r="AE236" s="1767">
        <v>0</v>
      </c>
      <c r="AF236" s="1767">
        <v>0</v>
      </c>
      <c r="AG236" s="1767">
        <v>0</v>
      </c>
      <c r="AH236" s="1767">
        <v>0</v>
      </c>
      <c r="AI236" s="1767">
        <v>0</v>
      </c>
      <c r="AJ236" s="1767">
        <v>0</v>
      </c>
      <c r="AK236" s="1767">
        <v>0</v>
      </c>
      <c r="AL236" s="1767">
        <v>0</v>
      </c>
      <c r="AM236" s="1767">
        <v>0</v>
      </c>
      <c r="AN236" s="1767">
        <v>0</v>
      </c>
      <c r="AO236" s="1767">
        <v>0</v>
      </c>
      <c r="AP236" s="1767">
        <v>0</v>
      </c>
      <c r="AQ236" s="1767">
        <v>0</v>
      </c>
      <c r="AR236" s="1767">
        <v>0</v>
      </c>
      <c r="AS236" s="1767">
        <v>0</v>
      </c>
      <c r="AT236" s="1767">
        <v>0</v>
      </c>
      <c r="AU236" s="1767">
        <v>0</v>
      </c>
      <c r="AV236" s="1767">
        <v>0</v>
      </c>
      <c r="AW236" s="1767">
        <v>0</v>
      </c>
      <c r="AX236" s="1767">
        <v>0</v>
      </c>
      <c r="AY236" s="1767">
        <v>0</v>
      </c>
      <c r="AZ236" s="1767">
        <v>0</v>
      </c>
      <c r="BA236" s="1767">
        <v>0</v>
      </c>
      <c r="BB236" s="1767">
        <v>0</v>
      </c>
      <c r="BC236" s="1767">
        <v>0</v>
      </c>
      <c r="BD236" s="1767">
        <v>0</v>
      </c>
      <c r="BE236" s="1767">
        <v>0</v>
      </c>
      <c r="BF236" s="1767">
        <v>0</v>
      </c>
      <c r="BG236" s="1767">
        <v>0</v>
      </c>
      <c r="BH236" s="1767">
        <v>0</v>
      </c>
      <c r="BI236" s="1767">
        <v>0</v>
      </c>
      <c r="BJ236" s="1767">
        <v>0</v>
      </c>
      <c r="BK236" s="1767">
        <v>0</v>
      </c>
      <c r="BL236" s="1767">
        <v>0</v>
      </c>
      <c r="BM236" s="1767">
        <v>0</v>
      </c>
      <c r="BN236" s="1767">
        <v>0</v>
      </c>
      <c r="BO236" s="1767">
        <v>0</v>
      </c>
      <c r="BP236" s="1767">
        <v>0</v>
      </c>
      <c r="BQ236" s="1767">
        <v>0</v>
      </c>
      <c r="BR236" s="1767">
        <v>0</v>
      </c>
      <c r="BS236" s="1767">
        <v>0</v>
      </c>
      <c r="BT236" s="1767">
        <v>0</v>
      </c>
      <c r="BU236" s="1767">
        <v>0</v>
      </c>
      <c r="BV236" s="1767">
        <v>0</v>
      </c>
      <c r="BW236" s="1767">
        <v>0</v>
      </c>
      <c r="BX236" s="1767">
        <v>0</v>
      </c>
      <c r="BY236" s="1767">
        <v>0</v>
      </c>
      <c r="BZ236" s="1767">
        <v>0</v>
      </c>
      <c r="CA236" s="1767">
        <v>0</v>
      </c>
      <c r="CB236" s="1767">
        <v>0</v>
      </c>
      <c r="CC236" s="1767">
        <v>0</v>
      </c>
      <c r="CD236" s="1767">
        <v>0</v>
      </c>
      <c r="CE236" s="1767">
        <v>0</v>
      </c>
      <c r="CF236" s="1767">
        <v>0</v>
      </c>
      <c r="CG236" s="1767">
        <v>0</v>
      </c>
      <c r="CH236" s="1767">
        <v>0</v>
      </c>
      <c r="CI236" s="1767">
        <v>0</v>
      </c>
      <c r="CJ236" s="1767">
        <v>0</v>
      </c>
      <c r="CK236" s="1767">
        <v>0</v>
      </c>
      <c r="CL236" s="1767">
        <v>0</v>
      </c>
      <c r="CM236" s="1767">
        <v>0</v>
      </c>
      <c r="CN236" s="1767">
        <v>0</v>
      </c>
      <c r="CO236" s="1767">
        <v>0</v>
      </c>
      <c r="CP236" s="1767">
        <v>0</v>
      </c>
    </row>
    <row r="237" spans="1:94" ht="29.25" customHeight="1" x14ac:dyDescent="0.2">
      <c r="A237" s="1847"/>
      <c r="B237" s="1856"/>
      <c r="C237" s="656" t="s">
        <v>2365</v>
      </c>
      <c r="D237" s="936"/>
      <c r="E237" s="1831"/>
      <c r="F237" s="1225"/>
      <c r="G237" s="1767">
        <v>0</v>
      </c>
      <c r="H237" s="1767">
        <v>0</v>
      </c>
      <c r="I237" s="1767">
        <v>0</v>
      </c>
      <c r="J237" s="1767">
        <v>0</v>
      </c>
      <c r="K237" s="1767">
        <v>0</v>
      </c>
      <c r="L237" s="1767">
        <v>0</v>
      </c>
      <c r="M237" s="1767">
        <v>0</v>
      </c>
      <c r="N237" s="1767">
        <v>0</v>
      </c>
      <c r="O237" s="1767">
        <v>0</v>
      </c>
      <c r="P237" s="1767">
        <v>0</v>
      </c>
      <c r="Q237" s="1767">
        <v>0</v>
      </c>
      <c r="R237" s="1767">
        <v>0</v>
      </c>
      <c r="S237" s="1767">
        <v>0</v>
      </c>
      <c r="T237" s="1767">
        <v>0</v>
      </c>
      <c r="U237" s="1767">
        <v>0</v>
      </c>
      <c r="V237" s="1767">
        <v>0</v>
      </c>
      <c r="W237" s="1767">
        <v>0</v>
      </c>
      <c r="X237" s="1767">
        <v>0</v>
      </c>
      <c r="Y237" s="1767">
        <v>0</v>
      </c>
      <c r="Z237" s="1767">
        <v>0</v>
      </c>
      <c r="AA237" s="1767">
        <v>0</v>
      </c>
      <c r="AB237" s="1767">
        <v>0</v>
      </c>
      <c r="AC237" s="1767">
        <v>0</v>
      </c>
      <c r="AD237" s="1767">
        <v>0</v>
      </c>
      <c r="AE237" s="1767">
        <v>0</v>
      </c>
      <c r="AF237" s="1767">
        <v>0</v>
      </c>
      <c r="AG237" s="1767">
        <v>0</v>
      </c>
      <c r="AH237" s="1767">
        <v>0</v>
      </c>
      <c r="AI237" s="1767">
        <v>0</v>
      </c>
      <c r="AJ237" s="1767">
        <v>0</v>
      </c>
      <c r="AK237" s="1767">
        <v>0</v>
      </c>
      <c r="AL237" s="1767">
        <v>0</v>
      </c>
      <c r="AM237" s="1767">
        <v>0</v>
      </c>
      <c r="AN237" s="1767">
        <v>0</v>
      </c>
      <c r="AO237" s="1767">
        <v>0</v>
      </c>
      <c r="AP237" s="1767">
        <v>0</v>
      </c>
      <c r="AQ237" s="1767">
        <v>0</v>
      </c>
      <c r="AR237" s="1767">
        <v>0</v>
      </c>
      <c r="AS237" s="1767">
        <v>0</v>
      </c>
      <c r="AT237" s="1767">
        <v>0</v>
      </c>
      <c r="AU237" s="1767">
        <v>0</v>
      </c>
      <c r="AV237" s="1767">
        <v>0</v>
      </c>
      <c r="AW237" s="1767">
        <v>0</v>
      </c>
      <c r="AX237" s="1767">
        <v>0</v>
      </c>
      <c r="AY237" s="1767">
        <v>0</v>
      </c>
      <c r="AZ237" s="1767">
        <v>0</v>
      </c>
      <c r="BA237" s="1767">
        <v>0</v>
      </c>
      <c r="BB237" s="1767">
        <v>0</v>
      </c>
      <c r="BC237" s="1767">
        <v>0</v>
      </c>
      <c r="BD237" s="1767">
        <v>0</v>
      </c>
      <c r="BE237" s="1767">
        <v>0</v>
      </c>
      <c r="BF237" s="1767">
        <v>0</v>
      </c>
      <c r="BG237" s="1767">
        <v>0</v>
      </c>
      <c r="BH237" s="1767">
        <v>0</v>
      </c>
      <c r="BI237" s="1767">
        <v>0</v>
      </c>
      <c r="BJ237" s="1767">
        <v>0</v>
      </c>
      <c r="BK237" s="1767">
        <v>0</v>
      </c>
      <c r="BL237" s="1767">
        <v>0</v>
      </c>
      <c r="BM237" s="1767">
        <v>0</v>
      </c>
      <c r="BN237" s="1767">
        <v>0</v>
      </c>
      <c r="BO237" s="1767">
        <v>0</v>
      </c>
      <c r="BP237" s="1767">
        <v>0</v>
      </c>
      <c r="BQ237" s="1767">
        <v>0</v>
      </c>
      <c r="BR237" s="1767">
        <v>0</v>
      </c>
      <c r="BS237" s="1767">
        <v>0</v>
      </c>
      <c r="BT237" s="1767">
        <v>0</v>
      </c>
      <c r="BU237" s="1767">
        <v>0</v>
      </c>
      <c r="BV237" s="1767">
        <v>0</v>
      </c>
      <c r="BW237" s="1767">
        <v>0</v>
      </c>
      <c r="BX237" s="1767">
        <v>0</v>
      </c>
      <c r="BY237" s="1767">
        <v>0</v>
      </c>
      <c r="BZ237" s="1767">
        <v>0</v>
      </c>
      <c r="CA237" s="1767">
        <v>0</v>
      </c>
      <c r="CB237" s="1767">
        <v>0</v>
      </c>
      <c r="CC237" s="1767">
        <v>0</v>
      </c>
      <c r="CD237" s="1767">
        <v>0</v>
      </c>
      <c r="CE237" s="1767">
        <v>0</v>
      </c>
      <c r="CF237" s="1767">
        <v>0</v>
      </c>
      <c r="CG237" s="1767">
        <v>0</v>
      </c>
      <c r="CH237" s="1767">
        <v>0</v>
      </c>
      <c r="CI237" s="1767">
        <v>0</v>
      </c>
      <c r="CJ237" s="1767">
        <v>0</v>
      </c>
      <c r="CK237" s="1767">
        <v>0</v>
      </c>
      <c r="CL237" s="1767">
        <v>0</v>
      </c>
      <c r="CM237" s="1767">
        <v>0</v>
      </c>
      <c r="CN237" s="1767">
        <v>0</v>
      </c>
      <c r="CO237" s="1767">
        <v>0</v>
      </c>
      <c r="CP237" s="1767">
        <v>0</v>
      </c>
    </row>
    <row r="238" spans="1:94" ht="28.5" customHeight="1" thickBot="1" x14ac:dyDescent="0.25">
      <c r="A238" s="1848"/>
      <c r="B238" s="1857"/>
      <c r="C238" s="654" t="s">
        <v>2366</v>
      </c>
      <c r="D238" s="936"/>
      <c r="E238" s="1832"/>
      <c r="F238" s="1225"/>
      <c r="G238" s="1767">
        <v>0</v>
      </c>
      <c r="H238" s="1767">
        <v>0</v>
      </c>
      <c r="I238" s="1767">
        <v>0</v>
      </c>
      <c r="J238" s="1767">
        <v>0</v>
      </c>
      <c r="K238" s="1767">
        <v>0</v>
      </c>
      <c r="L238" s="1767">
        <v>0</v>
      </c>
      <c r="M238" s="1767">
        <v>0</v>
      </c>
      <c r="N238" s="1767">
        <v>0</v>
      </c>
      <c r="O238" s="1767">
        <v>0</v>
      </c>
      <c r="P238" s="1767">
        <v>0</v>
      </c>
      <c r="Q238" s="1767">
        <v>0</v>
      </c>
      <c r="R238" s="1767">
        <v>0</v>
      </c>
      <c r="S238" s="1767">
        <v>0</v>
      </c>
      <c r="T238" s="1767">
        <v>0</v>
      </c>
      <c r="U238" s="1767">
        <v>0</v>
      </c>
      <c r="V238" s="1767">
        <v>0</v>
      </c>
      <c r="W238" s="1767">
        <v>0</v>
      </c>
      <c r="X238" s="1767">
        <v>0</v>
      </c>
      <c r="Y238" s="1767">
        <v>0</v>
      </c>
      <c r="Z238" s="1767">
        <v>0</v>
      </c>
      <c r="AA238" s="1767">
        <v>0</v>
      </c>
      <c r="AB238" s="1767">
        <v>0</v>
      </c>
      <c r="AC238" s="1767">
        <v>0</v>
      </c>
      <c r="AD238" s="1767">
        <v>0</v>
      </c>
      <c r="AE238" s="1767">
        <v>0</v>
      </c>
      <c r="AF238" s="1767">
        <v>0</v>
      </c>
      <c r="AG238" s="1767">
        <v>0</v>
      </c>
      <c r="AH238" s="1767">
        <v>0</v>
      </c>
      <c r="AI238" s="1767">
        <v>0</v>
      </c>
      <c r="AJ238" s="1767">
        <v>0</v>
      </c>
      <c r="AK238" s="1767">
        <v>0</v>
      </c>
      <c r="AL238" s="1767">
        <v>0</v>
      </c>
      <c r="AM238" s="1767">
        <v>0</v>
      </c>
      <c r="AN238" s="1767">
        <v>0</v>
      </c>
      <c r="AO238" s="1767">
        <v>0</v>
      </c>
      <c r="AP238" s="1767">
        <v>0</v>
      </c>
      <c r="AQ238" s="1767">
        <v>0</v>
      </c>
      <c r="AR238" s="1767">
        <v>0</v>
      </c>
      <c r="AS238" s="1767">
        <v>0</v>
      </c>
      <c r="AT238" s="1767">
        <v>0</v>
      </c>
      <c r="AU238" s="1767">
        <v>0</v>
      </c>
      <c r="AV238" s="1767">
        <v>0</v>
      </c>
      <c r="AW238" s="1767">
        <v>0</v>
      </c>
      <c r="AX238" s="1767">
        <v>0</v>
      </c>
      <c r="AY238" s="1767">
        <v>0</v>
      </c>
      <c r="AZ238" s="1767">
        <v>0</v>
      </c>
      <c r="BA238" s="1767">
        <v>0</v>
      </c>
      <c r="BB238" s="1767">
        <v>0</v>
      </c>
      <c r="BC238" s="1767">
        <v>0</v>
      </c>
      <c r="BD238" s="1767">
        <v>0</v>
      </c>
      <c r="BE238" s="1767">
        <v>0</v>
      </c>
      <c r="BF238" s="1767">
        <v>0</v>
      </c>
      <c r="BG238" s="1767">
        <v>0</v>
      </c>
      <c r="BH238" s="1767">
        <v>0</v>
      </c>
      <c r="BI238" s="1767">
        <v>0</v>
      </c>
      <c r="BJ238" s="1767">
        <v>0</v>
      </c>
      <c r="BK238" s="1767">
        <v>0</v>
      </c>
      <c r="BL238" s="1767">
        <v>0</v>
      </c>
      <c r="BM238" s="1767">
        <v>0</v>
      </c>
      <c r="BN238" s="1767">
        <v>0</v>
      </c>
      <c r="BO238" s="1767">
        <v>0</v>
      </c>
      <c r="BP238" s="1767">
        <v>0</v>
      </c>
      <c r="BQ238" s="1767">
        <v>0</v>
      </c>
      <c r="BR238" s="1767">
        <v>0</v>
      </c>
      <c r="BS238" s="1767">
        <v>0</v>
      </c>
      <c r="BT238" s="1767">
        <v>0</v>
      </c>
      <c r="BU238" s="1767">
        <v>0</v>
      </c>
      <c r="BV238" s="1767">
        <v>0</v>
      </c>
      <c r="BW238" s="1767">
        <v>0</v>
      </c>
      <c r="BX238" s="1767">
        <v>0</v>
      </c>
      <c r="BY238" s="1767">
        <v>0</v>
      </c>
      <c r="BZ238" s="1767">
        <v>0</v>
      </c>
      <c r="CA238" s="1767">
        <v>0</v>
      </c>
      <c r="CB238" s="1767">
        <v>0</v>
      </c>
      <c r="CC238" s="1767">
        <v>0</v>
      </c>
      <c r="CD238" s="1767">
        <v>0</v>
      </c>
      <c r="CE238" s="1767">
        <v>0</v>
      </c>
      <c r="CF238" s="1767">
        <v>0</v>
      </c>
      <c r="CG238" s="1767">
        <v>0</v>
      </c>
      <c r="CH238" s="1767">
        <v>0</v>
      </c>
      <c r="CI238" s="1767">
        <v>0</v>
      </c>
      <c r="CJ238" s="1767">
        <v>0</v>
      </c>
      <c r="CK238" s="1767">
        <v>0</v>
      </c>
      <c r="CL238" s="1767">
        <v>0</v>
      </c>
      <c r="CM238" s="1767">
        <v>0</v>
      </c>
      <c r="CN238" s="1767">
        <v>0</v>
      </c>
      <c r="CO238" s="1767">
        <v>0</v>
      </c>
      <c r="CP238" s="1767">
        <v>0</v>
      </c>
    </row>
    <row r="239" spans="1:94" ht="21" customHeight="1" thickBot="1" x14ac:dyDescent="0.25">
      <c r="A239" s="1849" t="s">
        <v>26</v>
      </c>
      <c r="B239" s="1846" t="s">
        <v>71</v>
      </c>
      <c r="C239" s="1777" t="s">
        <v>2535</v>
      </c>
      <c r="D239" s="947"/>
      <c r="E239" s="1843" t="s">
        <v>1831</v>
      </c>
      <c r="F239" s="1225"/>
      <c r="G239" s="1742"/>
      <c r="H239" s="1742"/>
      <c r="I239" s="1742"/>
      <c r="J239" s="1742"/>
      <c r="K239" s="1742"/>
      <c r="L239" s="1742"/>
      <c r="M239" s="1742"/>
      <c r="N239" s="1742"/>
      <c r="O239" s="1742"/>
      <c r="P239" s="1742"/>
      <c r="Q239" s="1742"/>
      <c r="R239" s="1742"/>
      <c r="S239" s="1742"/>
      <c r="T239" s="1742"/>
      <c r="U239" s="1742"/>
      <c r="V239" s="1742"/>
      <c r="W239" s="1742"/>
      <c r="X239" s="1742"/>
      <c r="Y239" s="1742"/>
      <c r="Z239" s="1742"/>
      <c r="AA239" s="1742"/>
      <c r="AB239" s="1742"/>
      <c r="AC239" s="1742"/>
      <c r="AD239" s="1742"/>
      <c r="AE239" s="1742"/>
      <c r="AF239" s="1742"/>
      <c r="AG239" s="1742"/>
      <c r="AH239" s="1742"/>
      <c r="AI239" s="1742"/>
      <c r="AJ239" s="1742"/>
      <c r="AK239" s="1742"/>
      <c r="AL239" s="1742"/>
      <c r="AM239" s="1742"/>
      <c r="AN239" s="1742"/>
      <c r="AO239" s="1742"/>
      <c r="AP239" s="1742"/>
      <c r="AQ239" s="1742"/>
      <c r="AR239" s="1742"/>
      <c r="AS239" s="1742"/>
      <c r="AT239" s="1742"/>
      <c r="AU239" s="1742"/>
      <c r="AV239" s="1742"/>
      <c r="AW239" s="1742"/>
      <c r="AX239" s="1742"/>
      <c r="AY239" s="1742"/>
      <c r="AZ239" s="1742"/>
      <c r="BA239" s="1742"/>
      <c r="BB239" s="1742"/>
      <c r="BC239" s="1742"/>
      <c r="BD239" s="1742"/>
      <c r="BE239" s="1742"/>
      <c r="BF239" s="1742"/>
      <c r="BG239" s="1742"/>
      <c r="BH239" s="1742"/>
      <c r="BI239" s="1742"/>
      <c r="BJ239" s="1742"/>
      <c r="BK239" s="1742"/>
      <c r="BL239" s="1742"/>
      <c r="BM239" s="1742"/>
      <c r="BN239" s="1742"/>
      <c r="BO239" s="1742"/>
      <c r="BP239" s="1742"/>
      <c r="BQ239" s="1742"/>
      <c r="BR239" s="1742"/>
      <c r="BS239" s="1742"/>
      <c r="BT239" s="1742"/>
      <c r="BU239" s="1742"/>
      <c r="BV239" s="1742"/>
      <c r="BW239" s="1742"/>
      <c r="BX239" s="1742"/>
      <c r="BY239" s="1742"/>
      <c r="BZ239" s="1742"/>
      <c r="CA239" s="1742"/>
      <c r="CB239" s="1742"/>
      <c r="CC239" s="1742"/>
      <c r="CD239" s="1742"/>
      <c r="CE239" s="1742"/>
      <c r="CF239" s="1742"/>
      <c r="CG239" s="1742"/>
      <c r="CH239" s="1742"/>
      <c r="CI239" s="1742"/>
      <c r="CJ239" s="1742"/>
      <c r="CK239" s="1742"/>
      <c r="CL239" s="1742"/>
      <c r="CM239" s="1742"/>
      <c r="CN239" s="1742"/>
      <c r="CO239" s="1742"/>
      <c r="CP239" s="1742"/>
    </row>
    <row r="240" spans="1:94" ht="27" customHeight="1" x14ac:dyDescent="0.2">
      <c r="A240" s="1847"/>
      <c r="B240" s="1856"/>
      <c r="C240" s="649" t="s">
        <v>632</v>
      </c>
      <c r="D240" s="936"/>
      <c r="E240" s="1844"/>
      <c r="F240" s="1225"/>
      <c r="G240" s="1767">
        <v>0</v>
      </c>
      <c r="H240" s="1767">
        <v>0</v>
      </c>
      <c r="I240" s="1767">
        <v>0</v>
      </c>
      <c r="J240" s="1767">
        <v>0</v>
      </c>
      <c r="K240" s="1767">
        <v>0</v>
      </c>
      <c r="L240" s="1767">
        <v>0</v>
      </c>
      <c r="M240" s="1767">
        <v>0</v>
      </c>
      <c r="N240" s="1767">
        <v>0</v>
      </c>
      <c r="O240" s="1767">
        <v>0</v>
      </c>
      <c r="P240" s="1767">
        <v>0</v>
      </c>
      <c r="Q240" s="1767">
        <v>0</v>
      </c>
      <c r="R240" s="1767">
        <v>0</v>
      </c>
      <c r="S240" s="1767">
        <v>0</v>
      </c>
      <c r="T240" s="1767">
        <v>0</v>
      </c>
      <c r="U240" s="1767">
        <v>0</v>
      </c>
      <c r="V240" s="1767">
        <v>0</v>
      </c>
      <c r="W240" s="1767">
        <v>0</v>
      </c>
      <c r="X240" s="1767">
        <v>0</v>
      </c>
      <c r="Y240" s="1767">
        <v>0</v>
      </c>
      <c r="Z240" s="1767">
        <v>0</v>
      </c>
      <c r="AA240" s="1767">
        <v>0</v>
      </c>
      <c r="AB240" s="1767">
        <v>0</v>
      </c>
      <c r="AC240" s="1767">
        <v>0</v>
      </c>
      <c r="AD240" s="1767">
        <v>0</v>
      </c>
      <c r="AE240" s="1767">
        <v>0</v>
      </c>
      <c r="AF240" s="1767">
        <v>0</v>
      </c>
      <c r="AG240" s="1767">
        <v>0</v>
      </c>
      <c r="AH240" s="1767">
        <v>0</v>
      </c>
      <c r="AI240" s="1767">
        <v>0</v>
      </c>
      <c r="AJ240" s="1767">
        <v>0</v>
      </c>
      <c r="AK240" s="1767">
        <v>0</v>
      </c>
      <c r="AL240" s="1767">
        <v>0</v>
      </c>
      <c r="AM240" s="1767">
        <v>0</v>
      </c>
      <c r="AN240" s="1767">
        <v>0</v>
      </c>
      <c r="AO240" s="1767">
        <v>0</v>
      </c>
      <c r="AP240" s="1767">
        <v>0</v>
      </c>
      <c r="AQ240" s="1767">
        <v>0</v>
      </c>
      <c r="AR240" s="1767">
        <v>0</v>
      </c>
      <c r="AS240" s="1767">
        <v>0</v>
      </c>
      <c r="AT240" s="1767">
        <v>0</v>
      </c>
      <c r="AU240" s="1767">
        <v>0</v>
      </c>
      <c r="AV240" s="1767">
        <v>0</v>
      </c>
      <c r="AW240" s="1767">
        <v>0</v>
      </c>
      <c r="AX240" s="1767">
        <v>0</v>
      </c>
      <c r="AY240" s="1767">
        <v>0</v>
      </c>
      <c r="AZ240" s="1767">
        <v>0</v>
      </c>
      <c r="BA240" s="1767">
        <v>0</v>
      </c>
      <c r="BB240" s="1767">
        <v>0</v>
      </c>
      <c r="BC240" s="1767">
        <v>0</v>
      </c>
      <c r="BD240" s="1767">
        <v>0</v>
      </c>
      <c r="BE240" s="1767">
        <v>0</v>
      </c>
      <c r="BF240" s="1767">
        <v>0</v>
      </c>
      <c r="BG240" s="1767">
        <v>0</v>
      </c>
      <c r="BH240" s="1767">
        <v>0</v>
      </c>
      <c r="BI240" s="1767">
        <v>0</v>
      </c>
      <c r="BJ240" s="1767">
        <v>0</v>
      </c>
      <c r="BK240" s="1767">
        <v>0</v>
      </c>
      <c r="BL240" s="1767">
        <v>0</v>
      </c>
      <c r="BM240" s="1767">
        <v>0</v>
      </c>
      <c r="BN240" s="1767">
        <v>0</v>
      </c>
      <c r="BO240" s="1767">
        <v>0</v>
      </c>
      <c r="BP240" s="1767">
        <v>0</v>
      </c>
      <c r="BQ240" s="1767">
        <v>0</v>
      </c>
      <c r="BR240" s="1767">
        <v>0</v>
      </c>
      <c r="BS240" s="1767">
        <v>0</v>
      </c>
      <c r="BT240" s="1767">
        <v>0</v>
      </c>
      <c r="BU240" s="1767">
        <v>0</v>
      </c>
      <c r="BV240" s="1767">
        <v>0</v>
      </c>
      <c r="BW240" s="1767">
        <v>0</v>
      </c>
      <c r="BX240" s="1767">
        <v>0</v>
      </c>
      <c r="BY240" s="1767">
        <v>0</v>
      </c>
      <c r="BZ240" s="1767">
        <v>0</v>
      </c>
      <c r="CA240" s="1767">
        <v>0</v>
      </c>
      <c r="CB240" s="1767">
        <v>0</v>
      </c>
      <c r="CC240" s="1767">
        <v>0</v>
      </c>
      <c r="CD240" s="1767">
        <v>0</v>
      </c>
      <c r="CE240" s="1767">
        <v>0</v>
      </c>
      <c r="CF240" s="1767">
        <v>0</v>
      </c>
      <c r="CG240" s="1767">
        <v>0</v>
      </c>
      <c r="CH240" s="1767">
        <v>0</v>
      </c>
      <c r="CI240" s="1767">
        <v>0</v>
      </c>
      <c r="CJ240" s="1767">
        <v>0</v>
      </c>
      <c r="CK240" s="1767">
        <v>0</v>
      </c>
      <c r="CL240" s="1767">
        <v>0</v>
      </c>
      <c r="CM240" s="1767">
        <v>0</v>
      </c>
      <c r="CN240" s="1767">
        <v>0</v>
      </c>
      <c r="CO240" s="1767">
        <v>0</v>
      </c>
      <c r="CP240" s="1767">
        <v>0</v>
      </c>
    </row>
    <row r="241" spans="1:94" ht="15" customHeight="1" x14ac:dyDescent="0.2">
      <c r="A241" s="1847"/>
      <c r="B241" s="1856"/>
      <c r="C241" s="851" t="s">
        <v>1706</v>
      </c>
      <c r="D241" s="936"/>
      <c r="E241" s="1844"/>
      <c r="F241" s="1225"/>
      <c r="G241" s="1767">
        <v>0</v>
      </c>
      <c r="H241" s="1767">
        <v>0</v>
      </c>
      <c r="I241" s="1767">
        <v>0</v>
      </c>
      <c r="J241" s="1767">
        <v>0</v>
      </c>
      <c r="K241" s="1767">
        <v>0</v>
      </c>
      <c r="L241" s="1767">
        <v>0</v>
      </c>
      <c r="M241" s="1767">
        <v>0</v>
      </c>
      <c r="N241" s="1767">
        <v>0</v>
      </c>
      <c r="O241" s="1767">
        <v>0</v>
      </c>
      <c r="P241" s="1767">
        <v>0</v>
      </c>
      <c r="Q241" s="1767">
        <v>0</v>
      </c>
      <c r="R241" s="1767">
        <v>0</v>
      </c>
      <c r="S241" s="1767">
        <v>0</v>
      </c>
      <c r="T241" s="1767">
        <v>0</v>
      </c>
      <c r="U241" s="1767">
        <v>0</v>
      </c>
      <c r="V241" s="1767">
        <v>0</v>
      </c>
      <c r="W241" s="1767">
        <v>0</v>
      </c>
      <c r="X241" s="1767">
        <v>0</v>
      </c>
      <c r="Y241" s="1767">
        <v>0</v>
      </c>
      <c r="Z241" s="1767">
        <v>0</v>
      </c>
      <c r="AA241" s="1767">
        <v>0</v>
      </c>
      <c r="AB241" s="1767">
        <v>0</v>
      </c>
      <c r="AC241" s="1767">
        <v>0</v>
      </c>
      <c r="AD241" s="1767">
        <v>0</v>
      </c>
      <c r="AE241" s="1767">
        <v>0</v>
      </c>
      <c r="AF241" s="1767">
        <v>0</v>
      </c>
      <c r="AG241" s="1767">
        <v>0</v>
      </c>
      <c r="AH241" s="1767">
        <v>0</v>
      </c>
      <c r="AI241" s="1767">
        <v>0</v>
      </c>
      <c r="AJ241" s="1767">
        <v>0</v>
      </c>
      <c r="AK241" s="1767">
        <v>0</v>
      </c>
      <c r="AL241" s="1767">
        <v>0</v>
      </c>
      <c r="AM241" s="1767">
        <v>0</v>
      </c>
      <c r="AN241" s="1767">
        <v>0</v>
      </c>
      <c r="AO241" s="1767">
        <v>0</v>
      </c>
      <c r="AP241" s="1767">
        <v>0</v>
      </c>
      <c r="AQ241" s="1767">
        <v>0</v>
      </c>
      <c r="AR241" s="1767">
        <v>0</v>
      </c>
      <c r="AS241" s="1767">
        <v>0</v>
      </c>
      <c r="AT241" s="1767">
        <v>0</v>
      </c>
      <c r="AU241" s="1767">
        <v>0</v>
      </c>
      <c r="AV241" s="1767">
        <v>0</v>
      </c>
      <c r="AW241" s="1767">
        <v>0</v>
      </c>
      <c r="AX241" s="1767">
        <v>0</v>
      </c>
      <c r="AY241" s="1767">
        <v>0</v>
      </c>
      <c r="AZ241" s="1767">
        <v>0</v>
      </c>
      <c r="BA241" s="1767">
        <v>0</v>
      </c>
      <c r="BB241" s="1767">
        <v>0</v>
      </c>
      <c r="BC241" s="1767">
        <v>0</v>
      </c>
      <c r="BD241" s="1767">
        <v>0</v>
      </c>
      <c r="BE241" s="1767">
        <v>0</v>
      </c>
      <c r="BF241" s="1767">
        <v>0</v>
      </c>
      <c r="BG241" s="1767">
        <v>0</v>
      </c>
      <c r="BH241" s="1767">
        <v>0</v>
      </c>
      <c r="BI241" s="1767">
        <v>0</v>
      </c>
      <c r="BJ241" s="1767">
        <v>0</v>
      </c>
      <c r="BK241" s="1767">
        <v>0</v>
      </c>
      <c r="BL241" s="1767">
        <v>0</v>
      </c>
      <c r="BM241" s="1767">
        <v>0</v>
      </c>
      <c r="BN241" s="1767">
        <v>0</v>
      </c>
      <c r="BO241" s="1767">
        <v>0</v>
      </c>
      <c r="BP241" s="1767">
        <v>0</v>
      </c>
      <c r="BQ241" s="1767">
        <v>0</v>
      </c>
      <c r="BR241" s="1767">
        <v>0</v>
      </c>
      <c r="BS241" s="1767">
        <v>0</v>
      </c>
      <c r="BT241" s="1767">
        <v>0</v>
      </c>
      <c r="BU241" s="1767">
        <v>0</v>
      </c>
      <c r="BV241" s="1767">
        <v>0</v>
      </c>
      <c r="BW241" s="1767">
        <v>0</v>
      </c>
      <c r="BX241" s="1767">
        <v>0</v>
      </c>
      <c r="BY241" s="1767">
        <v>0</v>
      </c>
      <c r="BZ241" s="1767">
        <v>0</v>
      </c>
      <c r="CA241" s="1767">
        <v>0</v>
      </c>
      <c r="CB241" s="1767">
        <v>0</v>
      </c>
      <c r="CC241" s="1767">
        <v>0</v>
      </c>
      <c r="CD241" s="1767">
        <v>0</v>
      </c>
      <c r="CE241" s="1767">
        <v>0</v>
      </c>
      <c r="CF241" s="1767">
        <v>0</v>
      </c>
      <c r="CG241" s="1767">
        <v>0</v>
      </c>
      <c r="CH241" s="1767">
        <v>0</v>
      </c>
      <c r="CI241" s="1767">
        <v>0</v>
      </c>
      <c r="CJ241" s="1767">
        <v>0</v>
      </c>
      <c r="CK241" s="1767">
        <v>0</v>
      </c>
      <c r="CL241" s="1767">
        <v>0</v>
      </c>
      <c r="CM241" s="1767">
        <v>0</v>
      </c>
      <c r="CN241" s="1767">
        <v>0</v>
      </c>
      <c r="CO241" s="1767">
        <v>0</v>
      </c>
      <c r="CP241" s="1767">
        <v>0</v>
      </c>
    </row>
    <row r="242" spans="1:94" ht="27" customHeight="1" thickBot="1" x14ac:dyDescent="0.25">
      <c r="A242" s="1847"/>
      <c r="B242" s="1856"/>
      <c r="C242" s="851" t="s">
        <v>2325</v>
      </c>
      <c r="D242" s="949"/>
      <c r="E242" s="1844"/>
      <c r="F242" s="1225"/>
      <c r="G242" s="1767">
        <v>0</v>
      </c>
      <c r="H242" s="1767">
        <v>0</v>
      </c>
      <c r="I242" s="1767">
        <v>0</v>
      </c>
      <c r="J242" s="1767">
        <v>0</v>
      </c>
      <c r="K242" s="1767">
        <v>0</v>
      </c>
      <c r="L242" s="1767">
        <v>0</v>
      </c>
      <c r="M242" s="1767">
        <v>0</v>
      </c>
      <c r="N242" s="1767">
        <v>0</v>
      </c>
      <c r="O242" s="1767">
        <v>0</v>
      </c>
      <c r="P242" s="1767">
        <v>0</v>
      </c>
      <c r="Q242" s="1767">
        <v>0</v>
      </c>
      <c r="R242" s="1767">
        <v>0</v>
      </c>
      <c r="S242" s="1767">
        <v>0</v>
      </c>
      <c r="T242" s="1767">
        <v>0</v>
      </c>
      <c r="U242" s="1767">
        <v>0</v>
      </c>
      <c r="V242" s="1767">
        <v>0</v>
      </c>
      <c r="W242" s="1767">
        <v>0</v>
      </c>
      <c r="X242" s="1767">
        <v>0</v>
      </c>
      <c r="Y242" s="1767">
        <v>0</v>
      </c>
      <c r="Z242" s="1767">
        <v>0</v>
      </c>
      <c r="AA242" s="1767">
        <v>0</v>
      </c>
      <c r="AB242" s="1767">
        <v>0</v>
      </c>
      <c r="AC242" s="1767">
        <v>0</v>
      </c>
      <c r="AD242" s="1767">
        <v>0</v>
      </c>
      <c r="AE242" s="1767">
        <v>0</v>
      </c>
      <c r="AF242" s="1767">
        <v>0</v>
      </c>
      <c r="AG242" s="1767">
        <v>0</v>
      </c>
      <c r="AH242" s="1767">
        <v>0</v>
      </c>
      <c r="AI242" s="1767">
        <v>0</v>
      </c>
      <c r="AJ242" s="1767">
        <v>0</v>
      </c>
      <c r="AK242" s="1767">
        <v>0</v>
      </c>
      <c r="AL242" s="1767">
        <v>0</v>
      </c>
      <c r="AM242" s="1767">
        <v>0</v>
      </c>
      <c r="AN242" s="1767">
        <v>0</v>
      </c>
      <c r="AO242" s="1767">
        <v>0</v>
      </c>
      <c r="AP242" s="1767">
        <v>0</v>
      </c>
      <c r="AQ242" s="1767">
        <v>0</v>
      </c>
      <c r="AR242" s="1767">
        <v>0</v>
      </c>
      <c r="AS242" s="1767">
        <v>0</v>
      </c>
      <c r="AT242" s="1767">
        <v>0</v>
      </c>
      <c r="AU242" s="1767">
        <v>0</v>
      </c>
      <c r="AV242" s="1767">
        <v>0</v>
      </c>
      <c r="AW242" s="1767">
        <v>0</v>
      </c>
      <c r="AX242" s="1767">
        <v>0</v>
      </c>
      <c r="AY242" s="1767">
        <v>0</v>
      </c>
      <c r="AZ242" s="1767">
        <v>0</v>
      </c>
      <c r="BA242" s="1767">
        <v>0</v>
      </c>
      <c r="BB242" s="1767">
        <v>0</v>
      </c>
      <c r="BC242" s="1767">
        <v>0</v>
      </c>
      <c r="BD242" s="1767">
        <v>0</v>
      </c>
      <c r="BE242" s="1767">
        <v>0</v>
      </c>
      <c r="BF242" s="1767">
        <v>0</v>
      </c>
      <c r="BG242" s="1767">
        <v>0</v>
      </c>
      <c r="BH242" s="1767">
        <v>0</v>
      </c>
      <c r="BI242" s="1767">
        <v>0</v>
      </c>
      <c r="BJ242" s="1767">
        <v>0</v>
      </c>
      <c r="BK242" s="1767">
        <v>0</v>
      </c>
      <c r="BL242" s="1767">
        <v>0</v>
      </c>
      <c r="BM242" s="1767">
        <v>0</v>
      </c>
      <c r="BN242" s="1767">
        <v>0</v>
      </c>
      <c r="BO242" s="1767">
        <v>0</v>
      </c>
      <c r="BP242" s="1767">
        <v>0</v>
      </c>
      <c r="BQ242" s="1767">
        <v>0</v>
      </c>
      <c r="BR242" s="1767">
        <v>0</v>
      </c>
      <c r="BS242" s="1767">
        <v>0</v>
      </c>
      <c r="BT242" s="1767">
        <v>0</v>
      </c>
      <c r="BU242" s="1767">
        <v>0</v>
      </c>
      <c r="BV242" s="1767">
        <v>0</v>
      </c>
      <c r="BW242" s="1767">
        <v>0</v>
      </c>
      <c r="BX242" s="1767">
        <v>0</v>
      </c>
      <c r="BY242" s="1767">
        <v>0</v>
      </c>
      <c r="BZ242" s="1767">
        <v>0</v>
      </c>
      <c r="CA242" s="1767">
        <v>0</v>
      </c>
      <c r="CB242" s="1767">
        <v>0</v>
      </c>
      <c r="CC242" s="1767">
        <v>0</v>
      </c>
      <c r="CD242" s="1767">
        <v>0</v>
      </c>
      <c r="CE242" s="1767">
        <v>0</v>
      </c>
      <c r="CF242" s="1767">
        <v>0</v>
      </c>
      <c r="CG242" s="1767">
        <v>0</v>
      </c>
      <c r="CH242" s="1767">
        <v>0</v>
      </c>
      <c r="CI242" s="1767">
        <v>0</v>
      </c>
      <c r="CJ242" s="1767">
        <v>0</v>
      </c>
      <c r="CK242" s="1767">
        <v>0</v>
      </c>
      <c r="CL242" s="1767">
        <v>0</v>
      </c>
      <c r="CM242" s="1767">
        <v>0</v>
      </c>
      <c r="CN242" s="1767">
        <v>0</v>
      </c>
      <c r="CO242" s="1767">
        <v>0</v>
      </c>
      <c r="CP242" s="1767">
        <v>0</v>
      </c>
    </row>
    <row r="243" spans="1:94" ht="21" customHeight="1" thickBot="1" x14ac:dyDescent="0.25">
      <c r="A243" s="1878" t="s">
        <v>27</v>
      </c>
      <c r="B243" s="1846" t="s">
        <v>549</v>
      </c>
      <c r="C243" s="1777" t="s">
        <v>617</v>
      </c>
      <c r="D243" s="947"/>
      <c r="E243" s="1843" t="s">
        <v>2326</v>
      </c>
      <c r="F243" s="1225"/>
      <c r="G243" s="1742"/>
      <c r="H243" s="1742"/>
      <c r="I243" s="1742"/>
      <c r="J243" s="1742"/>
      <c r="K243" s="1742"/>
      <c r="L243" s="1742"/>
      <c r="M243" s="1742"/>
      <c r="N243" s="1742"/>
      <c r="O243" s="1742"/>
      <c r="P243" s="1742"/>
      <c r="Q243" s="1742"/>
      <c r="R243" s="1742"/>
      <c r="S243" s="1742"/>
      <c r="T243" s="1742"/>
      <c r="U243" s="1742"/>
      <c r="V243" s="1742"/>
      <c r="W243" s="1742"/>
      <c r="X243" s="1742"/>
      <c r="Y243" s="1742"/>
      <c r="Z243" s="1742"/>
      <c r="AA243" s="1742"/>
      <c r="AB243" s="1742"/>
      <c r="AC243" s="1742"/>
      <c r="AD243" s="1742"/>
      <c r="AE243" s="1742"/>
      <c r="AF243" s="1742"/>
      <c r="AG243" s="1742"/>
      <c r="AH243" s="1742"/>
      <c r="AI243" s="1742"/>
      <c r="AJ243" s="1742"/>
      <c r="AK243" s="1742"/>
      <c r="AL243" s="1742"/>
      <c r="AM243" s="1742"/>
      <c r="AN243" s="1742"/>
      <c r="AO243" s="1742"/>
      <c r="AP243" s="1742"/>
      <c r="AQ243" s="1742"/>
      <c r="AR243" s="1742"/>
      <c r="AS243" s="1742"/>
      <c r="AT243" s="1742"/>
      <c r="AU243" s="1742"/>
      <c r="AV243" s="1742"/>
      <c r="AW243" s="1742"/>
      <c r="AX243" s="1742"/>
      <c r="AY243" s="1742"/>
      <c r="AZ243" s="1742"/>
      <c r="BA243" s="1742"/>
      <c r="BB243" s="1742"/>
      <c r="BC243" s="1742"/>
      <c r="BD243" s="1742"/>
      <c r="BE243" s="1742"/>
      <c r="BF243" s="1742"/>
      <c r="BG243" s="1742"/>
      <c r="BH243" s="1742"/>
      <c r="BI243" s="1742"/>
      <c r="BJ243" s="1742"/>
      <c r="BK243" s="1742"/>
      <c r="BL243" s="1742"/>
      <c r="BM243" s="1742"/>
      <c r="BN243" s="1742"/>
      <c r="BO243" s="1742"/>
      <c r="BP243" s="1742"/>
      <c r="BQ243" s="1742"/>
      <c r="BR243" s="1742"/>
      <c r="BS243" s="1742"/>
      <c r="BT243" s="1742"/>
      <c r="BU243" s="1742"/>
      <c r="BV243" s="1742"/>
      <c r="BW243" s="1742"/>
      <c r="BX243" s="1742"/>
      <c r="BY243" s="1742"/>
      <c r="BZ243" s="1742"/>
      <c r="CA243" s="1742"/>
      <c r="CB243" s="1742"/>
      <c r="CC243" s="1742"/>
      <c r="CD243" s="1742"/>
      <c r="CE243" s="1742"/>
      <c r="CF243" s="1742"/>
      <c r="CG243" s="1742"/>
      <c r="CH243" s="1742"/>
      <c r="CI243" s="1742"/>
      <c r="CJ243" s="1742"/>
      <c r="CK243" s="1742"/>
      <c r="CL243" s="1742"/>
      <c r="CM243" s="1742"/>
      <c r="CN243" s="1742"/>
      <c r="CO243" s="1742"/>
      <c r="CP243" s="1742"/>
    </row>
    <row r="244" spans="1:94" ht="42.75" customHeight="1" x14ac:dyDescent="0.2">
      <c r="A244" s="1847"/>
      <c r="B244" s="1856"/>
      <c r="C244" s="652" t="s">
        <v>2250</v>
      </c>
      <c r="D244" s="936"/>
      <c r="E244" s="1844"/>
      <c r="F244" s="1225"/>
      <c r="G244" s="1767">
        <v>0</v>
      </c>
      <c r="H244" s="1767">
        <v>0</v>
      </c>
      <c r="I244" s="1767">
        <v>0</v>
      </c>
      <c r="J244" s="1767">
        <v>0</v>
      </c>
      <c r="K244" s="1767">
        <v>0</v>
      </c>
      <c r="L244" s="1767">
        <v>0</v>
      </c>
      <c r="M244" s="1767">
        <v>0</v>
      </c>
      <c r="N244" s="1767">
        <v>0</v>
      </c>
      <c r="O244" s="1767">
        <v>0</v>
      </c>
      <c r="P244" s="1767">
        <v>0</v>
      </c>
      <c r="Q244" s="1767">
        <v>0</v>
      </c>
      <c r="R244" s="1767">
        <v>0</v>
      </c>
      <c r="S244" s="1767">
        <v>0</v>
      </c>
      <c r="T244" s="1767">
        <v>0</v>
      </c>
      <c r="U244" s="1767">
        <v>0</v>
      </c>
      <c r="V244" s="1767">
        <v>0</v>
      </c>
      <c r="W244" s="1767">
        <v>0</v>
      </c>
      <c r="X244" s="1767">
        <v>0</v>
      </c>
      <c r="Y244" s="1767">
        <v>0</v>
      </c>
      <c r="Z244" s="1767">
        <v>0</v>
      </c>
      <c r="AA244" s="1767">
        <v>0</v>
      </c>
      <c r="AB244" s="1767">
        <v>0</v>
      </c>
      <c r="AC244" s="1767">
        <v>0</v>
      </c>
      <c r="AD244" s="1767">
        <v>0</v>
      </c>
      <c r="AE244" s="1767">
        <v>0</v>
      </c>
      <c r="AF244" s="1767">
        <v>0</v>
      </c>
      <c r="AG244" s="1767">
        <v>0</v>
      </c>
      <c r="AH244" s="1767">
        <v>0</v>
      </c>
      <c r="AI244" s="1767">
        <v>0</v>
      </c>
      <c r="AJ244" s="1767">
        <v>0</v>
      </c>
      <c r="AK244" s="1767">
        <v>0</v>
      </c>
      <c r="AL244" s="1767">
        <v>0</v>
      </c>
      <c r="AM244" s="1767">
        <v>0</v>
      </c>
      <c r="AN244" s="1767">
        <v>0</v>
      </c>
      <c r="AO244" s="1767">
        <v>0</v>
      </c>
      <c r="AP244" s="1767">
        <v>0</v>
      </c>
      <c r="AQ244" s="1767">
        <v>0</v>
      </c>
      <c r="AR244" s="1767">
        <v>0</v>
      </c>
      <c r="AS244" s="1767">
        <v>0</v>
      </c>
      <c r="AT244" s="1767">
        <v>0</v>
      </c>
      <c r="AU244" s="1767">
        <v>0</v>
      </c>
      <c r="AV244" s="1767">
        <v>0</v>
      </c>
      <c r="AW244" s="1767">
        <v>0</v>
      </c>
      <c r="AX244" s="1767">
        <v>0</v>
      </c>
      <c r="AY244" s="1767">
        <v>0</v>
      </c>
      <c r="AZ244" s="1767">
        <v>0</v>
      </c>
      <c r="BA244" s="1767">
        <v>0</v>
      </c>
      <c r="BB244" s="1767">
        <v>0</v>
      </c>
      <c r="BC244" s="1767">
        <v>0</v>
      </c>
      <c r="BD244" s="1767">
        <v>0</v>
      </c>
      <c r="BE244" s="1767">
        <v>0</v>
      </c>
      <c r="BF244" s="1767">
        <v>0</v>
      </c>
      <c r="BG244" s="1767">
        <v>0</v>
      </c>
      <c r="BH244" s="1767">
        <v>0</v>
      </c>
      <c r="BI244" s="1767">
        <v>0</v>
      </c>
      <c r="BJ244" s="1767">
        <v>0</v>
      </c>
      <c r="BK244" s="1767">
        <v>0</v>
      </c>
      <c r="BL244" s="1767">
        <v>0</v>
      </c>
      <c r="BM244" s="1767">
        <v>0</v>
      </c>
      <c r="BN244" s="1767">
        <v>0</v>
      </c>
      <c r="BO244" s="1767">
        <v>0</v>
      </c>
      <c r="BP244" s="1767">
        <v>0</v>
      </c>
      <c r="BQ244" s="1767">
        <v>0</v>
      </c>
      <c r="BR244" s="1767">
        <v>0</v>
      </c>
      <c r="BS244" s="1767">
        <v>0</v>
      </c>
      <c r="BT244" s="1767">
        <v>0</v>
      </c>
      <c r="BU244" s="1767">
        <v>0</v>
      </c>
      <c r="BV244" s="1767">
        <v>0</v>
      </c>
      <c r="BW244" s="1767">
        <v>0</v>
      </c>
      <c r="BX244" s="1767">
        <v>0</v>
      </c>
      <c r="BY244" s="1767">
        <v>0</v>
      </c>
      <c r="BZ244" s="1767">
        <v>0</v>
      </c>
      <c r="CA244" s="1767">
        <v>0</v>
      </c>
      <c r="CB244" s="1767">
        <v>0</v>
      </c>
      <c r="CC244" s="1767">
        <v>0</v>
      </c>
      <c r="CD244" s="1767">
        <v>0</v>
      </c>
      <c r="CE244" s="1767">
        <v>0</v>
      </c>
      <c r="CF244" s="1767">
        <v>0</v>
      </c>
      <c r="CG244" s="1767">
        <v>0</v>
      </c>
      <c r="CH244" s="1767">
        <v>0</v>
      </c>
      <c r="CI244" s="1767">
        <v>0</v>
      </c>
      <c r="CJ244" s="1767">
        <v>0</v>
      </c>
      <c r="CK244" s="1767">
        <v>0</v>
      </c>
      <c r="CL244" s="1767">
        <v>0</v>
      </c>
      <c r="CM244" s="1767">
        <v>0</v>
      </c>
      <c r="CN244" s="1767">
        <v>0</v>
      </c>
      <c r="CO244" s="1767">
        <v>0</v>
      </c>
      <c r="CP244" s="1767">
        <v>0</v>
      </c>
    </row>
    <row r="245" spans="1:94" ht="67.5" customHeight="1" x14ac:dyDescent="0.2">
      <c r="A245" s="1847"/>
      <c r="B245" s="1856"/>
      <c r="C245" s="653" t="s">
        <v>2327</v>
      </c>
      <c r="D245" s="936"/>
      <c r="E245" s="1844"/>
      <c r="F245" s="1225"/>
      <c r="G245" s="1767">
        <v>0</v>
      </c>
      <c r="H245" s="1767">
        <v>0</v>
      </c>
      <c r="I245" s="1767">
        <v>0</v>
      </c>
      <c r="J245" s="1767">
        <v>0</v>
      </c>
      <c r="K245" s="1767">
        <v>0</v>
      </c>
      <c r="L245" s="1767">
        <v>0</v>
      </c>
      <c r="M245" s="1767">
        <v>0</v>
      </c>
      <c r="N245" s="1767">
        <v>0</v>
      </c>
      <c r="O245" s="1767">
        <v>0</v>
      </c>
      <c r="P245" s="1767">
        <v>0</v>
      </c>
      <c r="Q245" s="1767">
        <v>0</v>
      </c>
      <c r="R245" s="1767">
        <v>0</v>
      </c>
      <c r="S245" s="1767">
        <v>0</v>
      </c>
      <c r="T245" s="1767">
        <v>0</v>
      </c>
      <c r="U245" s="1767">
        <v>0</v>
      </c>
      <c r="V245" s="1767">
        <v>0</v>
      </c>
      <c r="W245" s="1767">
        <v>0</v>
      </c>
      <c r="X245" s="1767">
        <v>0</v>
      </c>
      <c r="Y245" s="1767">
        <v>0</v>
      </c>
      <c r="Z245" s="1767">
        <v>0</v>
      </c>
      <c r="AA245" s="1767">
        <v>0</v>
      </c>
      <c r="AB245" s="1767">
        <v>0</v>
      </c>
      <c r="AC245" s="1767">
        <v>0</v>
      </c>
      <c r="AD245" s="1767">
        <v>0</v>
      </c>
      <c r="AE245" s="1767">
        <v>0</v>
      </c>
      <c r="AF245" s="1767">
        <v>0</v>
      </c>
      <c r="AG245" s="1767">
        <v>0</v>
      </c>
      <c r="AH245" s="1767">
        <v>0</v>
      </c>
      <c r="AI245" s="1767">
        <v>0</v>
      </c>
      <c r="AJ245" s="1767">
        <v>0</v>
      </c>
      <c r="AK245" s="1767">
        <v>0</v>
      </c>
      <c r="AL245" s="1767">
        <v>0</v>
      </c>
      <c r="AM245" s="1767">
        <v>0</v>
      </c>
      <c r="AN245" s="1767">
        <v>0</v>
      </c>
      <c r="AO245" s="1767">
        <v>0</v>
      </c>
      <c r="AP245" s="1767">
        <v>0</v>
      </c>
      <c r="AQ245" s="1767">
        <v>0</v>
      </c>
      <c r="AR245" s="1767">
        <v>0</v>
      </c>
      <c r="AS245" s="1767">
        <v>0</v>
      </c>
      <c r="AT245" s="1767">
        <v>0</v>
      </c>
      <c r="AU245" s="1767">
        <v>0</v>
      </c>
      <c r="AV245" s="1767">
        <v>0</v>
      </c>
      <c r="AW245" s="1767">
        <v>0</v>
      </c>
      <c r="AX245" s="1767">
        <v>0</v>
      </c>
      <c r="AY245" s="1767">
        <v>0</v>
      </c>
      <c r="AZ245" s="1767">
        <v>0</v>
      </c>
      <c r="BA245" s="1767">
        <v>0</v>
      </c>
      <c r="BB245" s="1767">
        <v>0</v>
      </c>
      <c r="BC245" s="1767">
        <v>0</v>
      </c>
      <c r="BD245" s="1767">
        <v>0</v>
      </c>
      <c r="BE245" s="1767">
        <v>0</v>
      </c>
      <c r="BF245" s="1767">
        <v>0</v>
      </c>
      <c r="BG245" s="1767">
        <v>0</v>
      </c>
      <c r="BH245" s="1767">
        <v>0</v>
      </c>
      <c r="BI245" s="1767">
        <v>0</v>
      </c>
      <c r="BJ245" s="1767">
        <v>0</v>
      </c>
      <c r="BK245" s="1767">
        <v>0</v>
      </c>
      <c r="BL245" s="1767">
        <v>0</v>
      </c>
      <c r="BM245" s="1767">
        <v>0</v>
      </c>
      <c r="BN245" s="1767">
        <v>0</v>
      </c>
      <c r="BO245" s="1767">
        <v>0</v>
      </c>
      <c r="BP245" s="1767">
        <v>0</v>
      </c>
      <c r="BQ245" s="1767">
        <v>0</v>
      </c>
      <c r="BR245" s="1767">
        <v>0</v>
      </c>
      <c r="BS245" s="1767">
        <v>0</v>
      </c>
      <c r="BT245" s="1767">
        <v>0</v>
      </c>
      <c r="BU245" s="1767">
        <v>0</v>
      </c>
      <c r="BV245" s="1767">
        <v>0</v>
      </c>
      <c r="BW245" s="1767">
        <v>0</v>
      </c>
      <c r="BX245" s="1767">
        <v>0</v>
      </c>
      <c r="BY245" s="1767">
        <v>0</v>
      </c>
      <c r="BZ245" s="1767">
        <v>0</v>
      </c>
      <c r="CA245" s="1767">
        <v>0</v>
      </c>
      <c r="CB245" s="1767">
        <v>0</v>
      </c>
      <c r="CC245" s="1767">
        <v>0</v>
      </c>
      <c r="CD245" s="1767">
        <v>0</v>
      </c>
      <c r="CE245" s="1767">
        <v>0</v>
      </c>
      <c r="CF245" s="1767">
        <v>0</v>
      </c>
      <c r="CG245" s="1767">
        <v>0</v>
      </c>
      <c r="CH245" s="1767">
        <v>0</v>
      </c>
      <c r="CI245" s="1767">
        <v>0</v>
      </c>
      <c r="CJ245" s="1767">
        <v>0</v>
      </c>
      <c r="CK245" s="1767">
        <v>0</v>
      </c>
      <c r="CL245" s="1767">
        <v>0</v>
      </c>
      <c r="CM245" s="1767">
        <v>0</v>
      </c>
      <c r="CN245" s="1767">
        <v>0</v>
      </c>
      <c r="CO245" s="1767">
        <v>0</v>
      </c>
      <c r="CP245" s="1767">
        <v>0</v>
      </c>
    </row>
    <row r="246" spans="1:94" ht="26.25" thickBot="1" x14ac:dyDescent="0.25">
      <c r="A246" s="1848"/>
      <c r="B246" s="1857"/>
      <c r="C246" s="654" t="s">
        <v>604</v>
      </c>
      <c r="D246" s="950"/>
      <c r="E246" s="1845"/>
      <c r="F246" s="1225"/>
      <c r="G246" s="1767">
        <v>0</v>
      </c>
      <c r="H246" s="1767">
        <v>0</v>
      </c>
      <c r="I246" s="1767">
        <v>0</v>
      </c>
      <c r="J246" s="1767">
        <v>0</v>
      </c>
      <c r="K246" s="1767">
        <v>0</v>
      </c>
      <c r="L246" s="1767">
        <v>0</v>
      </c>
      <c r="M246" s="1767">
        <v>0</v>
      </c>
      <c r="N246" s="1767">
        <v>0</v>
      </c>
      <c r="O246" s="1767">
        <v>0</v>
      </c>
      <c r="P246" s="1767">
        <v>0</v>
      </c>
      <c r="Q246" s="1767">
        <v>0</v>
      </c>
      <c r="R246" s="1767">
        <v>0</v>
      </c>
      <c r="S246" s="1767">
        <v>0</v>
      </c>
      <c r="T246" s="1767">
        <v>0</v>
      </c>
      <c r="U246" s="1767">
        <v>0</v>
      </c>
      <c r="V246" s="1767">
        <v>0</v>
      </c>
      <c r="W246" s="1767">
        <v>0</v>
      </c>
      <c r="X246" s="1767">
        <v>0</v>
      </c>
      <c r="Y246" s="1767">
        <v>0</v>
      </c>
      <c r="Z246" s="1767">
        <v>0</v>
      </c>
      <c r="AA246" s="1767">
        <v>0</v>
      </c>
      <c r="AB246" s="1767">
        <v>0</v>
      </c>
      <c r="AC246" s="1767">
        <v>0</v>
      </c>
      <c r="AD246" s="1767">
        <v>0</v>
      </c>
      <c r="AE246" s="1767">
        <v>0</v>
      </c>
      <c r="AF246" s="1767">
        <v>0</v>
      </c>
      <c r="AG246" s="1767">
        <v>0</v>
      </c>
      <c r="AH246" s="1767">
        <v>0</v>
      </c>
      <c r="AI246" s="1767">
        <v>0</v>
      </c>
      <c r="AJ246" s="1767">
        <v>0</v>
      </c>
      <c r="AK246" s="1767">
        <v>0</v>
      </c>
      <c r="AL246" s="1767">
        <v>0</v>
      </c>
      <c r="AM246" s="1767">
        <v>0</v>
      </c>
      <c r="AN246" s="1767">
        <v>0</v>
      </c>
      <c r="AO246" s="1767">
        <v>0</v>
      </c>
      <c r="AP246" s="1767">
        <v>0</v>
      </c>
      <c r="AQ246" s="1767">
        <v>0</v>
      </c>
      <c r="AR246" s="1767">
        <v>0</v>
      </c>
      <c r="AS246" s="1767">
        <v>0</v>
      </c>
      <c r="AT246" s="1767">
        <v>0</v>
      </c>
      <c r="AU246" s="1767">
        <v>0</v>
      </c>
      <c r="AV246" s="1767">
        <v>0</v>
      </c>
      <c r="AW246" s="1767">
        <v>0</v>
      </c>
      <c r="AX246" s="1767">
        <v>0</v>
      </c>
      <c r="AY246" s="1767">
        <v>0</v>
      </c>
      <c r="AZ246" s="1767">
        <v>0</v>
      </c>
      <c r="BA246" s="1767">
        <v>0</v>
      </c>
      <c r="BB246" s="1767">
        <v>0</v>
      </c>
      <c r="BC246" s="1767">
        <v>0</v>
      </c>
      <c r="BD246" s="1767">
        <v>0</v>
      </c>
      <c r="BE246" s="1767">
        <v>0</v>
      </c>
      <c r="BF246" s="1767">
        <v>0</v>
      </c>
      <c r="BG246" s="1767">
        <v>0</v>
      </c>
      <c r="BH246" s="1767">
        <v>0</v>
      </c>
      <c r="BI246" s="1767">
        <v>0</v>
      </c>
      <c r="BJ246" s="1767">
        <v>0</v>
      </c>
      <c r="BK246" s="1767">
        <v>0</v>
      </c>
      <c r="BL246" s="1767">
        <v>0</v>
      </c>
      <c r="BM246" s="1767">
        <v>0</v>
      </c>
      <c r="BN246" s="1767">
        <v>0</v>
      </c>
      <c r="BO246" s="1767">
        <v>0</v>
      </c>
      <c r="BP246" s="1767">
        <v>0</v>
      </c>
      <c r="BQ246" s="1767">
        <v>0</v>
      </c>
      <c r="BR246" s="1767">
        <v>0</v>
      </c>
      <c r="BS246" s="1767">
        <v>0</v>
      </c>
      <c r="BT246" s="1767">
        <v>0</v>
      </c>
      <c r="BU246" s="1767">
        <v>0</v>
      </c>
      <c r="BV246" s="1767">
        <v>0</v>
      </c>
      <c r="BW246" s="1767">
        <v>0</v>
      </c>
      <c r="BX246" s="1767">
        <v>0</v>
      </c>
      <c r="BY246" s="1767">
        <v>0</v>
      </c>
      <c r="BZ246" s="1767">
        <v>0</v>
      </c>
      <c r="CA246" s="1767">
        <v>0</v>
      </c>
      <c r="CB246" s="1767">
        <v>0</v>
      </c>
      <c r="CC246" s="1767">
        <v>0</v>
      </c>
      <c r="CD246" s="1767">
        <v>0</v>
      </c>
      <c r="CE246" s="1767">
        <v>0</v>
      </c>
      <c r="CF246" s="1767">
        <v>0</v>
      </c>
      <c r="CG246" s="1767">
        <v>0</v>
      </c>
      <c r="CH246" s="1767">
        <v>0</v>
      </c>
      <c r="CI246" s="1767">
        <v>0</v>
      </c>
      <c r="CJ246" s="1767">
        <v>0</v>
      </c>
      <c r="CK246" s="1767">
        <v>0</v>
      </c>
      <c r="CL246" s="1767">
        <v>0</v>
      </c>
      <c r="CM246" s="1767">
        <v>0</v>
      </c>
      <c r="CN246" s="1767">
        <v>0</v>
      </c>
      <c r="CO246" s="1767">
        <v>0</v>
      </c>
      <c r="CP246" s="1767">
        <v>0</v>
      </c>
    </row>
    <row r="247" spans="1:94" ht="21" customHeight="1" thickBot="1" x14ac:dyDescent="0.25">
      <c r="A247" s="1846" t="s">
        <v>28</v>
      </c>
      <c r="B247" s="1846" t="s">
        <v>5</v>
      </c>
      <c r="C247" s="1777" t="s">
        <v>486</v>
      </c>
      <c r="D247" s="947"/>
      <c r="E247" s="1830" t="s">
        <v>1832</v>
      </c>
      <c r="F247" s="1225"/>
      <c r="G247" s="1742"/>
      <c r="H247" s="1742"/>
      <c r="I247" s="1742"/>
      <c r="J247" s="1742"/>
      <c r="K247" s="1742"/>
      <c r="L247" s="1742"/>
      <c r="M247" s="1742"/>
      <c r="N247" s="1742"/>
      <c r="O247" s="1742"/>
      <c r="P247" s="1742"/>
      <c r="Q247" s="1742"/>
      <c r="R247" s="1742"/>
      <c r="S247" s="1742"/>
      <c r="T247" s="1742"/>
      <c r="U247" s="1742"/>
      <c r="V247" s="1742"/>
      <c r="W247" s="1742"/>
      <c r="X247" s="1742"/>
      <c r="Y247" s="1742"/>
      <c r="Z247" s="1742"/>
      <c r="AA247" s="1742"/>
      <c r="AB247" s="1742"/>
      <c r="AC247" s="1742"/>
      <c r="AD247" s="1742"/>
      <c r="AE247" s="1742"/>
      <c r="AF247" s="1742"/>
      <c r="AG247" s="1742"/>
      <c r="AH247" s="1742"/>
      <c r="AI247" s="1742"/>
      <c r="AJ247" s="1742"/>
      <c r="AK247" s="1742"/>
      <c r="AL247" s="1742"/>
      <c r="AM247" s="1742"/>
      <c r="AN247" s="1742"/>
      <c r="AO247" s="1742"/>
      <c r="AP247" s="1742"/>
      <c r="AQ247" s="1742"/>
      <c r="AR247" s="1742"/>
      <c r="AS247" s="1742"/>
      <c r="AT247" s="1742"/>
      <c r="AU247" s="1742"/>
      <c r="AV247" s="1742"/>
      <c r="AW247" s="1742"/>
      <c r="AX247" s="1742"/>
      <c r="AY247" s="1742"/>
      <c r="AZ247" s="1742"/>
      <c r="BA247" s="1742"/>
      <c r="BB247" s="1742"/>
      <c r="BC247" s="1742"/>
      <c r="BD247" s="1742"/>
      <c r="BE247" s="1742"/>
      <c r="BF247" s="1742"/>
      <c r="BG247" s="1742"/>
      <c r="BH247" s="1742"/>
      <c r="BI247" s="1742"/>
      <c r="BJ247" s="1742"/>
      <c r="BK247" s="1742"/>
      <c r="BL247" s="1742"/>
      <c r="BM247" s="1742"/>
      <c r="BN247" s="1742"/>
      <c r="BO247" s="1742"/>
      <c r="BP247" s="1742"/>
      <c r="BQ247" s="1742"/>
      <c r="BR247" s="1742"/>
      <c r="BS247" s="1742"/>
      <c r="BT247" s="1742"/>
      <c r="BU247" s="1742"/>
      <c r="BV247" s="1742"/>
      <c r="BW247" s="1742"/>
      <c r="BX247" s="1742"/>
      <c r="BY247" s="1742"/>
      <c r="BZ247" s="1742"/>
      <c r="CA247" s="1742"/>
      <c r="CB247" s="1742"/>
      <c r="CC247" s="1742"/>
      <c r="CD247" s="1742"/>
      <c r="CE247" s="1742"/>
      <c r="CF247" s="1742"/>
      <c r="CG247" s="1742"/>
      <c r="CH247" s="1742"/>
      <c r="CI247" s="1742"/>
      <c r="CJ247" s="1742"/>
      <c r="CK247" s="1742"/>
      <c r="CL247" s="1742"/>
      <c r="CM247" s="1742"/>
      <c r="CN247" s="1742"/>
      <c r="CO247" s="1742"/>
      <c r="CP247" s="1742"/>
    </row>
    <row r="248" spans="1:94" ht="15" customHeight="1" x14ac:dyDescent="0.2">
      <c r="A248" s="1847"/>
      <c r="B248" s="1856"/>
      <c r="C248" s="653" t="s">
        <v>605</v>
      </c>
      <c r="D248" s="936"/>
      <c r="E248" s="1831"/>
      <c r="F248" s="1225"/>
      <c r="G248" s="1767">
        <v>0</v>
      </c>
      <c r="H248" s="1767">
        <v>0</v>
      </c>
      <c r="I248" s="1767">
        <v>0</v>
      </c>
      <c r="J248" s="1767">
        <v>0</v>
      </c>
      <c r="K248" s="1767">
        <v>0</v>
      </c>
      <c r="L248" s="1767">
        <v>0</v>
      </c>
      <c r="M248" s="1767">
        <v>0</v>
      </c>
      <c r="N248" s="1767">
        <v>0</v>
      </c>
      <c r="O248" s="1767">
        <v>0</v>
      </c>
      <c r="P248" s="1767">
        <v>0</v>
      </c>
      <c r="Q248" s="1767">
        <v>0</v>
      </c>
      <c r="R248" s="1767">
        <v>0</v>
      </c>
      <c r="S248" s="1767">
        <v>0</v>
      </c>
      <c r="T248" s="1767">
        <v>0</v>
      </c>
      <c r="U248" s="1767">
        <v>0</v>
      </c>
      <c r="V248" s="1767">
        <v>0</v>
      </c>
      <c r="W248" s="1767">
        <v>0</v>
      </c>
      <c r="X248" s="1767">
        <v>0</v>
      </c>
      <c r="Y248" s="1767">
        <v>0</v>
      </c>
      <c r="Z248" s="1767">
        <v>0</v>
      </c>
      <c r="AA248" s="1767">
        <v>0</v>
      </c>
      <c r="AB248" s="1767">
        <v>0</v>
      </c>
      <c r="AC248" s="1767">
        <v>0</v>
      </c>
      <c r="AD248" s="1767">
        <v>0</v>
      </c>
      <c r="AE248" s="1767">
        <v>0</v>
      </c>
      <c r="AF248" s="1767">
        <v>0</v>
      </c>
      <c r="AG248" s="1767">
        <v>0</v>
      </c>
      <c r="AH248" s="1767">
        <v>0</v>
      </c>
      <c r="AI248" s="1767">
        <v>0</v>
      </c>
      <c r="AJ248" s="1767">
        <v>0</v>
      </c>
      <c r="AK248" s="1767">
        <v>0</v>
      </c>
      <c r="AL248" s="1767">
        <v>0</v>
      </c>
      <c r="AM248" s="1767">
        <v>0</v>
      </c>
      <c r="AN248" s="1767">
        <v>0</v>
      </c>
      <c r="AO248" s="1767">
        <v>0</v>
      </c>
      <c r="AP248" s="1767">
        <v>0</v>
      </c>
      <c r="AQ248" s="1767">
        <v>0</v>
      </c>
      <c r="AR248" s="1767">
        <v>0</v>
      </c>
      <c r="AS248" s="1767">
        <v>0</v>
      </c>
      <c r="AT248" s="1767">
        <v>0</v>
      </c>
      <c r="AU248" s="1767">
        <v>0</v>
      </c>
      <c r="AV248" s="1767">
        <v>0</v>
      </c>
      <c r="AW248" s="1767">
        <v>0</v>
      </c>
      <c r="AX248" s="1767">
        <v>0</v>
      </c>
      <c r="AY248" s="1767">
        <v>0</v>
      </c>
      <c r="AZ248" s="1767">
        <v>0</v>
      </c>
      <c r="BA248" s="1767">
        <v>0</v>
      </c>
      <c r="BB248" s="1767">
        <v>0</v>
      </c>
      <c r="BC248" s="1767">
        <v>0</v>
      </c>
      <c r="BD248" s="1767">
        <v>0</v>
      </c>
      <c r="BE248" s="1767">
        <v>0</v>
      </c>
      <c r="BF248" s="1767">
        <v>0</v>
      </c>
      <c r="BG248" s="1767">
        <v>0</v>
      </c>
      <c r="BH248" s="1767">
        <v>0</v>
      </c>
      <c r="BI248" s="1767">
        <v>0</v>
      </c>
      <c r="BJ248" s="1767">
        <v>0</v>
      </c>
      <c r="BK248" s="1767">
        <v>0</v>
      </c>
      <c r="BL248" s="1767">
        <v>0</v>
      </c>
      <c r="BM248" s="1767">
        <v>0</v>
      </c>
      <c r="BN248" s="1767">
        <v>0</v>
      </c>
      <c r="BO248" s="1767">
        <v>0</v>
      </c>
      <c r="BP248" s="1767">
        <v>0</v>
      </c>
      <c r="BQ248" s="1767">
        <v>0</v>
      </c>
      <c r="BR248" s="1767">
        <v>0</v>
      </c>
      <c r="BS248" s="1767">
        <v>0</v>
      </c>
      <c r="BT248" s="1767">
        <v>0</v>
      </c>
      <c r="BU248" s="1767">
        <v>0</v>
      </c>
      <c r="BV248" s="1767">
        <v>0</v>
      </c>
      <c r="BW248" s="1767">
        <v>0</v>
      </c>
      <c r="BX248" s="1767">
        <v>0</v>
      </c>
      <c r="BY248" s="1767">
        <v>0</v>
      </c>
      <c r="BZ248" s="1767">
        <v>0</v>
      </c>
      <c r="CA248" s="1767">
        <v>0</v>
      </c>
      <c r="CB248" s="1767">
        <v>0</v>
      </c>
      <c r="CC248" s="1767">
        <v>0</v>
      </c>
      <c r="CD248" s="1767">
        <v>0</v>
      </c>
      <c r="CE248" s="1767">
        <v>0</v>
      </c>
      <c r="CF248" s="1767">
        <v>0</v>
      </c>
      <c r="CG248" s="1767">
        <v>0</v>
      </c>
      <c r="CH248" s="1767">
        <v>0</v>
      </c>
      <c r="CI248" s="1767">
        <v>0</v>
      </c>
      <c r="CJ248" s="1767">
        <v>0</v>
      </c>
      <c r="CK248" s="1767">
        <v>0</v>
      </c>
      <c r="CL248" s="1767">
        <v>0</v>
      </c>
      <c r="CM248" s="1767">
        <v>0</v>
      </c>
      <c r="CN248" s="1767">
        <v>0</v>
      </c>
      <c r="CO248" s="1767">
        <v>0</v>
      </c>
      <c r="CP248" s="1767">
        <v>0</v>
      </c>
    </row>
    <row r="249" spans="1:94" ht="15" customHeight="1" x14ac:dyDescent="0.2">
      <c r="A249" s="1847"/>
      <c r="B249" s="1856"/>
      <c r="C249" s="658" t="s">
        <v>247</v>
      </c>
      <c r="D249" s="936"/>
      <c r="E249" s="1831"/>
      <c r="F249" s="1225"/>
      <c r="G249" s="1767">
        <v>0</v>
      </c>
      <c r="H249" s="1767">
        <v>0</v>
      </c>
      <c r="I249" s="1767">
        <v>0</v>
      </c>
      <c r="J249" s="1767">
        <v>0</v>
      </c>
      <c r="K249" s="1767">
        <v>0</v>
      </c>
      <c r="L249" s="1767">
        <v>0</v>
      </c>
      <c r="M249" s="1767">
        <v>0</v>
      </c>
      <c r="N249" s="1767">
        <v>0</v>
      </c>
      <c r="O249" s="1767">
        <v>0</v>
      </c>
      <c r="P249" s="1767">
        <v>0</v>
      </c>
      <c r="Q249" s="1767">
        <v>0</v>
      </c>
      <c r="R249" s="1767">
        <v>0</v>
      </c>
      <c r="S249" s="1767">
        <v>0</v>
      </c>
      <c r="T249" s="1767">
        <v>0</v>
      </c>
      <c r="U249" s="1767">
        <v>0</v>
      </c>
      <c r="V249" s="1767">
        <v>0</v>
      </c>
      <c r="W249" s="1767">
        <v>0</v>
      </c>
      <c r="X249" s="1767">
        <v>0</v>
      </c>
      <c r="Y249" s="1767">
        <v>0</v>
      </c>
      <c r="Z249" s="1767">
        <v>0</v>
      </c>
      <c r="AA249" s="1767">
        <v>0</v>
      </c>
      <c r="AB249" s="1767">
        <v>0</v>
      </c>
      <c r="AC249" s="1767">
        <v>0</v>
      </c>
      <c r="AD249" s="1767">
        <v>0</v>
      </c>
      <c r="AE249" s="1767">
        <v>0</v>
      </c>
      <c r="AF249" s="1767">
        <v>0</v>
      </c>
      <c r="AG249" s="1767">
        <v>0</v>
      </c>
      <c r="AH249" s="1767">
        <v>0</v>
      </c>
      <c r="AI249" s="1767">
        <v>0</v>
      </c>
      <c r="AJ249" s="1767">
        <v>0</v>
      </c>
      <c r="AK249" s="1767">
        <v>0</v>
      </c>
      <c r="AL249" s="1767">
        <v>0</v>
      </c>
      <c r="AM249" s="1767">
        <v>0</v>
      </c>
      <c r="AN249" s="1767">
        <v>0</v>
      </c>
      <c r="AO249" s="1767">
        <v>0</v>
      </c>
      <c r="AP249" s="1767">
        <v>0</v>
      </c>
      <c r="AQ249" s="1767">
        <v>0</v>
      </c>
      <c r="AR249" s="1767">
        <v>0</v>
      </c>
      <c r="AS249" s="1767">
        <v>0</v>
      </c>
      <c r="AT249" s="1767">
        <v>0</v>
      </c>
      <c r="AU249" s="1767">
        <v>0</v>
      </c>
      <c r="AV249" s="1767">
        <v>0</v>
      </c>
      <c r="AW249" s="1767">
        <v>0</v>
      </c>
      <c r="AX249" s="1767">
        <v>0</v>
      </c>
      <c r="AY249" s="1767">
        <v>0</v>
      </c>
      <c r="AZ249" s="1767">
        <v>0</v>
      </c>
      <c r="BA249" s="1767">
        <v>0</v>
      </c>
      <c r="BB249" s="1767">
        <v>0</v>
      </c>
      <c r="BC249" s="1767">
        <v>0</v>
      </c>
      <c r="BD249" s="1767">
        <v>0</v>
      </c>
      <c r="BE249" s="1767">
        <v>0</v>
      </c>
      <c r="BF249" s="1767">
        <v>0</v>
      </c>
      <c r="BG249" s="1767">
        <v>0</v>
      </c>
      <c r="BH249" s="1767">
        <v>0</v>
      </c>
      <c r="BI249" s="1767">
        <v>0</v>
      </c>
      <c r="BJ249" s="1767">
        <v>0</v>
      </c>
      <c r="BK249" s="1767">
        <v>0</v>
      </c>
      <c r="BL249" s="1767">
        <v>0</v>
      </c>
      <c r="BM249" s="1767">
        <v>0</v>
      </c>
      <c r="BN249" s="1767">
        <v>0</v>
      </c>
      <c r="BO249" s="1767">
        <v>0</v>
      </c>
      <c r="BP249" s="1767">
        <v>0</v>
      </c>
      <c r="BQ249" s="1767">
        <v>0</v>
      </c>
      <c r="BR249" s="1767">
        <v>0</v>
      </c>
      <c r="BS249" s="1767">
        <v>0</v>
      </c>
      <c r="BT249" s="1767">
        <v>0</v>
      </c>
      <c r="BU249" s="1767">
        <v>0</v>
      </c>
      <c r="BV249" s="1767">
        <v>0</v>
      </c>
      <c r="BW249" s="1767">
        <v>0</v>
      </c>
      <c r="BX249" s="1767">
        <v>0</v>
      </c>
      <c r="BY249" s="1767">
        <v>0</v>
      </c>
      <c r="BZ249" s="1767">
        <v>0</v>
      </c>
      <c r="CA249" s="1767">
        <v>0</v>
      </c>
      <c r="CB249" s="1767">
        <v>0</v>
      </c>
      <c r="CC249" s="1767">
        <v>0</v>
      </c>
      <c r="CD249" s="1767">
        <v>0</v>
      </c>
      <c r="CE249" s="1767">
        <v>0</v>
      </c>
      <c r="CF249" s="1767">
        <v>0</v>
      </c>
      <c r="CG249" s="1767">
        <v>0</v>
      </c>
      <c r="CH249" s="1767">
        <v>0</v>
      </c>
      <c r="CI249" s="1767">
        <v>0</v>
      </c>
      <c r="CJ249" s="1767">
        <v>0</v>
      </c>
      <c r="CK249" s="1767">
        <v>0</v>
      </c>
      <c r="CL249" s="1767">
        <v>0</v>
      </c>
      <c r="CM249" s="1767">
        <v>0</v>
      </c>
      <c r="CN249" s="1767">
        <v>0</v>
      </c>
      <c r="CO249" s="1767">
        <v>0</v>
      </c>
      <c r="CP249" s="1767">
        <v>0</v>
      </c>
    </row>
    <row r="250" spans="1:94" ht="15" customHeight="1" x14ac:dyDescent="0.2">
      <c r="A250" s="1847"/>
      <c r="B250" s="1856"/>
      <c r="C250" s="653" t="s">
        <v>55</v>
      </c>
      <c r="D250" s="936"/>
      <c r="E250" s="1831"/>
      <c r="F250" s="1225"/>
      <c r="G250" s="1767">
        <v>0</v>
      </c>
      <c r="H250" s="1767">
        <v>0</v>
      </c>
      <c r="I250" s="1767">
        <v>0</v>
      </c>
      <c r="J250" s="1767">
        <v>0</v>
      </c>
      <c r="K250" s="1767">
        <v>0</v>
      </c>
      <c r="L250" s="1767">
        <v>0</v>
      </c>
      <c r="M250" s="1767">
        <v>0</v>
      </c>
      <c r="N250" s="1767">
        <v>0</v>
      </c>
      <c r="O250" s="1767">
        <v>0</v>
      </c>
      <c r="P250" s="1767">
        <v>0</v>
      </c>
      <c r="Q250" s="1767">
        <v>0</v>
      </c>
      <c r="R250" s="1767">
        <v>0</v>
      </c>
      <c r="S250" s="1767">
        <v>0</v>
      </c>
      <c r="T250" s="1767">
        <v>0</v>
      </c>
      <c r="U250" s="1767">
        <v>0</v>
      </c>
      <c r="V250" s="1767">
        <v>0</v>
      </c>
      <c r="W250" s="1767">
        <v>0</v>
      </c>
      <c r="X250" s="1767">
        <v>0</v>
      </c>
      <c r="Y250" s="1767">
        <v>0</v>
      </c>
      <c r="Z250" s="1767">
        <v>0</v>
      </c>
      <c r="AA250" s="1767">
        <v>0</v>
      </c>
      <c r="AB250" s="1767">
        <v>0</v>
      </c>
      <c r="AC250" s="1767">
        <v>0</v>
      </c>
      <c r="AD250" s="1767">
        <v>0</v>
      </c>
      <c r="AE250" s="1767">
        <v>0</v>
      </c>
      <c r="AF250" s="1767">
        <v>0</v>
      </c>
      <c r="AG250" s="1767">
        <v>0</v>
      </c>
      <c r="AH250" s="1767">
        <v>0</v>
      </c>
      <c r="AI250" s="1767">
        <v>0</v>
      </c>
      <c r="AJ250" s="1767">
        <v>0</v>
      </c>
      <c r="AK250" s="1767">
        <v>0</v>
      </c>
      <c r="AL250" s="1767">
        <v>0</v>
      </c>
      <c r="AM250" s="1767">
        <v>0</v>
      </c>
      <c r="AN250" s="1767">
        <v>0</v>
      </c>
      <c r="AO250" s="1767">
        <v>0</v>
      </c>
      <c r="AP250" s="1767">
        <v>0</v>
      </c>
      <c r="AQ250" s="1767">
        <v>0</v>
      </c>
      <c r="AR250" s="1767">
        <v>0</v>
      </c>
      <c r="AS250" s="1767">
        <v>0</v>
      </c>
      <c r="AT250" s="1767">
        <v>0</v>
      </c>
      <c r="AU250" s="1767">
        <v>0</v>
      </c>
      <c r="AV250" s="1767">
        <v>0</v>
      </c>
      <c r="AW250" s="1767">
        <v>0</v>
      </c>
      <c r="AX250" s="1767">
        <v>0</v>
      </c>
      <c r="AY250" s="1767">
        <v>0</v>
      </c>
      <c r="AZ250" s="1767">
        <v>0</v>
      </c>
      <c r="BA250" s="1767">
        <v>0</v>
      </c>
      <c r="BB250" s="1767">
        <v>0</v>
      </c>
      <c r="BC250" s="1767">
        <v>0</v>
      </c>
      <c r="BD250" s="1767">
        <v>0</v>
      </c>
      <c r="BE250" s="1767">
        <v>0</v>
      </c>
      <c r="BF250" s="1767">
        <v>0</v>
      </c>
      <c r="BG250" s="1767">
        <v>0</v>
      </c>
      <c r="BH250" s="1767">
        <v>0</v>
      </c>
      <c r="BI250" s="1767">
        <v>0</v>
      </c>
      <c r="BJ250" s="1767">
        <v>0</v>
      </c>
      <c r="BK250" s="1767">
        <v>0</v>
      </c>
      <c r="BL250" s="1767">
        <v>0</v>
      </c>
      <c r="BM250" s="1767">
        <v>0</v>
      </c>
      <c r="BN250" s="1767">
        <v>0</v>
      </c>
      <c r="BO250" s="1767">
        <v>0</v>
      </c>
      <c r="BP250" s="1767">
        <v>0</v>
      </c>
      <c r="BQ250" s="1767">
        <v>0</v>
      </c>
      <c r="BR250" s="1767">
        <v>0</v>
      </c>
      <c r="BS250" s="1767">
        <v>0</v>
      </c>
      <c r="BT250" s="1767">
        <v>0</v>
      </c>
      <c r="BU250" s="1767">
        <v>0</v>
      </c>
      <c r="BV250" s="1767">
        <v>0</v>
      </c>
      <c r="BW250" s="1767">
        <v>0</v>
      </c>
      <c r="BX250" s="1767">
        <v>0</v>
      </c>
      <c r="BY250" s="1767">
        <v>0</v>
      </c>
      <c r="BZ250" s="1767">
        <v>0</v>
      </c>
      <c r="CA250" s="1767">
        <v>0</v>
      </c>
      <c r="CB250" s="1767">
        <v>0</v>
      </c>
      <c r="CC250" s="1767">
        <v>0</v>
      </c>
      <c r="CD250" s="1767">
        <v>0</v>
      </c>
      <c r="CE250" s="1767">
        <v>0</v>
      </c>
      <c r="CF250" s="1767">
        <v>0</v>
      </c>
      <c r="CG250" s="1767">
        <v>0</v>
      </c>
      <c r="CH250" s="1767">
        <v>0</v>
      </c>
      <c r="CI250" s="1767">
        <v>0</v>
      </c>
      <c r="CJ250" s="1767">
        <v>0</v>
      </c>
      <c r="CK250" s="1767">
        <v>0</v>
      </c>
      <c r="CL250" s="1767">
        <v>0</v>
      </c>
      <c r="CM250" s="1767">
        <v>0</v>
      </c>
      <c r="CN250" s="1767">
        <v>0</v>
      </c>
      <c r="CO250" s="1767">
        <v>0</v>
      </c>
      <c r="CP250" s="1767">
        <v>0</v>
      </c>
    </row>
    <row r="251" spans="1:94" ht="15" customHeight="1" thickBot="1" x14ac:dyDescent="0.25">
      <c r="A251" s="1848"/>
      <c r="B251" s="1857"/>
      <c r="C251" s="654" t="s">
        <v>54</v>
      </c>
      <c r="D251" s="936"/>
      <c r="E251" s="1832"/>
      <c r="F251" s="1225"/>
      <c r="G251" s="1767">
        <v>0</v>
      </c>
      <c r="H251" s="1767">
        <v>0</v>
      </c>
      <c r="I251" s="1767">
        <v>0</v>
      </c>
      <c r="J251" s="1767">
        <v>0</v>
      </c>
      <c r="K251" s="1767">
        <v>0</v>
      </c>
      <c r="L251" s="1767">
        <v>0</v>
      </c>
      <c r="M251" s="1767">
        <v>0</v>
      </c>
      <c r="N251" s="1767">
        <v>0</v>
      </c>
      <c r="O251" s="1767">
        <v>0</v>
      </c>
      <c r="P251" s="1767">
        <v>0</v>
      </c>
      <c r="Q251" s="1767">
        <v>0</v>
      </c>
      <c r="R251" s="1767">
        <v>0</v>
      </c>
      <c r="S251" s="1767">
        <v>0</v>
      </c>
      <c r="T251" s="1767">
        <v>0</v>
      </c>
      <c r="U251" s="1767">
        <v>0</v>
      </c>
      <c r="V251" s="1767">
        <v>0</v>
      </c>
      <c r="W251" s="1767">
        <v>0</v>
      </c>
      <c r="X251" s="1767">
        <v>0</v>
      </c>
      <c r="Y251" s="1767">
        <v>0</v>
      </c>
      <c r="Z251" s="1767">
        <v>0</v>
      </c>
      <c r="AA251" s="1767">
        <v>0</v>
      </c>
      <c r="AB251" s="1767">
        <v>0</v>
      </c>
      <c r="AC251" s="1767">
        <v>0</v>
      </c>
      <c r="AD251" s="1767">
        <v>0</v>
      </c>
      <c r="AE251" s="1767">
        <v>0</v>
      </c>
      <c r="AF251" s="1767">
        <v>0</v>
      </c>
      <c r="AG251" s="1767">
        <v>0</v>
      </c>
      <c r="AH251" s="1767">
        <v>0</v>
      </c>
      <c r="AI251" s="1767">
        <v>0</v>
      </c>
      <c r="AJ251" s="1767">
        <v>0</v>
      </c>
      <c r="AK251" s="1767">
        <v>0</v>
      </c>
      <c r="AL251" s="1767">
        <v>0</v>
      </c>
      <c r="AM251" s="1767">
        <v>0</v>
      </c>
      <c r="AN251" s="1767">
        <v>0</v>
      </c>
      <c r="AO251" s="1767">
        <v>0</v>
      </c>
      <c r="AP251" s="1767">
        <v>0</v>
      </c>
      <c r="AQ251" s="1767">
        <v>0</v>
      </c>
      <c r="AR251" s="1767">
        <v>0</v>
      </c>
      <c r="AS251" s="1767">
        <v>0</v>
      </c>
      <c r="AT251" s="1767">
        <v>0</v>
      </c>
      <c r="AU251" s="1767">
        <v>0</v>
      </c>
      <c r="AV251" s="1767">
        <v>0</v>
      </c>
      <c r="AW251" s="1767">
        <v>0</v>
      </c>
      <c r="AX251" s="1767">
        <v>0</v>
      </c>
      <c r="AY251" s="1767">
        <v>0</v>
      </c>
      <c r="AZ251" s="1767">
        <v>0</v>
      </c>
      <c r="BA251" s="1767">
        <v>0</v>
      </c>
      <c r="BB251" s="1767">
        <v>0</v>
      </c>
      <c r="BC251" s="1767">
        <v>0</v>
      </c>
      <c r="BD251" s="1767">
        <v>0</v>
      </c>
      <c r="BE251" s="1767">
        <v>0</v>
      </c>
      <c r="BF251" s="1767">
        <v>0</v>
      </c>
      <c r="BG251" s="1767">
        <v>0</v>
      </c>
      <c r="BH251" s="1767">
        <v>0</v>
      </c>
      <c r="BI251" s="1767">
        <v>0</v>
      </c>
      <c r="BJ251" s="1767">
        <v>0</v>
      </c>
      <c r="BK251" s="1767">
        <v>0</v>
      </c>
      <c r="BL251" s="1767">
        <v>0</v>
      </c>
      <c r="BM251" s="1767">
        <v>0</v>
      </c>
      <c r="BN251" s="1767">
        <v>0</v>
      </c>
      <c r="BO251" s="1767">
        <v>0</v>
      </c>
      <c r="BP251" s="1767">
        <v>0</v>
      </c>
      <c r="BQ251" s="1767">
        <v>0</v>
      </c>
      <c r="BR251" s="1767">
        <v>0</v>
      </c>
      <c r="BS251" s="1767">
        <v>0</v>
      </c>
      <c r="BT251" s="1767">
        <v>0</v>
      </c>
      <c r="BU251" s="1767">
        <v>0</v>
      </c>
      <c r="BV251" s="1767">
        <v>0</v>
      </c>
      <c r="BW251" s="1767">
        <v>0</v>
      </c>
      <c r="BX251" s="1767">
        <v>0</v>
      </c>
      <c r="BY251" s="1767">
        <v>0</v>
      </c>
      <c r="BZ251" s="1767">
        <v>0</v>
      </c>
      <c r="CA251" s="1767">
        <v>0</v>
      </c>
      <c r="CB251" s="1767">
        <v>0</v>
      </c>
      <c r="CC251" s="1767">
        <v>0</v>
      </c>
      <c r="CD251" s="1767">
        <v>0</v>
      </c>
      <c r="CE251" s="1767">
        <v>0</v>
      </c>
      <c r="CF251" s="1767">
        <v>0</v>
      </c>
      <c r="CG251" s="1767">
        <v>0</v>
      </c>
      <c r="CH251" s="1767">
        <v>0</v>
      </c>
      <c r="CI251" s="1767">
        <v>0</v>
      </c>
      <c r="CJ251" s="1767">
        <v>0</v>
      </c>
      <c r="CK251" s="1767">
        <v>0</v>
      </c>
      <c r="CL251" s="1767">
        <v>0</v>
      </c>
      <c r="CM251" s="1767">
        <v>0</v>
      </c>
      <c r="CN251" s="1767">
        <v>0</v>
      </c>
      <c r="CO251" s="1767">
        <v>0</v>
      </c>
      <c r="CP251" s="1767">
        <v>0</v>
      </c>
    </row>
    <row r="252" spans="1:94" ht="30" customHeight="1" thickBot="1" x14ac:dyDescent="0.25">
      <c r="A252" s="1846" t="s">
        <v>238</v>
      </c>
      <c r="B252" s="1846" t="s">
        <v>2251</v>
      </c>
      <c r="C252" s="1786" t="s">
        <v>2536</v>
      </c>
      <c r="D252" s="947"/>
      <c r="E252" s="1873" t="s">
        <v>2328</v>
      </c>
      <c r="F252" s="1225"/>
      <c r="G252" s="1742"/>
      <c r="H252" s="1742"/>
      <c r="I252" s="1742"/>
      <c r="J252" s="1742"/>
      <c r="K252" s="1742"/>
      <c r="L252" s="1742"/>
      <c r="M252" s="1742"/>
      <c r="N252" s="1742"/>
      <c r="O252" s="1742"/>
      <c r="P252" s="1742"/>
      <c r="Q252" s="1742"/>
      <c r="R252" s="1742"/>
      <c r="S252" s="1742"/>
      <c r="T252" s="1742"/>
      <c r="U252" s="1742"/>
      <c r="V252" s="1742"/>
      <c r="W252" s="1742"/>
      <c r="X252" s="1742"/>
      <c r="Y252" s="1742"/>
      <c r="Z252" s="1742"/>
      <c r="AA252" s="1742"/>
      <c r="AB252" s="1742"/>
      <c r="AC252" s="1742"/>
      <c r="AD252" s="1742"/>
      <c r="AE252" s="1742"/>
      <c r="AF252" s="1742"/>
      <c r="AG252" s="1742"/>
      <c r="AH252" s="1742"/>
      <c r="AI252" s="1742"/>
      <c r="AJ252" s="1742"/>
      <c r="AK252" s="1742"/>
      <c r="AL252" s="1742"/>
      <c r="AM252" s="1742"/>
      <c r="AN252" s="1742"/>
      <c r="AO252" s="1742"/>
      <c r="AP252" s="1742"/>
      <c r="AQ252" s="1742"/>
      <c r="AR252" s="1742"/>
      <c r="AS252" s="1742"/>
      <c r="AT252" s="1742"/>
      <c r="AU252" s="1742"/>
      <c r="AV252" s="1742"/>
      <c r="AW252" s="1742"/>
      <c r="AX252" s="1742"/>
      <c r="AY252" s="1742"/>
      <c r="AZ252" s="1742"/>
      <c r="BA252" s="1742"/>
      <c r="BB252" s="1742"/>
      <c r="BC252" s="1742"/>
      <c r="BD252" s="1742"/>
      <c r="BE252" s="1742"/>
      <c r="BF252" s="1742"/>
      <c r="BG252" s="1742"/>
      <c r="BH252" s="1742"/>
      <c r="BI252" s="1742"/>
      <c r="BJ252" s="1742"/>
      <c r="BK252" s="1742"/>
      <c r="BL252" s="1742"/>
      <c r="BM252" s="1742"/>
      <c r="BN252" s="1742"/>
      <c r="BO252" s="1742"/>
      <c r="BP252" s="1742"/>
      <c r="BQ252" s="1742"/>
      <c r="BR252" s="1742"/>
      <c r="BS252" s="1742"/>
      <c r="BT252" s="1742"/>
      <c r="BU252" s="1742"/>
      <c r="BV252" s="1742"/>
      <c r="BW252" s="1742"/>
      <c r="BX252" s="1742"/>
      <c r="BY252" s="1742"/>
      <c r="BZ252" s="1742"/>
      <c r="CA252" s="1742"/>
      <c r="CB252" s="1742"/>
      <c r="CC252" s="1742"/>
      <c r="CD252" s="1742"/>
      <c r="CE252" s="1742"/>
      <c r="CF252" s="1742"/>
      <c r="CG252" s="1742"/>
      <c r="CH252" s="1742"/>
      <c r="CI252" s="1742"/>
      <c r="CJ252" s="1742"/>
      <c r="CK252" s="1742"/>
      <c r="CL252" s="1742"/>
      <c r="CM252" s="1742"/>
      <c r="CN252" s="1742"/>
      <c r="CO252" s="1742"/>
      <c r="CP252" s="1742"/>
    </row>
    <row r="253" spans="1:94" ht="15" customHeight="1" x14ac:dyDescent="0.2">
      <c r="A253" s="1847"/>
      <c r="B253" s="1856"/>
      <c r="C253" s="661" t="s">
        <v>56</v>
      </c>
      <c r="D253" s="936"/>
      <c r="E253" s="1874"/>
      <c r="F253" s="1225"/>
      <c r="G253" s="1767">
        <v>0</v>
      </c>
      <c r="H253" s="1767">
        <v>0</v>
      </c>
      <c r="I253" s="1767">
        <v>0</v>
      </c>
      <c r="J253" s="1767">
        <v>0</v>
      </c>
      <c r="K253" s="1767">
        <v>0</v>
      </c>
      <c r="L253" s="1767">
        <v>0</v>
      </c>
      <c r="M253" s="1767">
        <v>0</v>
      </c>
      <c r="N253" s="1767">
        <v>0</v>
      </c>
      <c r="O253" s="1767">
        <v>0</v>
      </c>
      <c r="P253" s="1767">
        <v>0</v>
      </c>
      <c r="Q253" s="1767">
        <v>0</v>
      </c>
      <c r="R253" s="1767">
        <v>0</v>
      </c>
      <c r="S253" s="1767">
        <v>0</v>
      </c>
      <c r="T253" s="1767">
        <v>0</v>
      </c>
      <c r="U253" s="1767">
        <v>0</v>
      </c>
      <c r="V253" s="1767">
        <v>0</v>
      </c>
      <c r="W253" s="1767">
        <v>0</v>
      </c>
      <c r="X253" s="1767">
        <v>0</v>
      </c>
      <c r="Y253" s="1767">
        <v>0</v>
      </c>
      <c r="Z253" s="1767">
        <v>0</v>
      </c>
      <c r="AA253" s="1767">
        <v>0</v>
      </c>
      <c r="AB253" s="1767">
        <v>0</v>
      </c>
      <c r="AC253" s="1767">
        <v>0</v>
      </c>
      <c r="AD253" s="1767">
        <v>0</v>
      </c>
      <c r="AE253" s="1767">
        <v>0</v>
      </c>
      <c r="AF253" s="1767">
        <v>0</v>
      </c>
      <c r="AG253" s="1767">
        <v>0</v>
      </c>
      <c r="AH253" s="1767">
        <v>0</v>
      </c>
      <c r="AI253" s="1767">
        <v>0</v>
      </c>
      <c r="AJ253" s="1767">
        <v>0</v>
      </c>
      <c r="AK253" s="1767">
        <v>0</v>
      </c>
      <c r="AL253" s="1767">
        <v>0</v>
      </c>
      <c r="AM253" s="1767">
        <v>0</v>
      </c>
      <c r="AN253" s="1767">
        <v>0</v>
      </c>
      <c r="AO253" s="1767">
        <v>0</v>
      </c>
      <c r="AP253" s="1767">
        <v>0</v>
      </c>
      <c r="AQ253" s="1767">
        <v>0</v>
      </c>
      <c r="AR253" s="1767">
        <v>0</v>
      </c>
      <c r="AS253" s="1767">
        <v>0</v>
      </c>
      <c r="AT253" s="1767">
        <v>0</v>
      </c>
      <c r="AU253" s="1767">
        <v>0</v>
      </c>
      <c r="AV253" s="1767">
        <v>0</v>
      </c>
      <c r="AW253" s="1767">
        <v>0</v>
      </c>
      <c r="AX253" s="1767">
        <v>0</v>
      </c>
      <c r="AY253" s="1767">
        <v>0</v>
      </c>
      <c r="AZ253" s="1767">
        <v>0</v>
      </c>
      <c r="BA253" s="1767">
        <v>0</v>
      </c>
      <c r="BB253" s="1767">
        <v>0</v>
      </c>
      <c r="BC253" s="1767">
        <v>0</v>
      </c>
      <c r="BD253" s="1767">
        <v>0</v>
      </c>
      <c r="BE253" s="1767">
        <v>0</v>
      </c>
      <c r="BF253" s="1767">
        <v>0</v>
      </c>
      <c r="BG253" s="1767">
        <v>0</v>
      </c>
      <c r="BH253" s="1767">
        <v>0</v>
      </c>
      <c r="BI253" s="1767">
        <v>0</v>
      </c>
      <c r="BJ253" s="1767">
        <v>0</v>
      </c>
      <c r="BK253" s="1767">
        <v>0</v>
      </c>
      <c r="BL253" s="1767">
        <v>0</v>
      </c>
      <c r="BM253" s="1767">
        <v>0</v>
      </c>
      <c r="BN253" s="1767">
        <v>0</v>
      </c>
      <c r="BO253" s="1767">
        <v>0</v>
      </c>
      <c r="BP253" s="1767">
        <v>0</v>
      </c>
      <c r="BQ253" s="1767">
        <v>0</v>
      </c>
      <c r="BR253" s="1767">
        <v>0</v>
      </c>
      <c r="BS253" s="1767">
        <v>0</v>
      </c>
      <c r="BT253" s="1767">
        <v>0</v>
      </c>
      <c r="BU253" s="1767">
        <v>0</v>
      </c>
      <c r="BV253" s="1767">
        <v>0</v>
      </c>
      <c r="BW253" s="1767">
        <v>0</v>
      </c>
      <c r="BX253" s="1767">
        <v>0</v>
      </c>
      <c r="BY253" s="1767">
        <v>0</v>
      </c>
      <c r="BZ253" s="1767">
        <v>0</v>
      </c>
      <c r="CA253" s="1767">
        <v>0</v>
      </c>
      <c r="CB253" s="1767">
        <v>0</v>
      </c>
      <c r="CC253" s="1767">
        <v>0</v>
      </c>
      <c r="CD253" s="1767">
        <v>0</v>
      </c>
      <c r="CE253" s="1767">
        <v>0</v>
      </c>
      <c r="CF253" s="1767">
        <v>0</v>
      </c>
      <c r="CG253" s="1767">
        <v>0</v>
      </c>
      <c r="CH253" s="1767">
        <v>0</v>
      </c>
      <c r="CI253" s="1767">
        <v>0</v>
      </c>
      <c r="CJ253" s="1767">
        <v>0</v>
      </c>
      <c r="CK253" s="1767">
        <v>0</v>
      </c>
      <c r="CL253" s="1767">
        <v>0</v>
      </c>
      <c r="CM253" s="1767">
        <v>0</v>
      </c>
      <c r="CN253" s="1767">
        <v>0</v>
      </c>
      <c r="CO253" s="1767">
        <v>0</v>
      </c>
      <c r="CP253" s="1767">
        <v>0</v>
      </c>
    </row>
    <row r="254" spans="1:94" ht="15" customHeight="1" x14ac:dyDescent="0.2">
      <c r="A254" s="1847"/>
      <c r="B254" s="1856"/>
      <c r="C254" s="653" t="s">
        <v>158</v>
      </c>
      <c r="D254" s="936"/>
      <c r="E254" s="1874"/>
      <c r="F254" s="1225"/>
      <c r="G254" s="1767">
        <v>0</v>
      </c>
      <c r="H254" s="1767">
        <v>0</v>
      </c>
      <c r="I254" s="1767">
        <v>0</v>
      </c>
      <c r="J254" s="1767">
        <v>0</v>
      </c>
      <c r="K254" s="1767">
        <v>0</v>
      </c>
      <c r="L254" s="1767">
        <v>0</v>
      </c>
      <c r="M254" s="1767">
        <v>0</v>
      </c>
      <c r="N254" s="1767">
        <v>0</v>
      </c>
      <c r="O254" s="1767">
        <v>0</v>
      </c>
      <c r="P254" s="1767">
        <v>0</v>
      </c>
      <c r="Q254" s="1767">
        <v>0</v>
      </c>
      <c r="R254" s="1767">
        <v>0</v>
      </c>
      <c r="S254" s="1767">
        <v>0</v>
      </c>
      <c r="T254" s="1767">
        <v>0</v>
      </c>
      <c r="U254" s="1767">
        <v>0</v>
      </c>
      <c r="V254" s="1767">
        <v>0</v>
      </c>
      <c r="W254" s="1767">
        <v>0</v>
      </c>
      <c r="X254" s="1767">
        <v>0</v>
      </c>
      <c r="Y254" s="1767">
        <v>0</v>
      </c>
      <c r="Z254" s="1767">
        <v>0</v>
      </c>
      <c r="AA254" s="1767">
        <v>0</v>
      </c>
      <c r="AB254" s="1767">
        <v>0</v>
      </c>
      <c r="AC254" s="1767">
        <v>0</v>
      </c>
      <c r="AD254" s="1767">
        <v>0</v>
      </c>
      <c r="AE254" s="1767">
        <v>0</v>
      </c>
      <c r="AF254" s="1767">
        <v>0</v>
      </c>
      <c r="AG254" s="1767">
        <v>0</v>
      </c>
      <c r="AH254" s="1767">
        <v>0</v>
      </c>
      <c r="AI254" s="1767">
        <v>0</v>
      </c>
      <c r="AJ254" s="1767">
        <v>0</v>
      </c>
      <c r="AK254" s="1767">
        <v>0</v>
      </c>
      <c r="AL254" s="1767">
        <v>0</v>
      </c>
      <c r="AM254" s="1767">
        <v>0</v>
      </c>
      <c r="AN254" s="1767">
        <v>0</v>
      </c>
      <c r="AO254" s="1767">
        <v>0</v>
      </c>
      <c r="AP254" s="1767">
        <v>0</v>
      </c>
      <c r="AQ254" s="1767">
        <v>0</v>
      </c>
      <c r="AR254" s="1767">
        <v>0</v>
      </c>
      <c r="AS254" s="1767">
        <v>0</v>
      </c>
      <c r="AT254" s="1767">
        <v>0</v>
      </c>
      <c r="AU254" s="1767">
        <v>0</v>
      </c>
      <c r="AV254" s="1767">
        <v>0</v>
      </c>
      <c r="AW254" s="1767">
        <v>0</v>
      </c>
      <c r="AX254" s="1767">
        <v>0</v>
      </c>
      <c r="AY254" s="1767">
        <v>0</v>
      </c>
      <c r="AZ254" s="1767">
        <v>0</v>
      </c>
      <c r="BA254" s="1767">
        <v>0</v>
      </c>
      <c r="BB254" s="1767">
        <v>0</v>
      </c>
      <c r="BC254" s="1767">
        <v>0</v>
      </c>
      <c r="BD254" s="1767">
        <v>0</v>
      </c>
      <c r="BE254" s="1767">
        <v>0</v>
      </c>
      <c r="BF254" s="1767">
        <v>0</v>
      </c>
      <c r="BG254" s="1767">
        <v>0</v>
      </c>
      <c r="BH254" s="1767">
        <v>0</v>
      </c>
      <c r="BI254" s="1767">
        <v>0</v>
      </c>
      <c r="BJ254" s="1767">
        <v>0</v>
      </c>
      <c r="BK254" s="1767">
        <v>0</v>
      </c>
      <c r="BL254" s="1767">
        <v>0</v>
      </c>
      <c r="BM254" s="1767">
        <v>0</v>
      </c>
      <c r="BN254" s="1767">
        <v>0</v>
      </c>
      <c r="BO254" s="1767">
        <v>0</v>
      </c>
      <c r="BP254" s="1767">
        <v>0</v>
      </c>
      <c r="BQ254" s="1767">
        <v>0</v>
      </c>
      <c r="BR254" s="1767">
        <v>0</v>
      </c>
      <c r="BS254" s="1767">
        <v>0</v>
      </c>
      <c r="BT254" s="1767">
        <v>0</v>
      </c>
      <c r="BU254" s="1767">
        <v>0</v>
      </c>
      <c r="BV254" s="1767">
        <v>0</v>
      </c>
      <c r="BW254" s="1767">
        <v>0</v>
      </c>
      <c r="BX254" s="1767">
        <v>0</v>
      </c>
      <c r="BY254" s="1767">
        <v>0</v>
      </c>
      <c r="BZ254" s="1767">
        <v>0</v>
      </c>
      <c r="CA254" s="1767">
        <v>0</v>
      </c>
      <c r="CB254" s="1767">
        <v>0</v>
      </c>
      <c r="CC254" s="1767">
        <v>0</v>
      </c>
      <c r="CD254" s="1767">
        <v>0</v>
      </c>
      <c r="CE254" s="1767">
        <v>0</v>
      </c>
      <c r="CF254" s="1767">
        <v>0</v>
      </c>
      <c r="CG254" s="1767">
        <v>0</v>
      </c>
      <c r="CH254" s="1767">
        <v>0</v>
      </c>
      <c r="CI254" s="1767">
        <v>0</v>
      </c>
      <c r="CJ254" s="1767">
        <v>0</v>
      </c>
      <c r="CK254" s="1767">
        <v>0</v>
      </c>
      <c r="CL254" s="1767">
        <v>0</v>
      </c>
      <c r="CM254" s="1767">
        <v>0</v>
      </c>
      <c r="CN254" s="1767">
        <v>0</v>
      </c>
      <c r="CO254" s="1767">
        <v>0</v>
      </c>
      <c r="CP254" s="1767">
        <v>0</v>
      </c>
    </row>
    <row r="255" spans="1:94" ht="15" customHeight="1" x14ac:dyDescent="0.2">
      <c r="A255" s="1847"/>
      <c r="B255" s="1856"/>
      <c r="C255" s="653" t="s">
        <v>159</v>
      </c>
      <c r="D255" s="936"/>
      <c r="E255" s="1874"/>
      <c r="F255" s="1225"/>
      <c r="G255" s="1767">
        <v>0</v>
      </c>
      <c r="H255" s="1767">
        <v>0</v>
      </c>
      <c r="I255" s="1767">
        <v>0</v>
      </c>
      <c r="J255" s="1767">
        <v>0</v>
      </c>
      <c r="K255" s="1767">
        <v>0</v>
      </c>
      <c r="L255" s="1767">
        <v>0</v>
      </c>
      <c r="M255" s="1767">
        <v>0</v>
      </c>
      <c r="N255" s="1767">
        <v>0</v>
      </c>
      <c r="O255" s="1767">
        <v>0</v>
      </c>
      <c r="P255" s="1767">
        <v>0</v>
      </c>
      <c r="Q255" s="1767">
        <v>0</v>
      </c>
      <c r="R255" s="1767">
        <v>0</v>
      </c>
      <c r="S255" s="1767">
        <v>0</v>
      </c>
      <c r="T255" s="1767">
        <v>0</v>
      </c>
      <c r="U255" s="1767">
        <v>0</v>
      </c>
      <c r="V255" s="1767">
        <v>0</v>
      </c>
      <c r="W255" s="1767">
        <v>0</v>
      </c>
      <c r="X255" s="1767">
        <v>0</v>
      </c>
      <c r="Y255" s="1767">
        <v>0</v>
      </c>
      <c r="Z255" s="1767">
        <v>0</v>
      </c>
      <c r="AA255" s="1767">
        <v>0</v>
      </c>
      <c r="AB255" s="1767">
        <v>0</v>
      </c>
      <c r="AC255" s="1767">
        <v>0</v>
      </c>
      <c r="AD255" s="1767">
        <v>0</v>
      </c>
      <c r="AE255" s="1767">
        <v>0</v>
      </c>
      <c r="AF255" s="1767">
        <v>0</v>
      </c>
      <c r="AG255" s="1767">
        <v>0</v>
      </c>
      <c r="AH255" s="1767">
        <v>0</v>
      </c>
      <c r="AI255" s="1767">
        <v>0</v>
      </c>
      <c r="AJ255" s="1767">
        <v>0</v>
      </c>
      <c r="AK255" s="1767">
        <v>0</v>
      </c>
      <c r="AL255" s="1767">
        <v>0</v>
      </c>
      <c r="AM255" s="1767">
        <v>0</v>
      </c>
      <c r="AN255" s="1767">
        <v>0</v>
      </c>
      <c r="AO255" s="1767">
        <v>0</v>
      </c>
      <c r="AP255" s="1767">
        <v>0</v>
      </c>
      <c r="AQ255" s="1767">
        <v>0</v>
      </c>
      <c r="AR255" s="1767">
        <v>0</v>
      </c>
      <c r="AS255" s="1767">
        <v>0</v>
      </c>
      <c r="AT255" s="1767">
        <v>0</v>
      </c>
      <c r="AU255" s="1767">
        <v>0</v>
      </c>
      <c r="AV255" s="1767">
        <v>0</v>
      </c>
      <c r="AW255" s="1767">
        <v>0</v>
      </c>
      <c r="AX255" s="1767">
        <v>0</v>
      </c>
      <c r="AY255" s="1767">
        <v>0</v>
      </c>
      <c r="AZ255" s="1767">
        <v>0</v>
      </c>
      <c r="BA255" s="1767">
        <v>0</v>
      </c>
      <c r="BB255" s="1767">
        <v>0</v>
      </c>
      <c r="BC255" s="1767">
        <v>0</v>
      </c>
      <c r="BD255" s="1767">
        <v>0</v>
      </c>
      <c r="BE255" s="1767">
        <v>0</v>
      </c>
      <c r="BF255" s="1767">
        <v>0</v>
      </c>
      <c r="BG255" s="1767">
        <v>0</v>
      </c>
      <c r="BH255" s="1767">
        <v>0</v>
      </c>
      <c r="BI255" s="1767">
        <v>0</v>
      </c>
      <c r="BJ255" s="1767">
        <v>0</v>
      </c>
      <c r="BK255" s="1767">
        <v>0</v>
      </c>
      <c r="BL255" s="1767">
        <v>0</v>
      </c>
      <c r="BM255" s="1767">
        <v>0</v>
      </c>
      <c r="BN255" s="1767">
        <v>0</v>
      </c>
      <c r="BO255" s="1767">
        <v>0</v>
      </c>
      <c r="BP255" s="1767">
        <v>0</v>
      </c>
      <c r="BQ255" s="1767">
        <v>0</v>
      </c>
      <c r="BR255" s="1767">
        <v>0</v>
      </c>
      <c r="BS255" s="1767">
        <v>0</v>
      </c>
      <c r="BT255" s="1767">
        <v>0</v>
      </c>
      <c r="BU255" s="1767">
        <v>0</v>
      </c>
      <c r="BV255" s="1767">
        <v>0</v>
      </c>
      <c r="BW255" s="1767">
        <v>0</v>
      </c>
      <c r="BX255" s="1767">
        <v>0</v>
      </c>
      <c r="BY255" s="1767">
        <v>0</v>
      </c>
      <c r="BZ255" s="1767">
        <v>0</v>
      </c>
      <c r="CA255" s="1767">
        <v>0</v>
      </c>
      <c r="CB255" s="1767">
        <v>0</v>
      </c>
      <c r="CC255" s="1767">
        <v>0</v>
      </c>
      <c r="CD255" s="1767">
        <v>0</v>
      </c>
      <c r="CE255" s="1767">
        <v>0</v>
      </c>
      <c r="CF255" s="1767">
        <v>0</v>
      </c>
      <c r="CG255" s="1767">
        <v>0</v>
      </c>
      <c r="CH255" s="1767">
        <v>0</v>
      </c>
      <c r="CI255" s="1767">
        <v>0</v>
      </c>
      <c r="CJ255" s="1767">
        <v>0</v>
      </c>
      <c r="CK255" s="1767">
        <v>0</v>
      </c>
      <c r="CL255" s="1767">
        <v>0</v>
      </c>
      <c r="CM255" s="1767">
        <v>0</v>
      </c>
      <c r="CN255" s="1767">
        <v>0</v>
      </c>
      <c r="CO255" s="1767">
        <v>0</v>
      </c>
      <c r="CP255" s="1767">
        <v>0</v>
      </c>
    </row>
    <row r="256" spans="1:94" ht="15" customHeight="1" x14ac:dyDescent="0.2">
      <c r="A256" s="1847"/>
      <c r="B256" s="1856"/>
      <c r="C256" s="653" t="s">
        <v>160</v>
      </c>
      <c r="D256" s="936"/>
      <c r="E256" s="1874"/>
      <c r="F256" s="1225"/>
      <c r="G256" s="1767">
        <v>0</v>
      </c>
      <c r="H256" s="1767">
        <v>0</v>
      </c>
      <c r="I256" s="1767">
        <v>0</v>
      </c>
      <c r="J256" s="1767">
        <v>0</v>
      </c>
      <c r="K256" s="1767">
        <v>0</v>
      </c>
      <c r="L256" s="1767">
        <v>0</v>
      </c>
      <c r="M256" s="1767">
        <v>0</v>
      </c>
      <c r="N256" s="1767">
        <v>0</v>
      </c>
      <c r="O256" s="1767">
        <v>0</v>
      </c>
      <c r="P256" s="1767">
        <v>0</v>
      </c>
      <c r="Q256" s="1767">
        <v>0</v>
      </c>
      <c r="R256" s="1767">
        <v>0</v>
      </c>
      <c r="S256" s="1767">
        <v>0</v>
      </c>
      <c r="T256" s="1767">
        <v>0</v>
      </c>
      <c r="U256" s="1767">
        <v>0</v>
      </c>
      <c r="V256" s="1767">
        <v>0</v>
      </c>
      <c r="W256" s="1767">
        <v>0</v>
      </c>
      <c r="X256" s="1767">
        <v>0</v>
      </c>
      <c r="Y256" s="1767">
        <v>0</v>
      </c>
      <c r="Z256" s="1767">
        <v>0</v>
      </c>
      <c r="AA256" s="1767">
        <v>0</v>
      </c>
      <c r="AB256" s="1767">
        <v>0</v>
      </c>
      <c r="AC256" s="1767">
        <v>0</v>
      </c>
      <c r="AD256" s="1767">
        <v>0</v>
      </c>
      <c r="AE256" s="1767">
        <v>0</v>
      </c>
      <c r="AF256" s="1767">
        <v>0</v>
      </c>
      <c r="AG256" s="1767">
        <v>0</v>
      </c>
      <c r="AH256" s="1767">
        <v>0</v>
      </c>
      <c r="AI256" s="1767">
        <v>0</v>
      </c>
      <c r="AJ256" s="1767">
        <v>0</v>
      </c>
      <c r="AK256" s="1767">
        <v>0</v>
      </c>
      <c r="AL256" s="1767">
        <v>0</v>
      </c>
      <c r="AM256" s="1767">
        <v>0</v>
      </c>
      <c r="AN256" s="1767">
        <v>0</v>
      </c>
      <c r="AO256" s="1767">
        <v>0</v>
      </c>
      <c r="AP256" s="1767">
        <v>0</v>
      </c>
      <c r="AQ256" s="1767">
        <v>0</v>
      </c>
      <c r="AR256" s="1767">
        <v>0</v>
      </c>
      <c r="AS256" s="1767">
        <v>0</v>
      </c>
      <c r="AT256" s="1767">
        <v>0</v>
      </c>
      <c r="AU256" s="1767">
        <v>0</v>
      </c>
      <c r="AV256" s="1767">
        <v>0</v>
      </c>
      <c r="AW256" s="1767">
        <v>0</v>
      </c>
      <c r="AX256" s="1767">
        <v>0</v>
      </c>
      <c r="AY256" s="1767">
        <v>0</v>
      </c>
      <c r="AZ256" s="1767">
        <v>0</v>
      </c>
      <c r="BA256" s="1767">
        <v>0</v>
      </c>
      <c r="BB256" s="1767">
        <v>0</v>
      </c>
      <c r="BC256" s="1767">
        <v>0</v>
      </c>
      <c r="BD256" s="1767">
        <v>0</v>
      </c>
      <c r="BE256" s="1767">
        <v>0</v>
      </c>
      <c r="BF256" s="1767">
        <v>0</v>
      </c>
      <c r="BG256" s="1767">
        <v>0</v>
      </c>
      <c r="BH256" s="1767">
        <v>0</v>
      </c>
      <c r="BI256" s="1767">
        <v>0</v>
      </c>
      <c r="BJ256" s="1767">
        <v>0</v>
      </c>
      <c r="BK256" s="1767">
        <v>0</v>
      </c>
      <c r="BL256" s="1767">
        <v>0</v>
      </c>
      <c r="BM256" s="1767">
        <v>0</v>
      </c>
      <c r="BN256" s="1767">
        <v>0</v>
      </c>
      <c r="BO256" s="1767">
        <v>0</v>
      </c>
      <c r="BP256" s="1767">
        <v>0</v>
      </c>
      <c r="BQ256" s="1767">
        <v>0</v>
      </c>
      <c r="BR256" s="1767">
        <v>0</v>
      </c>
      <c r="BS256" s="1767">
        <v>0</v>
      </c>
      <c r="BT256" s="1767">
        <v>0</v>
      </c>
      <c r="BU256" s="1767">
        <v>0</v>
      </c>
      <c r="BV256" s="1767">
        <v>0</v>
      </c>
      <c r="BW256" s="1767">
        <v>0</v>
      </c>
      <c r="BX256" s="1767">
        <v>0</v>
      </c>
      <c r="BY256" s="1767">
        <v>0</v>
      </c>
      <c r="BZ256" s="1767">
        <v>0</v>
      </c>
      <c r="CA256" s="1767">
        <v>0</v>
      </c>
      <c r="CB256" s="1767">
        <v>0</v>
      </c>
      <c r="CC256" s="1767">
        <v>0</v>
      </c>
      <c r="CD256" s="1767">
        <v>0</v>
      </c>
      <c r="CE256" s="1767">
        <v>0</v>
      </c>
      <c r="CF256" s="1767">
        <v>0</v>
      </c>
      <c r="CG256" s="1767">
        <v>0</v>
      </c>
      <c r="CH256" s="1767">
        <v>0</v>
      </c>
      <c r="CI256" s="1767">
        <v>0</v>
      </c>
      <c r="CJ256" s="1767">
        <v>0</v>
      </c>
      <c r="CK256" s="1767">
        <v>0</v>
      </c>
      <c r="CL256" s="1767">
        <v>0</v>
      </c>
      <c r="CM256" s="1767">
        <v>0</v>
      </c>
      <c r="CN256" s="1767">
        <v>0</v>
      </c>
      <c r="CO256" s="1767">
        <v>0</v>
      </c>
      <c r="CP256" s="1767">
        <v>0</v>
      </c>
    </row>
    <row r="257" spans="1:94" ht="15" customHeight="1" thickBot="1" x14ac:dyDescent="0.25">
      <c r="A257" s="1848"/>
      <c r="B257" s="1857"/>
      <c r="C257" s="659" t="s">
        <v>2367</v>
      </c>
      <c r="D257" s="950"/>
      <c r="E257" s="1875"/>
      <c r="F257" s="1225"/>
      <c r="G257" s="1767">
        <v>0</v>
      </c>
      <c r="H257" s="1767">
        <v>0</v>
      </c>
      <c r="I257" s="1767">
        <v>0</v>
      </c>
      <c r="J257" s="1767">
        <v>0</v>
      </c>
      <c r="K257" s="1767">
        <v>0</v>
      </c>
      <c r="L257" s="1767">
        <v>0</v>
      </c>
      <c r="M257" s="1767">
        <v>0</v>
      </c>
      <c r="N257" s="1767">
        <v>0</v>
      </c>
      <c r="O257" s="1767">
        <v>0</v>
      </c>
      <c r="P257" s="1767">
        <v>0</v>
      </c>
      <c r="Q257" s="1767">
        <v>0</v>
      </c>
      <c r="R257" s="1767">
        <v>0</v>
      </c>
      <c r="S257" s="1767">
        <v>0</v>
      </c>
      <c r="T257" s="1767">
        <v>0</v>
      </c>
      <c r="U257" s="1767">
        <v>0</v>
      </c>
      <c r="V257" s="1767">
        <v>0</v>
      </c>
      <c r="W257" s="1767">
        <v>0</v>
      </c>
      <c r="X257" s="1767">
        <v>0</v>
      </c>
      <c r="Y257" s="1767">
        <v>0</v>
      </c>
      <c r="Z257" s="1767">
        <v>0</v>
      </c>
      <c r="AA257" s="1767">
        <v>0</v>
      </c>
      <c r="AB257" s="1767">
        <v>0</v>
      </c>
      <c r="AC257" s="1767">
        <v>0</v>
      </c>
      <c r="AD257" s="1767">
        <v>0</v>
      </c>
      <c r="AE257" s="1767">
        <v>0</v>
      </c>
      <c r="AF257" s="1767">
        <v>0</v>
      </c>
      <c r="AG257" s="1767">
        <v>0</v>
      </c>
      <c r="AH257" s="1767">
        <v>0</v>
      </c>
      <c r="AI257" s="1767">
        <v>0</v>
      </c>
      <c r="AJ257" s="1767">
        <v>0</v>
      </c>
      <c r="AK257" s="1767">
        <v>0</v>
      </c>
      <c r="AL257" s="1767">
        <v>0</v>
      </c>
      <c r="AM257" s="1767">
        <v>0</v>
      </c>
      <c r="AN257" s="1767">
        <v>0</v>
      </c>
      <c r="AO257" s="1767">
        <v>0</v>
      </c>
      <c r="AP257" s="1767">
        <v>0</v>
      </c>
      <c r="AQ257" s="1767">
        <v>0</v>
      </c>
      <c r="AR257" s="1767">
        <v>0</v>
      </c>
      <c r="AS257" s="1767">
        <v>0</v>
      </c>
      <c r="AT257" s="1767">
        <v>0</v>
      </c>
      <c r="AU257" s="1767">
        <v>0</v>
      </c>
      <c r="AV257" s="1767">
        <v>0</v>
      </c>
      <c r="AW257" s="1767">
        <v>0</v>
      </c>
      <c r="AX257" s="1767">
        <v>0</v>
      </c>
      <c r="AY257" s="1767">
        <v>0</v>
      </c>
      <c r="AZ257" s="1767">
        <v>0</v>
      </c>
      <c r="BA257" s="1767">
        <v>0</v>
      </c>
      <c r="BB257" s="1767">
        <v>0</v>
      </c>
      <c r="BC257" s="1767">
        <v>0</v>
      </c>
      <c r="BD257" s="1767">
        <v>0</v>
      </c>
      <c r="BE257" s="1767">
        <v>0</v>
      </c>
      <c r="BF257" s="1767">
        <v>0</v>
      </c>
      <c r="BG257" s="1767">
        <v>0</v>
      </c>
      <c r="BH257" s="1767">
        <v>0</v>
      </c>
      <c r="BI257" s="1767">
        <v>0</v>
      </c>
      <c r="BJ257" s="1767">
        <v>0</v>
      </c>
      <c r="BK257" s="1767">
        <v>0</v>
      </c>
      <c r="BL257" s="1767">
        <v>0</v>
      </c>
      <c r="BM257" s="1767">
        <v>0</v>
      </c>
      <c r="BN257" s="1767">
        <v>0</v>
      </c>
      <c r="BO257" s="1767">
        <v>0</v>
      </c>
      <c r="BP257" s="1767">
        <v>0</v>
      </c>
      <c r="BQ257" s="1767">
        <v>0</v>
      </c>
      <c r="BR257" s="1767">
        <v>0</v>
      </c>
      <c r="BS257" s="1767">
        <v>0</v>
      </c>
      <c r="BT257" s="1767">
        <v>0</v>
      </c>
      <c r="BU257" s="1767">
        <v>0</v>
      </c>
      <c r="BV257" s="1767">
        <v>0</v>
      </c>
      <c r="BW257" s="1767">
        <v>0</v>
      </c>
      <c r="BX257" s="1767">
        <v>0</v>
      </c>
      <c r="BY257" s="1767">
        <v>0</v>
      </c>
      <c r="BZ257" s="1767">
        <v>0</v>
      </c>
      <c r="CA257" s="1767">
        <v>0</v>
      </c>
      <c r="CB257" s="1767">
        <v>0</v>
      </c>
      <c r="CC257" s="1767">
        <v>0</v>
      </c>
      <c r="CD257" s="1767">
        <v>0</v>
      </c>
      <c r="CE257" s="1767">
        <v>0</v>
      </c>
      <c r="CF257" s="1767">
        <v>0</v>
      </c>
      <c r="CG257" s="1767">
        <v>0</v>
      </c>
      <c r="CH257" s="1767">
        <v>0</v>
      </c>
      <c r="CI257" s="1767">
        <v>0</v>
      </c>
      <c r="CJ257" s="1767">
        <v>0</v>
      </c>
      <c r="CK257" s="1767">
        <v>0</v>
      </c>
      <c r="CL257" s="1767">
        <v>0</v>
      </c>
      <c r="CM257" s="1767">
        <v>0</v>
      </c>
      <c r="CN257" s="1767">
        <v>0</v>
      </c>
      <c r="CO257" s="1767">
        <v>0</v>
      </c>
      <c r="CP257" s="1767">
        <v>0</v>
      </c>
    </row>
    <row r="258" spans="1:94" ht="18.75" customHeight="1" thickBot="1" x14ac:dyDescent="0.25">
      <c r="A258" s="1846" t="s">
        <v>239</v>
      </c>
      <c r="B258" s="1846" t="s">
        <v>273</v>
      </c>
      <c r="C258" s="1777" t="s">
        <v>2329</v>
      </c>
      <c r="D258" s="1354"/>
      <c r="E258" s="1831" t="s">
        <v>2050</v>
      </c>
      <c r="F258" s="1225"/>
      <c r="G258" s="1742"/>
      <c r="H258" s="1742"/>
      <c r="I258" s="1742"/>
      <c r="J258" s="1742"/>
      <c r="K258" s="1742"/>
      <c r="L258" s="1742"/>
      <c r="M258" s="1742"/>
      <c r="N258" s="1742"/>
      <c r="O258" s="1742"/>
      <c r="P258" s="1742"/>
      <c r="Q258" s="1742"/>
      <c r="R258" s="1742"/>
      <c r="S258" s="1742"/>
      <c r="T258" s="1742"/>
      <c r="U258" s="1742"/>
      <c r="V258" s="1742"/>
      <c r="W258" s="1742"/>
      <c r="X258" s="1742"/>
      <c r="Y258" s="1742"/>
      <c r="Z258" s="1742"/>
      <c r="AA258" s="1742"/>
      <c r="AB258" s="1742"/>
      <c r="AC258" s="1742"/>
      <c r="AD258" s="1742"/>
      <c r="AE258" s="1742"/>
      <c r="AF258" s="1742"/>
      <c r="AG258" s="1742"/>
      <c r="AH258" s="1742"/>
      <c r="AI258" s="1742"/>
      <c r="AJ258" s="1742"/>
      <c r="AK258" s="1742"/>
      <c r="AL258" s="1742"/>
      <c r="AM258" s="1742"/>
      <c r="AN258" s="1742"/>
      <c r="AO258" s="1742"/>
      <c r="AP258" s="1742"/>
      <c r="AQ258" s="1742"/>
      <c r="AR258" s="1742"/>
      <c r="AS258" s="1742"/>
      <c r="AT258" s="1742"/>
      <c r="AU258" s="1742"/>
      <c r="AV258" s="1742"/>
      <c r="AW258" s="1742"/>
      <c r="AX258" s="1742"/>
      <c r="AY258" s="1742"/>
      <c r="AZ258" s="1742"/>
      <c r="BA258" s="1742"/>
      <c r="BB258" s="1742"/>
      <c r="BC258" s="1742"/>
      <c r="BD258" s="1742"/>
      <c r="BE258" s="1742"/>
      <c r="BF258" s="1742"/>
      <c r="BG258" s="1742"/>
      <c r="BH258" s="1742"/>
      <c r="BI258" s="1742"/>
      <c r="BJ258" s="1742"/>
      <c r="BK258" s="1742"/>
      <c r="BL258" s="1742"/>
      <c r="BM258" s="1742"/>
      <c r="BN258" s="1742"/>
      <c r="BO258" s="1742"/>
      <c r="BP258" s="1742"/>
      <c r="BQ258" s="1742"/>
      <c r="BR258" s="1742"/>
      <c r="BS258" s="1742"/>
      <c r="BT258" s="1742"/>
      <c r="BU258" s="1742"/>
      <c r="BV258" s="1742"/>
      <c r="BW258" s="1742"/>
      <c r="BX258" s="1742"/>
      <c r="BY258" s="1742"/>
      <c r="BZ258" s="1742"/>
      <c r="CA258" s="1742"/>
      <c r="CB258" s="1742"/>
      <c r="CC258" s="1742"/>
      <c r="CD258" s="1742"/>
      <c r="CE258" s="1742"/>
      <c r="CF258" s="1742"/>
      <c r="CG258" s="1742"/>
      <c r="CH258" s="1742"/>
      <c r="CI258" s="1742"/>
      <c r="CJ258" s="1742"/>
      <c r="CK258" s="1742"/>
      <c r="CL258" s="1742"/>
      <c r="CM258" s="1742"/>
      <c r="CN258" s="1742"/>
      <c r="CO258" s="1742"/>
      <c r="CP258" s="1742"/>
    </row>
    <row r="259" spans="1:94" ht="15" customHeight="1" x14ac:dyDescent="0.2">
      <c r="A259" s="1856"/>
      <c r="B259" s="1856"/>
      <c r="C259" s="652" t="s">
        <v>455</v>
      </c>
      <c r="D259" s="1355"/>
      <c r="E259" s="1862"/>
      <c r="F259" s="1225"/>
      <c r="G259" s="1767">
        <v>0</v>
      </c>
      <c r="H259" s="1767">
        <v>0</v>
      </c>
      <c r="I259" s="1767">
        <v>0</v>
      </c>
      <c r="J259" s="1767">
        <v>0</v>
      </c>
      <c r="K259" s="1767">
        <v>0</v>
      </c>
      <c r="L259" s="1767">
        <v>0</v>
      </c>
      <c r="M259" s="1767">
        <v>0</v>
      </c>
      <c r="N259" s="1767">
        <v>0</v>
      </c>
      <c r="O259" s="1767">
        <v>0</v>
      </c>
      <c r="P259" s="1767">
        <v>0</v>
      </c>
      <c r="Q259" s="1767">
        <v>0</v>
      </c>
      <c r="R259" s="1767">
        <v>0</v>
      </c>
      <c r="S259" s="1767">
        <v>0</v>
      </c>
      <c r="T259" s="1767">
        <v>0</v>
      </c>
      <c r="U259" s="1767">
        <v>0</v>
      </c>
      <c r="V259" s="1767">
        <v>0</v>
      </c>
      <c r="W259" s="1767">
        <v>0</v>
      </c>
      <c r="X259" s="1767">
        <v>0</v>
      </c>
      <c r="Y259" s="1767">
        <v>0</v>
      </c>
      <c r="Z259" s="1767">
        <v>0</v>
      </c>
      <c r="AA259" s="1767">
        <v>0</v>
      </c>
      <c r="AB259" s="1767">
        <v>0</v>
      </c>
      <c r="AC259" s="1767">
        <v>0</v>
      </c>
      <c r="AD259" s="1767">
        <v>0</v>
      </c>
      <c r="AE259" s="1767">
        <v>0</v>
      </c>
      <c r="AF259" s="1767">
        <v>0</v>
      </c>
      <c r="AG259" s="1767">
        <v>0</v>
      </c>
      <c r="AH259" s="1767">
        <v>0</v>
      </c>
      <c r="AI259" s="1767">
        <v>0</v>
      </c>
      <c r="AJ259" s="1767">
        <v>0</v>
      </c>
      <c r="AK259" s="1767">
        <v>0</v>
      </c>
      <c r="AL259" s="1767">
        <v>0</v>
      </c>
      <c r="AM259" s="1767">
        <v>0</v>
      </c>
      <c r="AN259" s="1767">
        <v>0</v>
      </c>
      <c r="AO259" s="1767">
        <v>0</v>
      </c>
      <c r="AP259" s="1767">
        <v>0</v>
      </c>
      <c r="AQ259" s="1767">
        <v>0</v>
      </c>
      <c r="AR259" s="1767">
        <v>0</v>
      </c>
      <c r="AS259" s="1767">
        <v>0</v>
      </c>
      <c r="AT259" s="1767">
        <v>0</v>
      </c>
      <c r="AU259" s="1767">
        <v>0</v>
      </c>
      <c r="AV259" s="1767">
        <v>0</v>
      </c>
      <c r="AW259" s="1767">
        <v>0</v>
      </c>
      <c r="AX259" s="1767">
        <v>0</v>
      </c>
      <c r="AY259" s="1767">
        <v>0</v>
      </c>
      <c r="AZ259" s="1767">
        <v>0</v>
      </c>
      <c r="BA259" s="1767">
        <v>0</v>
      </c>
      <c r="BB259" s="1767">
        <v>0</v>
      </c>
      <c r="BC259" s="1767">
        <v>0</v>
      </c>
      <c r="BD259" s="1767">
        <v>0</v>
      </c>
      <c r="BE259" s="1767">
        <v>0</v>
      </c>
      <c r="BF259" s="1767">
        <v>0</v>
      </c>
      <c r="BG259" s="1767">
        <v>0</v>
      </c>
      <c r="BH259" s="1767">
        <v>0</v>
      </c>
      <c r="BI259" s="1767">
        <v>0</v>
      </c>
      <c r="BJ259" s="1767">
        <v>0</v>
      </c>
      <c r="BK259" s="1767">
        <v>0</v>
      </c>
      <c r="BL259" s="1767">
        <v>0</v>
      </c>
      <c r="BM259" s="1767">
        <v>0</v>
      </c>
      <c r="BN259" s="1767">
        <v>0</v>
      </c>
      <c r="BO259" s="1767">
        <v>0</v>
      </c>
      <c r="BP259" s="1767">
        <v>0</v>
      </c>
      <c r="BQ259" s="1767">
        <v>0</v>
      </c>
      <c r="BR259" s="1767">
        <v>0</v>
      </c>
      <c r="BS259" s="1767">
        <v>0</v>
      </c>
      <c r="BT259" s="1767">
        <v>0</v>
      </c>
      <c r="BU259" s="1767">
        <v>0</v>
      </c>
      <c r="BV259" s="1767">
        <v>0</v>
      </c>
      <c r="BW259" s="1767">
        <v>0</v>
      </c>
      <c r="BX259" s="1767">
        <v>0</v>
      </c>
      <c r="BY259" s="1767">
        <v>0</v>
      </c>
      <c r="BZ259" s="1767">
        <v>0</v>
      </c>
      <c r="CA259" s="1767">
        <v>0</v>
      </c>
      <c r="CB259" s="1767">
        <v>0</v>
      </c>
      <c r="CC259" s="1767">
        <v>0</v>
      </c>
      <c r="CD259" s="1767">
        <v>0</v>
      </c>
      <c r="CE259" s="1767">
        <v>0</v>
      </c>
      <c r="CF259" s="1767">
        <v>0</v>
      </c>
      <c r="CG259" s="1767">
        <v>0</v>
      </c>
      <c r="CH259" s="1767">
        <v>0</v>
      </c>
      <c r="CI259" s="1767">
        <v>0</v>
      </c>
      <c r="CJ259" s="1767">
        <v>0</v>
      </c>
      <c r="CK259" s="1767">
        <v>0</v>
      </c>
      <c r="CL259" s="1767">
        <v>0</v>
      </c>
      <c r="CM259" s="1767">
        <v>0</v>
      </c>
      <c r="CN259" s="1767">
        <v>0</v>
      </c>
      <c r="CO259" s="1767">
        <v>0</v>
      </c>
      <c r="CP259" s="1767">
        <v>0</v>
      </c>
    </row>
    <row r="260" spans="1:94" ht="27" customHeight="1" thickBot="1" x14ac:dyDescent="0.25">
      <c r="A260" s="1857"/>
      <c r="B260" s="1857"/>
      <c r="C260" s="654" t="s">
        <v>1707</v>
      </c>
      <c r="D260" s="1356"/>
      <c r="E260" s="1862"/>
      <c r="F260" s="1225"/>
      <c r="G260" s="1767">
        <v>0</v>
      </c>
      <c r="H260" s="1767">
        <v>0</v>
      </c>
      <c r="I260" s="1767">
        <v>0</v>
      </c>
      <c r="J260" s="1767">
        <v>0</v>
      </c>
      <c r="K260" s="1767">
        <v>0</v>
      </c>
      <c r="L260" s="1767">
        <v>0</v>
      </c>
      <c r="M260" s="1767">
        <v>0</v>
      </c>
      <c r="N260" s="1767">
        <v>0</v>
      </c>
      <c r="O260" s="1767">
        <v>0</v>
      </c>
      <c r="P260" s="1767">
        <v>0</v>
      </c>
      <c r="Q260" s="1767">
        <v>0</v>
      </c>
      <c r="R260" s="1767">
        <v>0</v>
      </c>
      <c r="S260" s="1767">
        <v>0</v>
      </c>
      <c r="T260" s="1767">
        <v>0</v>
      </c>
      <c r="U260" s="1767">
        <v>0</v>
      </c>
      <c r="V260" s="1767">
        <v>0</v>
      </c>
      <c r="W260" s="1767">
        <v>0</v>
      </c>
      <c r="X260" s="1767">
        <v>0</v>
      </c>
      <c r="Y260" s="1767">
        <v>0</v>
      </c>
      <c r="Z260" s="1767">
        <v>0</v>
      </c>
      <c r="AA260" s="1767">
        <v>0</v>
      </c>
      <c r="AB260" s="1767">
        <v>0</v>
      </c>
      <c r="AC260" s="1767">
        <v>0</v>
      </c>
      <c r="AD260" s="1767">
        <v>0</v>
      </c>
      <c r="AE260" s="1767">
        <v>0</v>
      </c>
      <c r="AF260" s="1767">
        <v>0</v>
      </c>
      <c r="AG260" s="1767">
        <v>0</v>
      </c>
      <c r="AH260" s="1767">
        <v>0</v>
      </c>
      <c r="AI260" s="1767">
        <v>0</v>
      </c>
      <c r="AJ260" s="1767">
        <v>0</v>
      </c>
      <c r="AK260" s="1767">
        <v>0</v>
      </c>
      <c r="AL260" s="1767">
        <v>0</v>
      </c>
      <c r="AM260" s="1767">
        <v>0</v>
      </c>
      <c r="AN260" s="1767">
        <v>0</v>
      </c>
      <c r="AO260" s="1767">
        <v>0</v>
      </c>
      <c r="AP260" s="1767">
        <v>0</v>
      </c>
      <c r="AQ260" s="1767">
        <v>0</v>
      </c>
      <c r="AR260" s="1767">
        <v>0</v>
      </c>
      <c r="AS260" s="1767">
        <v>0</v>
      </c>
      <c r="AT260" s="1767">
        <v>0</v>
      </c>
      <c r="AU260" s="1767">
        <v>0</v>
      </c>
      <c r="AV260" s="1767">
        <v>0</v>
      </c>
      <c r="AW260" s="1767">
        <v>0</v>
      </c>
      <c r="AX260" s="1767">
        <v>0</v>
      </c>
      <c r="AY260" s="1767">
        <v>0</v>
      </c>
      <c r="AZ260" s="1767">
        <v>0</v>
      </c>
      <c r="BA260" s="1767">
        <v>0</v>
      </c>
      <c r="BB260" s="1767">
        <v>0</v>
      </c>
      <c r="BC260" s="1767">
        <v>0</v>
      </c>
      <c r="BD260" s="1767">
        <v>0</v>
      </c>
      <c r="BE260" s="1767">
        <v>0</v>
      </c>
      <c r="BF260" s="1767">
        <v>0</v>
      </c>
      <c r="BG260" s="1767">
        <v>0</v>
      </c>
      <c r="BH260" s="1767">
        <v>0</v>
      </c>
      <c r="BI260" s="1767">
        <v>0</v>
      </c>
      <c r="BJ260" s="1767">
        <v>0</v>
      </c>
      <c r="BK260" s="1767">
        <v>0</v>
      </c>
      <c r="BL260" s="1767">
        <v>0</v>
      </c>
      <c r="BM260" s="1767">
        <v>0</v>
      </c>
      <c r="BN260" s="1767">
        <v>0</v>
      </c>
      <c r="BO260" s="1767">
        <v>0</v>
      </c>
      <c r="BP260" s="1767">
        <v>0</v>
      </c>
      <c r="BQ260" s="1767">
        <v>0</v>
      </c>
      <c r="BR260" s="1767">
        <v>0</v>
      </c>
      <c r="BS260" s="1767">
        <v>0</v>
      </c>
      <c r="BT260" s="1767">
        <v>0</v>
      </c>
      <c r="BU260" s="1767">
        <v>0</v>
      </c>
      <c r="BV260" s="1767">
        <v>0</v>
      </c>
      <c r="BW260" s="1767">
        <v>0</v>
      </c>
      <c r="BX260" s="1767">
        <v>0</v>
      </c>
      <c r="BY260" s="1767">
        <v>0</v>
      </c>
      <c r="BZ260" s="1767">
        <v>0</v>
      </c>
      <c r="CA260" s="1767">
        <v>0</v>
      </c>
      <c r="CB260" s="1767">
        <v>0</v>
      </c>
      <c r="CC260" s="1767">
        <v>0</v>
      </c>
      <c r="CD260" s="1767">
        <v>0</v>
      </c>
      <c r="CE260" s="1767">
        <v>0</v>
      </c>
      <c r="CF260" s="1767">
        <v>0</v>
      </c>
      <c r="CG260" s="1767">
        <v>0</v>
      </c>
      <c r="CH260" s="1767">
        <v>0</v>
      </c>
      <c r="CI260" s="1767">
        <v>0</v>
      </c>
      <c r="CJ260" s="1767">
        <v>0</v>
      </c>
      <c r="CK260" s="1767">
        <v>0</v>
      </c>
      <c r="CL260" s="1767">
        <v>0</v>
      </c>
      <c r="CM260" s="1767">
        <v>0</v>
      </c>
      <c r="CN260" s="1767">
        <v>0</v>
      </c>
      <c r="CO260" s="1767">
        <v>0</v>
      </c>
      <c r="CP260" s="1767">
        <v>0</v>
      </c>
    </row>
    <row r="261" spans="1:94" ht="45" customHeight="1" thickBot="1" x14ac:dyDescent="0.25">
      <c r="A261" s="1358" t="s">
        <v>29</v>
      </c>
      <c r="B261" s="1365" t="s">
        <v>639</v>
      </c>
      <c r="C261" s="1781" t="s">
        <v>640</v>
      </c>
      <c r="D261" s="948"/>
      <c r="E261" s="791" t="s">
        <v>2051</v>
      </c>
      <c r="F261" s="1225"/>
      <c r="G261" s="1767">
        <v>0</v>
      </c>
      <c r="H261" s="1767">
        <v>0</v>
      </c>
      <c r="I261" s="1767">
        <v>0</v>
      </c>
      <c r="J261" s="1767">
        <v>0</v>
      </c>
      <c r="K261" s="1767">
        <v>0</v>
      </c>
      <c r="L261" s="1767">
        <v>0</v>
      </c>
      <c r="M261" s="1767">
        <v>0</v>
      </c>
      <c r="N261" s="1767">
        <v>0</v>
      </c>
      <c r="O261" s="1767">
        <v>0</v>
      </c>
      <c r="P261" s="1767">
        <v>0</v>
      </c>
      <c r="Q261" s="1767">
        <v>0</v>
      </c>
      <c r="R261" s="1767">
        <v>0</v>
      </c>
      <c r="S261" s="1767">
        <v>0</v>
      </c>
      <c r="T261" s="1767">
        <v>0</v>
      </c>
      <c r="U261" s="1767">
        <v>0</v>
      </c>
      <c r="V261" s="1767">
        <v>0</v>
      </c>
      <c r="W261" s="1767">
        <v>0</v>
      </c>
      <c r="X261" s="1767">
        <v>0</v>
      </c>
      <c r="Y261" s="1767">
        <v>0</v>
      </c>
      <c r="Z261" s="1767">
        <v>0</v>
      </c>
      <c r="AA261" s="1767">
        <v>0</v>
      </c>
      <c r="AB261" s="1767">
        <v>0</v>
      </c>
      <c r="AC261" s="1767">
        <v>0</v>
      </c>
      <c r="AD261" s="1767">
        <v>0</v>
      </c>
      <c r="AE261" s="1767">
        <v>0</v>
      </c>
      <c r="AF261" s="1767">
        <v>0</v>
      </c>
      <c r="AG261" s="1767">
        <v>0</v>
      </c>
      <c r="AH261" s="1767">
        <v>0</v>
      </c>
      <c r="AI261" s="1767">
        <v>0</v>
      </c>
      <c r="AJ261" s="1767">
        <v>0</v>
      </c>
      <c r="AK261" s="1767">
        <v>0</v>
      </c>
      <c r="AL261" s="1767">
        <v>0</v>
      </c>
      <c r="AM261" s="1767">
        <v>0</v>
      </c>
      <c r="AN261" s="1767">
        <v>0</v>
      </c>
      <c r="AO261" s="1767">
        <v>0</v>
      </c>
      <c r="AP261" s="1767">
        <v>0</v>
      </c>
      <c r="AQ261" s="1767">
        <v>0</v>
      </c>
      <c r="AR261" s="1767">
        <v>0</v>
      </c>
      <c r="AS261" s="1767">
        <v>0</v>
      </c>
      <c r="AT261" s="1767">
        <v>0</v>
      </c>
      <c r="AU261" s="1767">
        <v>0</v>
      </c>
      <c r="AV261" s="1767">
        <v>0</v>
      </c>
      <c r="AW261" s="1767">
        <v>0</v>
      </c>
      <c r="AX261" s="1767">
        <v>0</v>
      </c>
      <c r="AY261" s="1767">
        <v>0</v>
      </c>
      <c r="AZ261" s="1767">
        <v>0</v>
      </c>
      <c r="BA261" s="1767">
        <v>0</v>
      </c>
      <c r="BB261" s="1767">
        <v>0</v>
      </c>
      <c r="BC261" s="1767">
        <v>0</v>
      </c>
      <c r="BD261" s="1767">
        <v>0</v>
      </c>
      <c r="BE261" s="1767">
        <v>0</v>
      </c>
      <c r="BF261" s="1767">
        <v>0</v>
      </c>
      <c r="BG261" s="1767">
        <v>0</v>
      </c>
      <c r="BH261" s="1767">
        <v>0</v>
      </c>
      <c r="BI261" s="1767">
        <v>0</v>
      </c>
      <c r="BJ261" s="1767">
        <v>0</v>
      </c>
      <c r="BK261" s="1767">
        <v>0</v>
      </c>
      <c r="BL261" s="1767">
        <v>0</v>
      </c>
      <c r="BM261" s="1767">
        <v>0</v>
      </c>
      <c r="BN261" s="1767">
        <v>0</v>
      </c>
      <c r="BO261" s="1767">
        <v>0</v>
      </c>
      <c r="BP261" s="1767">
        <v>0</v>
      </c>
      <c r="BQ261" s="1767">
        <v>0</v>
      </c>
      <c r="BR261" s="1767">
        <v>0</v>
      </c>
      <c r="BS261" s="1767">
        <v>0</v>
      </c>
      <c r="BT261" s="1767">
        <v>0</v>
      </c>
      <c r="BU261" s="1767">
        <v>0</v>
      </c>
      <c r="BV261" s="1767">
        <v>0</v>
      </c>
      <c r="BW261" s="1767">
        <v>0</v>
      </c>
      <c r="BX261" s="1767">
        <v>0</v>
      </c>
      <c r="BY261" s="1767">
        <v>0</v>
      </c>
      <c r="BZ261" s="1767">
        <v>0</v>
      </c>
      <c r="CA261" s="1767">
        <v>0</v>
      </c>
      <c r="CB261" s="1767">
        <v>0</v>
      </c>
      <c r="CC261" s="1767">
        <v>0</v>
      </c>
      <c r="CD261" s="1767">
        <v>0</v>
      </c>
      <c r="CE261" s="1767">
        <v>0</v>
      </c>
      <c r="CF261" s="1767">
        <v>0</v>
      </c>
      <c r="CG261" s="1767">
        <v>0</v>
      </c>
      <c r="CH261" s="1767">
        <v>0</v>
      </c>
      <c r="CI261" s="1767">
        <v>0</v>
      </c>
      <c r="CJ261" s="1767">
        <v>0</v>
      </c>
      <c r="CK261" s="1767">
        <v>0</v>
      </c>
      <c r="CL261" s="1767">
        <v>0</v>
      </c>
      <c r="CM261" s="1767">
        <v>0</v>
      </c>
      <c r="CN261" s="1767">
        <v>0</v>
      </c>
      <c r="CO261" s="1767">
        <v>0</v>
      </c>
      <c r="CP261" s="1767">
        <v>0</v>
      </c>
    </row>
    <row r="262" spans="1:94" s="2" customFormat="1" ht="30" customHeight="1" thickBot="1" x14ac:dyDescent="0.25">
      <c r="A262" s="1849" t="s">
        <v>165</v>
      </c>
      <c r="B262" s="1898" t="s">
        <v>2330</v>
      </c>
      <c r="C262" s="1777" t="s">
        <v>2262</v>
      </c>
      <c r="D262" s="947"/>
      <c r="E262" s="1876" t="s">
        <v>2052</v>
      </c>
      <c r="F262" s="1226"/>
      <c r="G262" s="1742"/>
      <c r="H262" s="1742"/>
      <c r="I262" s="1742"/>
      <c r="J262" s="1742"/>
      <c r="K262" s="1742"/>
      <c r="L262" s="1742"/>
      <c r="M262" s="1742"/>
      <c r="N262" s="1742"/>
      <c r="O262" s="1742"/>
      <c r="P262" s="1742"/>
      <c r="Q262" s="1742"/>
      <c r="R262" s="1742"/>
      <c r="S262" s="1742"/>
      <c r="T262" s="1742"/>
      <c r="U262" s="1742"/>
      <c r="V262" s="1742"/>
      <c r="W262" s="1742"/>
      <c r="X262" s="1742"/>
      <c r="Y262" s="1742"/>
      <c r="Z262" s="1742"/>
      <c r="AA262" s="1742"/>
      <c r="AB262" s="1742"/>
      <c r="AC262" s="1742"/>
      <c r="AD262" s="1742"/>
      <c r="AE262" s="1742"/>
      <c r="AF262" s="1742"/>
      <c r="AG262" s="1742"/>
      <c r="AH262" s="1742"/>
      <c r="AI262" s="1742"/>
      <c r="AJ262" s="1742"/>
      <c r="AK262" s="1742"/>
      <c r="AL262" s="1742"/>
      <c r="AM262" s="1742"/>
      <c r="AN262" s="1742"/>
      <c r="AO262" s="1742"/>
      <c r="AP262" s="1742"/>
      <c r="AQ262" s="1742"/>
      <c r="AR262" s="1742"/>
      <c r="AS262" s="1742"/>
      <c r="AT262" s="1742"/>
      <c r="AU262" s="1742"/>
      <c r="AV262" s="1742"/>
      <c r="AW262" s="1742"/>
      <c r="AX262" s="1742"/>
      <c r="AY262" s="1742"/>
      <c r="AZ262" s="1742"/>
      <c r="BA262" s="1742"/>
      <c r="BB262" s="1742"/>
      <c r="BC262" s="1742"/>
      <c r="BD262" s="1742"/>
      <c r="BE262" s="1742"/>
      <c r="BF262" s="1742"/>
      <c r="BG262" s="1742"/>
      <c r="BH262" s="1742"/>
      <c r="BI262" s="1742"/>
      <c r="BJ262" s="1742"/>
      <c r="BK262" s="1742"/>
      <c r="BL262" s="1742"/>
      <c r="BM262" s="1742"/>
      <c r="BN262" s="1742"/>
      <c r="BO262" s="1742"/>
      <c r="BP262" s="1742"/>
      <c r="BQ262" s="1742"/>
      <c r="BR262" s="1742"/>
      <c r="BS262" s="1742"/>
      <c r="BT262" s="1742"/>
      <c r="BU262" s="1742"/>
      <c r="BV262" s="1742"/>
      <c r="BW262" s="1742"/>
      <c r="BX262" s="1742"/>
      <c r="BY262" s="1742"/>
      <c r="BZ262" s="1742"/>
      <c r="CA262" s="1742"/>
      <c r="CB262" s="1742"/>
      <c r="CC262" s="1742"/>
      <c r="CD262" s="1742"/>
      <c r="CE262" s="1742"/>
      <c r="CF262" s="1742"/>
      <c r="CG262" s="1742"/>
      <c r="CH262" s="1742"/>
      <c r="CI262" s="1742"/>
      <c r="CJ262" s="1742"/>
      <c r="CK262" s="1742"/>
      <c r="CL262" s="1742"/>
      <c r="CM262" s="1742"/>
      <c r="CN262" s="1742"/>
      <c r="CO262" s="1742"/>
      <c r="CP262" s="1742"/>
    </row>
    <row r="263" spans="1:94" s="2" customFormat="1" ht="15" customHeight="1" x14ac:dyDescent="0.2">
      <c r="A263" s="1847"/>
      <c r="B263" s="1899"/>
      <c r="C263" s="660" t="s">
        <v>67</v>
      </c>
      <c r="D263" s="936"/>
      <c r="E263" s="1866"/>
      <c r="F263" s="1226"/>
      <c r="G263" s="1767">
        <v>0</v>
      </c>
      <c r="H263" s="1767">
        <v>0</v>
      </c>
      <c r="I263" s="1767">
        <v>0</v>
      </c>
      <c r="J263" s="1767">
        <v>0</v>
      </c>
      <c r="K263" s="1767">
        <v>0</v>
      </c>
      <c r="L263" s="1767">
        <v>0</v>
      </c>
      <c r="M263" s="1767">
        <v>0</v>
      </c>
      <c r="N263" s="1767">
        <v>0</v>
      </c>
      <c r="O263" s="1767">
        <v>0</v>
      </c>
      <c r="P263" s="1767">
        <v>0</v>
      </c>
      <c r="Q263" s="1767">
        <v>0</v>
      </c>
      <c r="R263" s="1767">
        <v>0</v>
      </c>
      <c r="S263" s="1767">
        <v>0</v>
      </c>
      <c r="T263" s="1767">
        <v>0</v>
      </c>
      <c r="U263" s="1767">
        <v>0</v>
      </c>
      <c r="V263" s="1767">
        <v>0</v>
      </c>
      <c r="W263" s="1767">
        <v>0</v>
      </c>
      <c r="X263" s="1767">
        <v>0</v>
      </c>
      <c r="Y263" s="1767">
        <v>0</v>
      </c>
      <c r="Z263" s="1767">
        <v>0</v>
      </c>
      <c r="AA263" s="1767">
        <v>0</v>
      </c>
      <c r="AB263" s="1767">
        <v>0</v>
      </c>
      <c r="AC263" s="1767">
        <v>0</v>
      </c>
      <c r="AD263" s="1767">
        <v>0</v>
      </c>
      <c r="AE263" s="1767">
        <v>0</v>
      </c>
      <c r="AF263" s="1767">
        <v>0</v>
      </c>
      <c r="AG263" s="1767">
        <v>0</v>
      </c>
      <c r="AH263" s="1767">
        <v>0</v>
      </c>
      <c r="AI263" s="1767">
        <v>0</v>
      </c>
      <c r="AJ263" s="1767">
        <v>0</v>
      </c>
      <c r="AK263" s="1767">
        <v>0</v>
      </c>
      <c r="AL263" s="1767">
        <v>0</v>
      </c>
      <c r="AM263" s="1767">
        <v>0</v>
      </c>
      <c r="AN263" s="1767">
        <v>0</v>
      </c>
      <c r="AO263" s="1767">
        <v>0</v>
      </c>
      <c r="AP263" s="1767">
        <v>0</v>
      </c>
      <c r="AQ263" s="1767">
        <v>0</v>
      </c>
      <c r="AR263" s="1767">
        <v>0</v>
      </c>
      <c r="AS263" s="1767">
        <v>0</v>
      </c>
      <c r="AT263" s="1767">
        <v>0</v>
      </c>
      <c r="AU263" s="1767">
        <v>0</v>
      </c>
      <c r="AV263" s="1767">
        <v>0</v>
      </c>
      <c r="AW263" s="1767">
        <v>0</v>
      </c>
      <c r="AX263" s="1767">
        <v>0</v>
      </c>
      <c r="AY263" s="1767">
        <v>0</v>
      </c>
      <c r="AZ263" s="1767">
        <v>0</v>
      </c>
      <c r="BA263" s="1767">
        <v>0</v>
      </c>
      <c r="BB263" s="1767">
        <v>0</v>
      </c>
      <c r="BC263" s="1767">
        <v>0</v>
      </c>
      <c r="BD263" s="1767">
        <v>0</v>
      </c>
      <c r="BE263" s="1767">
        <v>0</v>
      </c>
      <c r="BF263" s="1767">
        <v>0</v>
      </c>
      <c r="BG263" s="1767">
        <v>0</v>
      </c>
      <c r="BH263" s="1767">
        <v>0</v>
      </c>
      <c r="BI263" s="1767">
        <v>0</v>
      </c>
      <c r="BJ263" s="1767">
        <v>0</v>
      </c>
      <c r="BK263" s="1767">
        <v>0</v>
      </c>
      <c r="BL263" s="1767">
        <v>0</v>
      </c>
      <c r="BM263" s="1767">
        <v>0</v>
      </c>
      <c r="BN263" s="1767">
        <v>0</v>
      </c>
      <c r="BO263" s="1767">
        <v>0</v>
      </c>
      <c r="BP263" s="1767">
        <v>0</v>
      </c>
      <c r="BQ263" s="1767">
        <v>0</v>
      </c>
      <c r="BR263" s="1767">
        <v>0</v>
      </c>
      <c r="BS263" s="1767">
        <v>0</v>
      </c>
      <c r="BT263" s="1767">
        <v>0</v>
      </c>
      <c r="BU263" s="1767">
        <v>0</v>
      </c>
      <c r="BV263" s="1767">
        <v>0</v>
      </c>
      <c r="BW263" s="1767">
        <v>0</v>
      </c>
      <c r="BX263" s="1767">
        <v>0</v>
      </c>
      <c r="BY263" s="1767">
        <v>0</v>
      </c>
      <c r="BZ263" s="1767">
        <v>0</v>
      </c>
      <c r="CA263" s="1767">
        <v>0</v>
      </c>
      <c r="CB263" s="1767">
        <v>0</v>
      </c>
      <c r="CC263" s="1767">
        <v>0</v>
      </c>
      <c r="CD263" s="1767">
        <v>0</v>
      </c>
      <c r="CE263" s="1767">
        <v>0</v>
      </c>
      <c r="CF263" s="1767">
        <v>0</v>
      </c>
      <c r="CG263" s="1767">
        <v>0</v>
      </c>
      <c r="CH263" s="1767">
        <v>0</v>
      </c>
      <c r="CI263" s="1767">
        <v>0</v>
      </c>
      <c r="CJ263" s="1767">
        <v>0</v>
      </c>
      <c r="CK263" s="1767">
        <v>0</v>
      </c>
      <c r="CL263" s="1767">
        <v>0</v>
      </c>
      <c r="CM263" s="1767">
        <v>0</v>
      </c>
      <c r="CN263" s="1767">
        <v>0</v>
      </c>
      <c r="CO263" s="1767">
        <v>0</v>
      </c>
      <c r="CP263" s="1767">
        <v>0</v>
      </c>
    </row>
    <row r="264" spans="1:94" s="2" customFormat="1" ht="15" customHeight="1" x14ac:dyDescent="0.2">
      <c r="A264" s="1847"/>
      <c r="B264" s="1899"/>
      <c r="C264" s="656" t="s">
        <v>2331</v>
      </c>
      <c r="D264" s="936"/>
      <c r="E264" s="1866"/>
      <c r="F264" s="1226"/>
      <c r="G264" s="1767">
        <v>0</v>
      </c>
      <c r="H264" s="1767">
        <v>0</v>
      </c>
      <c r="I264" s="1767">
        <v>0</v>
      </c>
      <c r="J264" s="1767">
        <v>0</v>
      </c>
      <c r="K264" s="1767">
        <v>0</v>
      </c>
      <c r="L264" s="1767">
        <v>0</v>
      </c>
      <c r="M264" s="1767">
        <v>0</v>
      </c>
      <c r="N264" s="1767">
        <v>0</v>
      </c>
      <c r="O264" s="1767">
        <v>0</v>
      </c>
      <c r="P264" s="1767">
        <v>0</v>
      </c>
      <c r="Q264" s="1767">
        <v>0</v>
      </c>
      <c r="R264" s="1767">
        <v>0</v>
      </c>
      <c r="S264" s="1767">
        <v>0</v>
      </c>
      <c r="T264" s="1767">
        <v>0</v>
      </c>
      <c r="U264" s="1767">
        <v>0</v>
      </c>
      <c r="V264" s="1767">
        <v>0</v>
      </c>
      <c r="W264" s="1767">
        <v>0</v>
      </c>
      <c r="X264" s="1767">
        <v>0</v>
      </c>
      <c r="Y264" s="1767">
        <v>0</v>
      </c>
      <c r="Z264" s="1767">
        <v>0</v>
      </c>
      <c r="AA264" s="1767">
        <v>0</v>
      </c>
      <c r="AB264" s="1767">
        <v>0</v>
      </c>
      <c r="AC264" s="1767">
        <v>0</v>
      </c>
      <c r="AD264" s="1767">
        <v>0</v>
      </c>
      <c r="AE264" s="1767">
        <v>0</v>
      </c>
      <c r="AF264" s="1767">
        <v>0</v>
      </c>
      <c r="AG264" s="1767">
        <v>0</v>
      </c>
      <c r="AH264" s="1767">
        <v>0</v>
      </c>
      <c r="AI264" s="1767">
        <v>0</v>
      </c>
      <c r="AJ264" s="1767">
        <v>0</v>
      </c>
      <c r="AK264" s="1767">
        <v>0</v>
      </c>
      <c r="AL264" s="1767">
        <v>0</v>
      </c>
      <c r="AM264" s="1767">
        <v>0</v>
      </c>
      <c r="AN264" s="1767">
        <v>0</v>
      </c>
      <c r="AO264" s="1767">
        <v>0</v>
      </c>
      <c r="AP264" s="1767">
        <v>0</v>
      </c>
      <c r="AQ264" s="1767">
        <v>0</v>
      </c>
      <c r="AR264" s="1767">
        <v>0</v>
      </c>
      <c r="AS264" s="1767">
        <v>0</v>
      </c>
      <c r="AT264" s="1767">
        <v>0</v>
      </c>
      <c r="AU264" s="1767">
        <v>0</v>
      </c>
      <c r="AV264" s="1767">
        <v>0</v>
      </c>
      <c r="AW264" s="1767">
        <v>0</v>
      </c>
      <c r="AX264" s="1767">
        <v>0</v>
      </c>
      <c r="AY264" s="1767">
        <v>0</v>
      </c>
      <c r="AZ264" s="1767">
        <v>0</v>
      </c>
      <c r="BA264" s="1767">
        <v>0</v>
      </c>
      <c r="BB264" s="1767">
        <v>0</v>
      </c>
      <c r="BC264" s="1767">
        <v>0</v>
      </c>
      <c r="BD264" s="1767">
        <v>0</v>
      </c>
      <c r="BE264" s="1767">
        <v>0</v>
      </c>
      <c r="BF264" s="1767">
        <v>0</v>
      </c>
      <c r="BG264" s="1767">
        <v>0</v>
      </c>
      <c r="BH264" s="1767">
        <v>0</v>
      </c>
      <c r="BI264" s="1767">
        <v>0</v>
      </c>
      <c r="BJ264" s="1767">
        <v>0</v>
      </c>
      <c r="BK264" s="1767">
        <v>0</v>
      </c>
      <c r="BL264" s="1767">
        <v>0</v>
      </c>
      <c r="BM264" s="1767">
        <v>0</v>
      </c>
      <c r="BN264" s="1767">
        <v>0</v>
      </c>
      <c r="BO264" s="1767">
        <v>0</v>
      </c>
      <c r="BP264" s="1767">
        <v>0</v>
      </c>
      <c r="BQ264" s="1767">
        <v>0</v>
      </c>
      <c r="BR264" s="1767">
        <v>0</v>
      </c>
      <c r="BS264" s="1767">
        <v>0</v>
      </c>
      <c r="BT264" s="1767">
        <v>0</v>
      </c>
      <c r="BU264" s="1767">
        <v>0</v>
      </c>
      <c r="BV264" s="1767">
        <v>0</v>
      </c>
      <c r="BW264" s="1767">
        <v>0</v>
      </c>
      <c r="BX264" s="1767">
        <v>0</v>
      </c>
      <c r="BY264" s="1767">
        <v>0</v>
      </c>
      <c r="BZ264" s="1767">
        <v>0</v>
      </c>
      <c r="CA264" s="1767">
        <v>0</v>
      </c>
      <c r="CB264" s="1767">
        <v>0</v>
      </c>
      <c r="CC264" s="1767">
        <v>0</v>
      </c>
      <c r="CD264" s="1767">
        <v>0</v>
      </c>
      <c r="CE264" s="1767">
        <v>0</v>
      </c>
      <c r="CF264" s="1767">
        <v>0</v>
      </c>
      <c r="CG264" s="1767">
        <v>0</v>
      </c>
      <c r="CH264" s="1767">
        <v>0</v>
      </c>
      <c r="CI264" s="1767">
        <v>0</v>
      </c>
      <c r="CJ264" s="1767">
        <v>0</v>
      </c>
      <c r="CK264" s="1767">
        <v>0</v>
      </c>
      <c r="CL264" s="1767">
        <v>0</v>
      </c>
      <c r="CM264" s="1767">
        <v>0</v>
      </c>
      <c r="CN264" s="1767">
        <v>0</v>
      </c>
      <c r="CO264" s="1767">
        <v>0</v>
      </c>
      <c r="CP264" s="1767">
        <v>0</v>
      </c>
    </row>
    <row r="265" spans="1:94" s="2" customFormat="1" ht="15" customHeight="1" x14ac:dyDescent="0.2">
      <c r="A265" s="1847"/>
      <c r="B265" s="1899"/>
      <c r="C265" s="656" t="s">
        <v>2332</v>
      </c>
      <c r="D265" s="936"/>
      <c r="E265" s="1866"/>
      <c r="F265" s="1226"/>
      <c r="G265" s="1767">
        <v>0</v>
      </c>
      <c r="H265" s="1767">
        <v>0</v>
      </c>
      <c r="I265" s="1767">
        <v>0</v>
      </c>
      <c r="J265" s="1767">
        <v>0</v>
      </c>
      <c r="K265" s="1767">
        <v>0</v>
      </c>
      <c r="L265" s="1767">
        <v>0</v>
      </c>
      <c r="M265" s="1767">
        <v>0</v>
      </c>
      <c r="N265" s="1767">
        <v>0</v>
      </c>
      <c r="O265" s="1767">
        <v>0</v>
      </c>
      <c r="P265" s="1767">
        <v>0</v>
      </c>
      <c r="Q265" s="1767">
        <v>0</v>
      </c>
      <c r="R265" s="1767">
        <v>0</v>
      </c>
      <c r="S265" s="1767">
        <v>0</v>
      </c>
      <c r="T265" s="1767">
        <v>0</v>
      </c>
      <c r="U265" s="1767">
        <v>0</v>
      </c>
      <c r="V265" s="1767">
        <v>0</v>
      </c>
      <c r="W265" s="1767">
        <v>0</v>
      </c>
      <c r="X265" s="1767">
        <v>0</v>
      </c>
      <c r="Y265" s="1767">
        <v>0</v>
      </c>
      <c r="Z265" s="1767">
        <v>0</v>
      </c>
      <c r="AA265" s="1767">
        <v>0</v>
      </c>
      <c r="AB265" s="1767">
        <v>0</v>
      </c>
      <c r="AC265" s="1767">
        <v>0</v>
      </c>
      <c r="AD265" s="1767">
        <v>0</v>
      </c>
      <c r="AE265" s="1767">
        <v>0</v>
      </c>
      <c r="AF265" s="1767">
        <v>0</v>
      </c>
      <c r="AG265" s="1767">
        <v>0</v>
      </c>
      <c r="AH265" s="1767">
        <v>0</v>
      </c>
      <c r="AI265" s="1767">
        <v>0</v>
      </c>
      <c r="AJ265" s="1767">
        <v>0</v>
      </c>
      <c r="AK265" s="1767">
        <v>0</v>
      </c>
      <c r="AL265" s="1767">
        <v>0</v>
      </c>
      <c r="AM265" s="1767">
        <v>0</v>
      </c>
      <c r="AN265" s="1767">
        <v>0</v>
      </c>
      <c r="AO265" s="1767">
        <v>0</v>
      </c>
      <c r="AP265" s="1767">
        <v>0</v>
      </c>
      <c r="AQ265" s="1767">
        <v>0</v>
      </c>
      <c r="AR265" s="1767">
        <v>0</v>
      </c>
      <c r="AS265" s="1767">
        <v>0</v>
      </c>
      <c r="AT265" s="1767">
        <v>0</v>
      </c>
      <c r="AU265" s="1767">
        <v>0</v>
      </c>
      <c r="AV265" s="1767">
        <v>0</v>
      </c>
      <c r="AW265" s="1767">
        <v>0</v>
      </c>
      <c r="AX265" s="1767">
        <v>0</v>
      </c>
      <c r="AY265" s="1767">
        <v>0</v>
      </c>
      <c r="AZ265" s="1767">
        <v>0</v>
      </c>
      <c r="BA265" s="1767">
        <v>0</v>
      </c>
      <c r="BB265" s="1767">
        <v>0</v>
      </c>
      <c r="BC265" s="1767">
        <v>0</v>
      </c>
      <c r="BD265" s="1767">
        <v>0</v>
      </c>
      <c r="BE265" s="1767">
        <v>0</v>
      </c>
      <c r="BF265" s="1767">
        <v>0</v>
      </c>
      <c r="BG265" s="1767">
        <v>0</v>
      </c>
      <c r="BH265" s="1767">
        <v>0</v>
      </c>
      <c r="BI265" s="1767">
        <v>0</v>
      </c>
      <c r="BJ265" s="1767">
        <v>0</v>
      </c>
      <c r="BK265" s="1767">
        <v>0</v>
      </c>
      <c r="BL265" s="1767">
        <v>0</v>
      </c>
      <c r="BM265" s="1767">
        <v>0</v>
      </c>
      <c r="BN265" s="1767">
        <v>0</v>
      </c>
      <c r="BO265" s="1767">
        <v>0</v>
      </c>
      <c r="BP265" s="1767">
        <v>0</v>
      </c>
      <c r="BQ265" s="1767">
        <v>0</v>
      </c>
      <c r="BR265" s="1767">
        <v>0</v>
      </c>
      <c r="BS265" s="1767">
        <v>0</v>
      </c>
      <c r="BT265" s="1767">
        <v>0</v>
      </c>
      <c r="BU265" s="1767">
        <v>0</v>
      </c>
      <c r="BV265" s="1767">
        <v>0</v>
      </c>
      <c r="BW265" s="1767">
        <v>0</v>
      </c>
      <c r="BX265" s="1767">
        <v>0</v>
      </c>
      <c r="BY265" s="1767">
        <v>0</v>
      </c>
      <c r="BZ265" s="1767">
        <v>0</v>
      </c>
      <c r="CA265" s="1767">
        <v>0</v>
      </c>
      <c r="CB265" s="1767">
        <v>0</v>
      </c>
      <c r="CC265" s="1767">
        <v>0</v>
      </c>
      <c r="CD265" s="1767">
        <v>0</v>
      </c>
      <c r="CE265" s="1767">
        <v>0</v>
      </c>
      <c r="CF265" s="1767">
        <v>0</v>
      </c>
      <c r="CG265" s="1767">
        <v>0</v>
      </c>
      <c r="CH265" s="1767">
        <v>0</v>
      </c>
      <c r="CI265" s="1767">
        <v>0</v>
      </c>
      <c r="CJ265" s="1767">
        <v>0</v>
      </c>
      <c r="CK265" s="1767">
        <v>0</v>
      </c>
      <c r="CL265" s="1767">
        <v>0</v>
      </c>
      <c r="CM265" s="1767">
        <v>0</v>
      </c>
      <c r="CN265" s="1767">
        <v>0</v>
      </c>
      <c r="CO265" s="1767">
        <v>0</v>
      </c>
      <c r="CP265" s="1767">
        <v>0</v>
      </c>
    </row>
    <row r="266" spans="1:94" s="2" customFormat="1" ht="15" customHeight="1" x14ac:dyDescent="0.2">
      <c r="A266" s="1847"/>
      <c r="B266" s="1899"/>
      <c r="C266" s="656" t="s">
        <v>2333</v>
      </c>
      <c r="D266" s="936"/>
      <c r="E266" s="1866"/>
      <c r="F266" s="1226"/>
      <c r="G266" s="1767">
        <v>0</v>
      </c>
      <c r="H266" s="1767">
        <v>0</v>
      </c>
      <c r="I266" s="1767">
        <v>0</v>
      </c>
      <c r="J266" s="1767">
        <v>0</v>
      </c>
      <c r="K266" s="1767">
        <v>0</v>
      </c>
      <c r="L266" s="1767">
        <v>0</v>
      </c>
      <c r="M266" s="1767">
        <v>0</v>
      </c>
      <c r="N266" s="1767">
        <v>0</v>
      </c>
      <c r="O266" s="1767">
        <v>0</v>
      </c>
      <c r="P266" s="1767">
        <v>0</v>
      </c>
      <c r="Q266" s="1767">
        <v>0</v>
      </c>
      <c r="R266" s="1767">
        <v>0</v>
      </c>
      <c r="S266" s="1767">
        <v>0</v>
      </c>
      <c r="T266" s="1767">
        <v>0</v>
      </c>
      <c r="U266" s="1767">
        <v>0</v>
      </c>
      <c r="V266" s="1767">
        <v>0</v>
      </c>
      <c r="W266" s="1767">
        <v>0</v>
      </c>
      <c r="X266" s="1767">
        <v>0</v>
      </c>
      <c r="Y266" s="1767">
        <v>0</v>
      </c>
      <c r="Z266" s="1767">
        <v>0</v>
      </c>
      <c r="AA266" s="1767">
        <v>0</v>
      </c>
      <c r="AB266" s="1767">
        <v>0</v>
      </c>
      <c r="AC266" s="1767">
        <v>0</v>
      </c>
      <c r="AD266" s="1767">
        <v>0</v>
      </c>
      <c r="AE266" s="1767">
        <v>0</v>
      </c>
      <c r="AF266" s="1767">
        <v>0</v>
      </c>
      <c r="AG266" s="1767">
        <v>0</v>
      </c>
      <c r="AH266" s="1767">
        <v>0</v>
      </c>
      <c r="AI266" s="1767">
        <v>0</v>
      </c>
      <c r="AJ266" s="1767">
        <v>0</v>
      </c>
      <c r="AK266" s="1767">
        <v>0</v>
      </c>
      <c r="AL266" s="1767">
        <v>0</v>
      </c>
      <c r="AM266" s="1767">
        <v>0</v>
      </c>
      <c r="AN266" s="1767">
        <v>0</v>
      </c>
      <c r="AO266" s="1767">
        <v>0</v>
      </c>
      <c r="AP266" s="1767">
        <v>0</v>
      </c>
      <c r="AQ266" s="1767">
        <v>0</v>
      </c>
      <c r="AR266" s="1767">
        <v>0</v>
      </c>
      <c r="AS266" s="1767">
        <v>0</v>
      </c>
      <c r="AT266" s="1767">
        <v>0</v>
      </c>
      <c r="AU266" s="1767">
        <v>0</v>
      </c>
      <c r="AV266" s="1767">
        <v>0</v>
      </c>
      <c r="AW266" s="1767">
        <v>0</v>
      </c>
      <c r="AX266" s="1767">
        <v>0</v>
      </c>
      <c r="AY266" s="1767">
        <v>0</v>
      </c>
      <c r="AZ266" s="1767">
        <v>0</v>
      </c>
      <c r="BA266" s="1767">
        <v>0</v>
      </c>
      <c r="BB266" s="1767">
        <v>0</v>
      </c>
      <c r="BC266" s="1767">
        <v>0</v>
      </c>
      <c r="BD266" s="1767">
        <v>0</v>
      </c>
      <c r="BE266" s="1767">
        <v>0</v>
      </c>
      <c r="BF266" s="1767">
        <v>0</v>
      </c>
      <c r="BG266" s="1767">
        <v>0</v>
      </c>
      <c r="BH266" s="1767">
        <v>0</v>
      </c>
      <c r="BI266" s="1767">
        <v>0</v>
      </c>
      <c r="BJ266" s="1767">
        <v>0</v>
      </c>
      <c r="BK266" s="1767">
        <v>0</v>
      </c>
      <c r="BL266" s="1767">
        <v>0</v>
      </c>
      <c r="BM266" s="1767">
        <v>0</v>
      </c>
      <c r="BN266" s="1767">
        <v>0</v>
      </c>
      <c r="BO266" s="1767">
        <v>0</v>
      </c>
      <c r="BP266" s="1767">
        <v>0</v>
      </c>
      <c r="BQ266" s="1767">
        <v>0</v>
      </c>
      <c r="BR266" s="1767">
        <v>0</v>
      </c>
      <c r="BS266" s="1767">
        <v>0</v>
      </c>
      <c r="BT266" s="1767">
        <v>0</v>
      </c>
      <c r="BU266" s="1767">
        <v>0</v>
      </c>
      <c r="BV266" s="1767">
        <v>0</v>
      </c>
      <c r="BW266" s="1767">
        <v>0</v>
      </c>
      <c r="BX266" s="1767">
        <v>0</v>
      </c>
      <c r="BY266" s="1767">
        <v>0</v>
      </c>
      <c r="BZ266" s="1767">
        <v>0</v>
      </c>
      <c r="CA266" s="1767">
        <v>0</v>
      </c>
      <c r="CB266" s="1767">
        <v>0</v>
      </c>
      <c r="CC266" s="1767">
        <v>0</v>
      </c>
      <c r="CD266" s="1767">
        <v>0</v>
      </c>
      <c r="CE266" s="1767">
        <v>0</v>
      </c>
      <c r="CF266" s="1767">
        <v>0</v>
      </c>
      <c r="CG266" s="1767">
        <v>0</v>
      </c>
      <c r="CH266" s="1767">
        <v>0</v>
      </c>
      <c r="CI266" s="1767">
        <v>0</v>
      </c>
      <c r="CJ266" s="1767">
        <v>0</v>
      </c>
      <c r="CK266" s="1767">
        <v>0</v>
      </c>
      <c r="CL266" s="1767">
        <v>0</v>
      </c>
      <c r="CM266" s="1767">
        <v>0</v>
      </c>
      <c r="CN266" s="1767">
        <v>0</v>
      </c>
      <c r="CO266" s="1767">
        <v>0</v>
      </c>
      <c r="CP266" s="1767">
        <v>0</v>
      </c>
    </row>
    <row r="267" spans="1:94" s="2" customFormat="1" ht="15" customHeight="1" x14ac:dyDescent="0.2">
      <c r="A267" s="1847"/>
      <c r="B267" s="1899"/>
      <c r="C267" s="656" t="s">
        <v>2130</v>
      </c>
      <c r="D267" s="936"/>
      <c r="E267" s="1866"/>
      <c r="F267" s="1226"/>
      <c r="G267" s="1767">
        <v>0</v>
      </c>
      <c r="H267" s="1767">
        <v>0</v>
      </c>
      <c r="I267" s="1767">
        <v>0</v>
      </c>
      <c r="J267" s="1767">
        <v>0</v>
      </c>
      <c r="K267" s="1767">
        <v>0</v>
      </c>
      <c r="L267" s="1767">
        <v>0</v>
      </c>
      <c r="M267" s="1767">
        <v>0</v>
      </c>
      <c r="N267" s="1767">
        <v>0</v>
      </c>
      <c r="O267" s="1767">
        <v>0</v>
      </c>
      <c r="P267" s="1767">
        <v>0</v>
      </c>
      <c r="Q267" s="1767">
        <v>0</v>
      </c>
      <c r="R267" s="1767">
        <v>0</v>
      </c>
      <c r="S267" s="1767">
        <v>0</v>
      </c>
      <c r="T267" s="1767">
        <v>0</v>
      </c>
      <c r="U267" s="1767">
        <v>0</v>
      </c>
      <c r="V267" s="1767">
        <v>0</v>
      </c>
      <c r="W267" s="1767">
        <v>0</v>
      </c>
      <c r="X267" s="1767">
        <v>0</v>
      </c>
      <c r="Y267" s="1767">
        <v>0</v>
      </c>
      <c r="Z267" s="1767">
        <v>0</v>
      </c>
      <c r="AA267" s="1767">
        <v>0</v>
      </c>
      <c r="AB267" s="1767">
        <v>0</v>
      </c>
      <c r="AC267" s="1767">
        <v>0</v>
      </c>
      <c r="AD267" s="1767">
        <v>0</v>
      </c>
      <c r="AE267" s="1767">
        <v>0</v>
      </c>
      <c r="AF267" s="1767">
        <v>0</v>
      </c>
      <c r="AG267" s="1767">
        <v>0</v>
      </c>
      <c r="AH267" s="1767">
        <v>0</v>
      </c>
      <c r="AI267" s="1767">
        <v>0</v>
      </c>
      <c r="AJ267" s="1767">
        <v>0</v>
      </c>
      <c r="AK267" s="1767">
        <v>0</v>
      </c>
      <c r="AL267" s="1767">
        <v>0</v>
      </c>
      <c r="AM267" s="1767">
        <v>0</v>
      </c>
      <c r="AN267" s="1767">
        <v>0</v>
      </c>
      <c r="AO267" s="1767">
        <v>0</v>
      </c>
      <c r="AP267" s="1767">
        <v>0</v>
      </c>
      <c r="AQ267" s="1767">
        <v>0</v>
      </c>
      <c r="AR267" s="1767">
        <v>0</v>
      </c>
      <c r="AS267" s="1767">
        <v>0</v>
      </c>
      <c r="AT267" s="1767">
        <v>0</v>
      </c>
      <c r="AU267" s="1767">
        <v>0</v>
      </c>
      <c r="AV267" s="1767">
        <v>0</v>
      </c>
      <c r="AW267" s="1767">
        <v>0</v>
      </c>
      <c r="AX267" s="1767">
        <v>0</v>
      </c>
      <c r="AY267" s="1767">
        <v>0</v>
      </c>
      <c r="AZ267" s="1767">
        <v>0</v>
      </c>
      <c r="BA267" s="1767">
        <v>0</v>
      </c>
      <c r="BB267" s="1767">
        <v>0</v>
      </c>
      <c r="BC267" s="1767">
        <v>0</v>
      </c>
      <c r="BD267" s="1767">
        <v>0</v>
      </c>
      <c r="BE267" s="1767">
        <v>0</v>
      </c>
      <c r="BF267" s="1767">
        <v>0</v>
      </c>
      <c r="BG267" s="1767">
        <v>0</v>
      </c>
      <c r="BH267" s="1767">
        <v>0</v>
      </c>
      <c r="BI267" s="1767">
        <v>0</v>
      </c>
      <c r="BJ267" s="1767">
        <v>0</v>
      </c>
      <c r="BK267" s="1767">
        <v>0</v>
      </c>
      <c r="BL267" s="1767">
        <v>0</v>
      </c>
      <c r="BM267" s="1767">
        <v>0</v>
      </c>
      <c r="BN267" s="1767">
        <v>0</v>
      </c>
      <c r="BO267" s="1767">
        <v>0</v>
      </c>
      <c r="BP267" s="1767">
        <v>0</v>
      </c>
      <c r="BQ267" s="1767">
        <v>0</v>
      </c>
      <c r="BR267" s="1767">
        <v>0</v>
      </c>
      <c r="BS267" s="1767">
        <v>0</v>
      </c>
      <c r="BT267" s="1767">
        <v>0</v>
      </c>
      <c r="BU267" s="1767">
        <v>0</v>
      </c>
      <c r="BV267" s="1767">
        <v>0</v>
      </c>
      <c r="BW267" s="1767">
        <v>0</v>
      </c>
      <c r="BX267" s="1767">
        <v>0</v>
      </c>
      <c r="BY267" s="1767">
        <v>0</v>
      </c>
      <c r="BZ267" s="1767">
        <v>0</v>
      </c>
      <c r="CA267" s="1767">
        <v>0</v>
      </c>
      <c r="CB267" s="1767">
        <v>0</v>
      </c>
      <c r="CC267" s="1767">
        <v>0</v>
      </c>
      <c r="CD267" s="1767">
        <v>0</v>
      </c>
      <c r="CE267" s="1767">
        <v>0</v>
      </c>
      <c r="CF267" s="1767">
        <v>0</v>
      </c>
      <c r="CG267" s="1767">
        <v>0</v>
      </c>
      <c r="CH267" s="1767">
        <v>0</v>
      </c>
      <c r="CI267" s="1767">
        <v>0</v>
      </c>
      <c r="CJ267" s="1767">
        <v>0</v>
      </c>
      <c r="CK267" s="1767">
        <v>0</v>
      </c>
      <c r="CL267" s="1767">
        <v>0</v>
      </c>
      <c r="CM267" s="1767">
        <v>0</v>
      </c>
      <c r="CN267" s="1767">
        <v>0</v>
      </c>
      <c r="CO267" s="1767">
        <v>0</v>
      </c>
      <c r="CP267" s="1767">
        <v>0</v>
      </c>
    </row>
    <row r="268" spans="1:94" s="2" customFormat="1" ht="15" customHeight="1" thickBot="1" x14ac:dyDescent="0.25">
      <c r="A268" s="1848"/>
      <c r="B268" s="1900"/>
      <c r="C268" s="944" t="s">
        <v>2334</v>
      </c>
      <c r="D268" s="950"/>
      <c r="E268" s="1877"/>
      <c r="F268" s="1226"/>
      <c r="G268" s="1767">
        <v>0</v>
      </c>
      <c r="H268" s="1767">
        <v>0</v>
      </c>
      <c r="I268" s="1767">
        <v>0</v>
      </c>
      <c r="J268" s="1767">
        <v>0</v>
      </c>
      <c r="K268" s="1767">
        <v>0</v>
      </c>
      <c r="L268" s="1767">
        <v>0</v>
      </c>
      <c r="M268" s="1767">
        <v>0</v>
      </c>
      <c r="N268" s="1767">
        <v>0</v>
      </c>
      <c r="O268" s="1767">
        <v>0</v>
      </c>
      <c r="P268" s="1767">
        <v>0</v>
      </c>
      <c r="Q268" s="1767">
        <v>0</v>
      </c>
      <c r="R268" s="1767">
        <v>0</v>
      </c>
      <c r="S268" s="1767">
        <v>0</v>
      </c>
      <c r="T268" s="1767">
        <v>0</v>
      </c>
      <c r="U268" s="1767">
        <v>0</v>
      </c>
      <c r="V268" s="1767">
        <v>0</v>
      </c>
      <c r="W268" s="1767">
        <v>0</v>
      </c>
      <c r="X268" s="1767">
        <v>0</v>
      </c>
      <c r="Y268" s="1767">
        <v>0</v>
      </c>
      <c r="Z268" s="1767">
        <v>0</v>
      </c>
      <c r="AA268" s="1767">
        <v>0</v>
      </c>
      <c r="AB268" s="1767">
        <v>0</v>
      </c>
      <c r="AC268" s="1767">
        <v>0</v>
      </c>
      <c r="AD268" s="1767">
        <v>0</v>
      </c>
      <c r="AE268" s="1767">
        <v>0</v>
      </c>
      <c r="AF268" s="1767">
        <v>0</v>
      </c>
      <c r="AG268" s="1767">
        <v>0</v>
      </c>
      <c r="AH268" s="1767">
        <v>0</v>
      </c>
      <c r="AI268" s="1767">
        <v>0</v>
      </c>
      <c r="AJ268" s="1767">
        <v>0</v>
      </c>
      <c r="AK268" s="1767">
        <v>0</v>
      </c>
      <c r="AL268" s="1767">
        <v>0</v>
      </c>
      <c r="AM268" s="1767">
        <v>0</v>
      </c>
      <c r="AN268" s="1767">
        <v>0</v>
      </c>
      <c r="AO268" s="1767">
        <v>0</v>
      </c>
      <c r="AP268" s="1767">
        <v>0</v>
      </c>
      <c r="AQ268" s="1767">
        <v>0</v>
      </c>
      <c r="AR268" s="1767">
        <v>0</v>
      </c>
      <c r="AS268" s="1767">
        <v>0</v>
      </c>
      <c r="AT268" s="1767">
        <v>0</v>
      </c>
      <c r="AU268" s="1767">
        <v>0</v>
      </c>
      <c r="AV268" s="1767">
        <v>0</v>
      </c>
      <c r="AW268" s="1767">
        <v>0</v>
      </c>
      <c r="AX268" s="1767">
        <v>0</v>
      </c>
      <c r="AY268" s="1767">
        <v>0</v>
      </c>
      <c r="AZ268" s="1767">
        <v>0</v>
      </c>
      <c r="BA268" s="1767">
        <v>0</v>
      </c>
      <c r="BB268" s="1767">
        <v>0</v>
      </c>
      <c r="BC268" s="1767">
        <v>0</v>
      </c>
      <c r="BD268" s="1767">
        <v>0</v>
      </c>
      <c r="BE268" s="1767">
        <v>0</v>
      </c>
      <c r="BF268" s="1767">
        <v>0</v>
      </c>
      <c r="BG268" s="1767">
        <v>0</v>
      </c>
      <c r="BH268" s="1767">
        <v>0</v>
      </c>
      <c r="BI268" s="1767">
        <v>0</v>
      </c>
      <c r="BJ268" s="1767">
        <v>0</v>
      </c>
      <c r="BK268" s="1767">
        <v>0</v>
      </c>
      <c r="BL268" s="1767">
        <v>0</v>
      </c>
      <c r="BM268" s="1767">
        <v>0</v>
      </c>
      <c r="BN268" s="1767">
        <v>0</v>
      </c>
      <c r="BO268" s="1767">
        <v>0</v>
      </c>
      <c r="BP268" s="1767">
        <v>0</v>
      </c>
      <c r="BQ268" s="1767">
        <v>0</v>
      </c>
      <c r="BR268" s="1767">
        <v>0</v>
      </c>
      <c r="BS268" s="1767">
        <v>0</v>
      </c>
      <c r="BT268" s="1767">
        <v>0</v>
      </c>
      <c r="BU268" s="1767">
        <v>0</v>
      </c>
      <c r="BV268" s="1767">
        <v>0</v>
      </c>
      <c r="BW268" s="1767">
        <v>0</v>
      </c>
      <c r="BX268" s="1767">
        <v>0</v>
      </c>
      <c r="BY268" s="1767">
        <v>0</v>
      </c>
      <c r="BZ268" s="1767">
        <v>0</v>
      </c>
      <c r="CA268" s="1767">
        <v>0</v>
      </c>
      <c r="CB268" s="1767">
        <v>0</v>
      </c>
      <c r="CC268" s="1767">
        <v>0</v>
      </c>
      <c r="CD268" s="1767">
        <v>0</v>
      </c>
      <c r="CE268" s="1767">
        <v>0</v>
      </c>
      <c r="CF268" s="1767">
        <v>0</v>
      </c>
      <c r="CG268" s="1767">
        <v>0</v>
      </c>
      <c r="CH268" s="1767">
        <v>0</v>
      </c>
      <c r="CI268" s="1767">
        <v>0</v>
      </c>
      <c r="CJ268" s="1767">
        <v>0</v>
      </c>
      <c r="CK268" s="1767">
        <v>0</v>
      </c>
      <c r="CL268" s="1767">
        <v>0</v>
      </c>
      <c r="CM268" s="1767">
        <v>0</v>
      </c>
      <c r="CN268" s="1767">
        <v>0</v>
      </c>
      <c r="CO268" s="1767">
        <v>0</v>
      </c>
      <c r="CP268" s="1767">
        <v>0</v>
      </c>
    </row>
    <row r="269" spans="1:94" s="2" customFormat="1" ht="21" customHeight="1" thickBot="1" x14ac:dyDescent="0.25">
      <c r="A269" s="1889" t="s">
        <v>34</v>
      </c>
      <c r="B269" s="1899" t="s">
        <v>1330</v>
      </c>
      <c r="C269" s="1787" t="s">
        <v>1722</v>
      </c>
      <c r="D269" s="946"/>
      <c r="E269" s="1866" t="s">
        <v>2067</v>
      </c>
      <c r="F269" s="1226"/>
      <c r="G269" s="1742"/>
      <c r="H269" s="1742"/>
      <c r="I269" s="1742"/>
      <c r="J269" s="1742"/>
      <c r="K269" s="1742"/>
      <c r="L269" s="1742"/>
      <c r="M269" s="1742"/>
      <c r="N269" s="1742"/>
      <c r="O269" s="1742"/>
      <c r="P269" s="1742"/>
      <c r="Q269" s="1742"/>
      <c r="R269" s="1742"/>
      <c r="S269" s="1742"/>
      <c r="T269" s="1742"/>
      <c r="U269" s="1742"/>
      <c r="V269" s="1742"/>
      <c r="W269" s="1742"/>
      <c r="X269" s="1742"/>
      <c r="Y269" s="1742"/>
      <c r="Z269" s="1742"/>
      <c r="AA269" s="1742"/>
      <c r="AB269" s="1742"/>
      <c r="AC269" s="1742"/>
      <c r="AD269" s="1742"/>
      <c r="AE269" s="1742"/>
      <c r="AF269" s="1742"/>
      <c r="AG269" s="1742"/>
      <c r="AH269" s="1742"/>
      <c r="AI269" s="1742"/>
      <c r="AJ269" s="1742"/>
      <c r="AK269" s="1742"/>
      <c r="AL269" s="1742"/>
      <c r="AM269" s="1742"/>
      <c r="AN269" s="1742"/>
      <c r="AO269" s="1742"/>
      <c r="AP269" s="1742"/>
      <c r="AQ269" s="1742"/>
      <c r="AR269" s="1742"/>
      <c r="AS269" s="1742"/>
      <c r="AT269" s="1742"/>
      <c r="AU269" s="1742"/>
      <c r="AV269" s="1742"/>
      <c r="AW269" s="1742"/>
      <c r="AX269" s="1742"/>
      <c r="AY269" s="1742"/>
      <c r="AZ269" s="1742"/>
      <c r="BA269" s="1742"/>
      <c r="BB269" s="1742"/>
      <c r="BC269" s="1742"/>
      <c r="BD269" s="1742"/>
      <c r="BE269" s="1742"/>
      <c r="BF269" s="1742"/>
      <c r="BG269" s="1742"/>
      <c r="BH269" s="1742"/>
      <c r="BI269" s="1742"/>
      <c r="BJ269" s="1742"/>
      <c r="BK269" s="1742"/>
      <c r="BL269" s="1742"/>
      <c r="BM269" s="1742"/>
      <c r="BN269" s="1742"/>
      <c r="BO269" s="1742"/>
      <c r="BP269" s="1742"/>
      <c r="BQ269" s="1742"/>
      <c r="BR269" s="1742"/>
      <c r="BS269" s="1742"/>
      <c r="BT269" s="1742"/>
      <c r="BU269" s="1742"/>
      <c r="BV269" s="1742"/>
      <c r="BW269" s="1742"/>
      <c r="BX269" s="1742"/>
      <c r="BY269" s="1742"/>
      <c r="BZ269" s="1742"/>
      <c r="CA269" s="1742"/>
      <c r="CB269" s="1742"/>
      <c r="CC269" s="1742"/>
      <c r="CD269" s="1742"/>
      <c r="CE269" s="1742"/>
      <c r="CF269" s="1742"/>
      <c r="CG269" s="1742"/>
      <c r="CH269" s="1742"/>
      <c r="CI269" s="1742"/>
      <c r="CJ269" s="1742"/>
      <c r="CK269" s="1742"/>
      <c r="CL269" s="1742"/>
      <c r="CM269" s="1742"/>
      <c r="CN269" s="1742"/>
      <c r="CO269" s="1742"/>
      <c r="CP269" s="1742"/>
    </row>
    <row r="270" spans="1:94" s="2" customFormat="1" ht="15" customHeight="1" x14ac:dyDescent="0.2">
      <c r="A270" s="1847"/>
      <c r="B270" s="1899"/>
      <c r="C270" s="655" t="s">
        <v>2131</v>
      </c>
      <c r="D270" s="936"/>
      <c r="E270" s="1866"/>
      <c r="F270" s="1226"/>
      <c r="G270" s="1767">
        <v>0</v>
      </c>
      <c r="H270" s="1767">
        <v>0</v>
      </c>
      <c r="I270" s="1767">
        <v>0</v>
      </c>
      <c r="J270" s="1767">
        <v>0</v>
      </c>
      <c r="K270" s="1767">
        <v>0</v>
      </c>
      <c r="L270" s="1767">
        <v>0</v>
      </c>
      <c r="M270" s="1767">
        <v>0</v>
      </c>
      <c r="N270" s="1767">
        <v>0</v>
      </c>
      <c r="O270" s="1767">
        <v>0</v>
      </c>
      <c r="P270" s="1767">
        <v>0</v>
      </c>
      <c r="Q270" s="1767">
        <v>0</v>
      </c>
      <c r="R270" s="1767">
        <v>0</v>
      </c>
      <c r="S270" s="1767">
        <v>0</v>
      </c>
      <c r="T270" s="1767">
        <v>0</v>
      </c>
      <c r="U270" s="1767">
        <v>0</v>
      </c>
      <c r="V270" s="1767">
        <v>0</v>
      </c>
      <c r="W270" s="1767">
        <v>0</v>
      </c>
      <c r="X270" s="1767">
        <v>0</v>
      </c>
      <c r="Y270" s="1767">
        <v>0</v>
      </c>
      <c r="Z270" s="1767">
        <v>0</v>
      </c>
      <c r="AA270" s="1767">
        <v>0</v>
      </c>
      <c r="AB270" s="1767">
        <v>0</v>
      </c>
      <c r="AC270" s="1767">
        <v>0</v>
      </c>
      <c r="AD270" s="1767">
        <v>0</v>
      </c>
      <c r="AE270" s="1767">
        <v>0</v>
      </c>
      <c r="AF270" s="1767">
        <v>0</v>
      </c>
      <c r="AG270" s="1767">
        <v>0</v>
      </c>
      <c r="AH270" s="1767">
        <v>0</v>
      </c>
      <c r="AI270" s="1767">
        <v>0</v>
      </c>
      <c r="AJ270" s="1767">
        <v>0</v>
      </c>
      <c r="AK270" s="1767">
        <v>0</v>
      </c>
      <c r="AL270" s="1767">
        <v>0</v>
      </c>
      <c r="AM270" s="1767">
        <v>0</v>
      </c>
      <c r="AN270" s="1767">
        <v>0</v>
      </c>
      <c r="AO270" s="1767">
        <v>0</v>
      </c>
      <c r="AP270" s="1767">
        <v>0</v>
      </c>
      <c r="AQ270" s="1767">
        <v>0</v>
      </c>
      <c r="AR270" s="1767">
        <v>0</v>
      </c>
      <c r="AS270" s="1767">
        <v>0</v>
      </c>
      <c r="AT270" s="1767">
        <v>0</v>
      </c>
      <c r="AU270" s="1767">
        <v>0</v>
      </c>
      <c r="AV270" s="1767">
        <v>0</v>
      </c>
      <c r="AW270" s="1767">
        <v>0</v>
      </c>
      <c r="AX270" s="1767">
        <v>0</v>
      </c>
      <c r="AY270" s="1767">
        <v>0</v>
      </c>
      <c r="AZ270" s="1767">
        <v>0</v>
      </c>
      <c r="BA270" s="1767">
        <v>0</v>
      </c>
      <c r="BB270" s="1767">
        <v>0</v>
      </c>
      <c r="BC270" s="1767">
        <v>0</v>
      </c>
      <c r="BD270" s="1767">
        <v>0</v>
      </c>
      <c r="BE270" s="1767">
        <v>0</v>
      </c>
      <c r="BF270" s="1767">
        <v>0</v>
      </c>
      <c r="BG270" s="1767">
        <v>0</v>
      </c>
      <c r="BH270" s="1767">
        <v>0</v>
      </c>
      <c r="BI270" s="1767">
        <v>0</v>
      </c>
      <c r="BJ270" s="1767">
        <v>0</v>
      </c>
      <c r="BK270" s="1767">
        <v>0</v>
      </c>
      <c r="BL270" s="1767">
        <v>0</v>
      </c>
      <c r="BM270" s="1767">
        <v>0</v>
      </c>
      <c r="BN270" s="1767">
        <v>0</v>
      </c>
      <c r="BO270" s="1767">
        <v>0</v>
      </c>
      <c r="BP270" s="1767">
        <v>0</v>
      </c>
      <c r="BQ270" s="1767">
        <v>0</v>
      </c>
      <c r="BR270" s="1767">
        <v>0</v>
      </c>
      <c r="BS270" s="1767">
        <v>0</v>
      </c>
      <c r="BT270" s="1767">
        <v>0</v>
      </c>
      <c r="BU270" s="1767">
        <v>0</v>
      </c>
      <c r="BV270" s="1767">
        <v>0</v>
      </c>
      <c r="BW270" s="1767">
        <v>0</v>
      </c>
      <c r="BX270" s="1767">
        <v>0</v>
      </c>
      <c r="BY270" s="1767">
        <v>0</v>
      </c>
      <c r="BZ270" s="1767">
        <v>0</v>
      </c>
      <c r="CA270" s="1767">
        <v>0</v>
      </c>
      <c r="CB270" s="1767">
        <v>0</v>
      </c>
      <c r="CC270" s="1767">
        <v>0</v>
      </c>
      <c r="CD270" s="1767">
        <v>0</v>
      </c>
      <c r="CE270" s="1767">
        <v>0</v>
      </c>
      <c r="CF270" s="1767">
        <v>0</v>
      </c>
      <c r="CG270" s="1767">
        <v>0</v>
      </c>
      <c r="CH270" s="1767">
        <v>0</v>
      </c>
      <c r="CI270" s="1767">
        <v>0</v>
      </c>
      <c r="CJ270" s="1767">
        <v>0</v>
      </c>
      <c r="CK270" s="1767">
        <v>0</v>
      </c>
      <c r="CL270" s="1767">
        <v>0</v>
      </c>
      <c r="CM270" s="1767">
        <v>0</v>
      </c>
      <c r="CN270" s="1767">
        <v>0</v>
      </c>
      <c r="CO270" s="1767">
        <v>0</v>
      </c>
      <c r="CP270" s="1767">
        <v>0</v>
      </c>
    </row>
    <row r="271" spans="1:94" s="2" customFormat="1" ht="15" customHeight="1" x14ac:dyDescent="0.2">
      <c r="A271" s="1847"/>
      <c r="B271" s="1899"/>
      <c r="C271" s="656" t="s">
        <v>2132</v>
      </c>
      <c r="D271" s="936"/>
      <c r="E271" s="1866"/>
      <c r="F271" s="1226"/>
      <c r="G271" s="1767">
        <v>0</v>
      </c>
      <c r="H271" s="1767">
        <v>0</v>
      </c>
      <c r="I271" s="1767">
        <v>0</v>
      </c>
      <c r="J271" s="1767">
        <v>0</v>
      </c>
      <c r="K271" s="1767">
        <v>0</v>
      </c>
      <c r="L271" s="1767">
        <v>0</v>
      </c>
      <c r="M271" s="1767">
        <v>0</v>
      </c>
      <c r="N271" s="1767">
        <v>0</v>
      </c>
      <c r="O271" s="1767">
        <v>0</v>
      </c>
      <c r="P271" s="1767">
        <v>0</v>
      </c>
      <c r="Q271" s="1767">
        <v>0</v>
      </c>
      <c r="R271" s="1767">
        <v>0</v>
      </c>
      <c r="S271" s="1767">
        <v>0</v>
      </c>
      <c r="T271" s="1767">
        <v>0</v>
      </c>
      <c r="U271" s="1767">
        <v>0</v>
      </c>
      <c r="V271" s="1767">
        <v>0</v>
      </c>
      <c r="W271" s="1767">
        <v>0</v>
      </c>
      <c r="X271" s="1767">
        <v>0</v>
      </c>
      <c r="Y271" s="1767">
        <v>0</v>
      </c>
      <c r="Z271" s="1767">
        <v>0</v>
      </c>
      <c r="AA271" s="1767">
        <v>0</v>
      </c>
      <c r="AB271" s="1767">
        <v>0</v>
      </c>
      <c r="AC271" s="1767">
        <v>0</v>
      </c>
      <c r="AD271" s="1767">
        <v>0</v>
      </c>
      <c r="AE271" s="1767">
        <v>0</v>
      </c>
      <c r="AF271" s="1767">
        <v>0</v>
      </c>
      <c r="AG271" s="1767">
        <v>0</v>
      </c>
      <c r="AH271" s="1767">
        <v>0</v>
      </c>
      <c r="AI271" s="1767">
        <v>0</v>
      </c>
      <c r="AJ271" s="1767">
        <v>0</v>
      </c>
      <c r="AK271" s="1767">
        <v>0</v>
      </c>
      <c r="AL271" s="1767">
        <v>0</v>
      </c>
      <c r="AM271" s="1767">
        <v>0</v>
      </c>
      <c r="AN271" s="1767">
        <v>0</v>
      </c>
      <c r="AO271" s="1767">
        <v>0</v>
      </c>
      <c r="AP271" s="1767">
        <v>0</v>
      </c>
      <c r="AQ271" s="1767">
        <v>0</v>
      </c>
      <c r="AR271" s="1767">
        <v>0</v>
      </c>
      <c r="AS271" s="1767">
        <v>0</v>
      </c>
      <c r="AT271" s="1767">
        <v>0</v>
      </c>
      <c r="AU271" s="1767">
        <v>0</v>
      </c>
      <c r="AV271" s="1767">
        <v>0</v>
      </c>
      <c r="AW271" s="1767">
        <v>0</v>
      </c>
      <c r="AX271" s="1767">
        <v>0</v>
      </c>
      <c r="AY271" s="1767">
        <v>0</v>
      </c>
      <c r="AZ271" s="1767">
        <v>0</v>
      </c>
      <c r="BA271" s="1767">
        <v>0</v>
      </c>
      <c r="BB271" s="1767">
        <v>0</v>
      </c>
      <c r="BC271" s="1767">
        <v>0</v>
      </c>
      <c r="BD271" s="1767">
        <v>0</v>
      </c>
      <c r="BE271" s="1767">
        <v>0</v>
      </c>
      <c r="BF271" s="1767">
        <v>0</v>
      </c>
      <c r="BG271" s="1767">
        <v>0</v>
      </c>
      <c r="BH271" s="1767">
        <v>0</v>
      </c>
      <c r="BI271" s="1767">
        <v>0</v>
      </c>
      <c r="BJ271" s="1767">
        <v>0</v>
      </c>
      <c r="BK271" s="1767">
        <v>0</v>
      </c>
      <c r="BL271" s="1767">
        <v>0</v>
      </c>
      <c r="BM271" s="1767">
        <v>0</v>
      </c>
      <c r="BN271" s="1767">
        <v>0</v>
      </c>
      <c r="BO271" s="1767">
        <v>0</v>
      </c>
      <c r="BP271" s="1767">
        <v>0</v>
      </c>
      <c r="BQ271" s="1767">
        <v>0</v>
      </c>
      <c r="BR271" s="1767">
        <v>0</v>
      </c>
      <c r="BS271" s="1767">
        <v>0</v>
      </c>
      <c r="BT271" s="1767">
        <v>0</v>
      </c>
      <c r="BU271" s="1767">
        <v>0</v>
      </c>
      <c r="BV271" s="1767">
        <v>0</v>
      </c>
      <c r="BW271" s="1767">
        <v>0</v>
      </c>
      <c r="BX271" s="1767">
        <v>0</v>
      </c>
      <c r="BY271" s="1767">
        <v>0</v>
      </c>
      <c r="BZ271" s="1767">
        <v>0</v>
      </c>
      <c r="CA271" s="1767">
        <v>0</v>
      </c>
      <c r="CB271" s="1767">
        <v>0</v>
      </c>
      <c r="CC271" s="1767">
        <v>0</v>
      </c>
      <c r="CD271" s="1767">
        <v>0</v>
      </c>
      <c r="CE271" s="1767">
        <v>0</v>
      </c>
      <c r="CF271" s="1767">
        <v>0</v>
      </c>
      <c r="CG271" s="1767">
        <v>0</v>
      </c>
      <c r="CH271" s="1767">
        <v>0</v>
      </c>
      <c r="CI271" s="1767">
        <v>0</v>
      </c>
      <c r="CJ271" s="1767">
        <v>0</v>
      </c>
      <c r="CK271" s="1767">
        <v>0</v>
      </c>
      <c r="CL271" s="1767">
        <v>0</v>
      </c>
      <c r="CM271" s="1767">
        <v>0</v>
      </c>
      <c r="CN271" s="1767">
        <v>0</v>
      </c>
      <c r="CO271" s="1767">
        <v>0</v>
      </c>
      <c r="CP271" s="1767">
        <v>0</v>
      </c>
    </row>
    <row r="272" spans="1:94" s="2" customFormat="1" ht="15" customHeight="1" x14ac:dyDescent="0.2">
      <c r="A272" s="1847"/>
      <c r="B272" s="1899"/>
      <c r="C272" s="656" t="s">
        <v>2133</v>
      </c>
      <c r="D272" s="936"/>
      <c r="E272" s="1866"/>
      <c r="F272" s="1226"/>
      <c r="G272" s="1767">
        <v>0</v>
      </c>
      <c r="H272" s="1767">
        <v>0</v>
      </c>
      <c r="I272" s="1767">
        <v>0</v>
      </c>
      <c r="J272" s="1767">
        <v>0</v>
      </c>
      <c r="K272" s="1767">
        <v>0</v>
      </c>
      <c r="L272" s="1767">
        <v>0</v>
      </c>
      <c r="M272" s="1767">
        <v>0</v>
      </c>
      <c r="N272" s="1767">
        <v>0</v>
      </c>
      <c r="O272" s="1767">
        <v>0</v>
      </c>
      <c r="P272" s="1767">
        <v>0</v>
      </c>
      <c r="Q272" s="1767">
        <v>0</v>
      </c>
      <c r="R272" s="1767">
        <v>0</v>
      </c>
      <c r="S272" s="1767">
        <v>0</v>
      </c>
      <c r="T272" s="1767">
        <v>0</v>
      </c>
      <c r="U272" s="1767">
        <v>0</v>
      </c>
      <c r="V272" s="1767">
        <v>0</v>
      </c>
      <c r="W272" s="1767">
        <v>0</v>
      </c>
      <c r="X272" s="1767">
        <v>0</v>
      </c>
      <c r="Y272" s="1767">
        <v>0</v>
      </c>
      <c r="Z272" s="1767">
        <v>0</v>
      </c>
      <c r="AA272" s="1767">
        <v>0</v>
      </c>
      <c r="AB272" s="1767">
        <v>0</v>
      </c>
      <c r="AC272" s="1767">
        <v>0</v>
      </c>
      <c r="AD272" s="1767">
        <v>0</v>
      </c>
      <c r="AE272" s="1767">
        <v>0</v>
      </c>
      <c r="AF272" s="1767">
        <v>0</v>
      </c>
      <c r="AG272" s="1767">
        <v>0</v>
      </c>
      <c r="AH272" s="1767">
        <v>0</v>
      </c>
      <c r="AI272" s="1767">
        <v>0</v>
      </c>
      <c r="AJ272" s="1767">
        <v>0</v>
      </c>
      <c r="AK272" s="1767">
        <v>0</v>
      </c>
      <c r="AL272" s="1767">
        <v>0</v>
      </c>
      <c r="AM272" s="1767">
        <v>0</v>
      </c>
      <c r="AN272" s="1767">
        <v>0</v>
      </c>
      <c r="AO272" s="1767">
        <v>0</v>
      </c>
      <c r="AP272" s="1767">
        <v>0</v>
      </c>
      <c r="AQ272" s="1767">
        <v>0</v>
      </c>
      <c r="AR272" s="1767">
        <v>0</v>
      </c>
      <c r="AS272" s="1767">
        <v>0</v>
      </c>
      <c r="AT272" s="1767">
        <v>0</v>
      </c>
      <c r="AU272" s="1767">
        <v>0</v>
      </c>
      <c r="AV272" s="1767">
        <v>0</v>
      </c>
      <c r="AW272" s="1767">
        <v>0</v>
      </c>
      <c r="AX272" s="1767">
        <v>0</v>
      </c>
      <c r="AY272" s="1767">
        <v>0</v>
      </c>
      <c r="AZ272" s="1767">
        <v>0</v>
      </c>
      <c r="BA272" s="1767">
        <v>0</v>
      </c>
      <c r="BB272" s="1767">
        <v>0</v>
      </c>
      <c r="BC272" s="1767">
        <v>0</v>
      </c>
      <c r="BD272" s="1767">
        <v>0</v>
      </c>
      <c r="BE272" s="1767">
        <v>0</v>
      </c>
      <c r="BF272" s="1767">
        <v>0</v>
      </c>
      <c r="BG272" s="1767">
        <v>0</v>
      </c>
      <c r="BH272" s="1767">
        <v>0</v>
      </c>
      <c r="BI272" s="1767">
        <v>0</v>
      </c>
      <c r="BJ272" s="1767">
        <v>0</v>
      </c>
      <c r="BK272" s="1767">
        <v>0</v>
      </c>
      <c r="BL272" s="1767">
        <v>0</v>
      </c>
      <c r="BM272" s="1767">
        <v>0</v>
      </c>
      <c r="BN272" s="1767">
        <v>0</v>
      </c>
      <c r="BO272" s="1767">
        <v>0</v>
      </c>
      <c r="BP272" s="1767">
        <v>0</v>
      </c>
      <c r="BQ272" s="1767">
        <v>0</v>
      </c>
      <c r="BR272" s="1767">
        <v>0</v>
      </c>
      <c r="BS272" s="1767">
        <v>0</v>
      </c>
      <c r="BT272" s="1767">
        <v>0</v>
      </c>
      <c r="BU272" s="1767">
        <v>0</v>
      </c>
      <c r="BV272" s="1767">
        <v>0</v>
      </c>
      <c r="BW272" s="1767">
        <v>0</v>
      </c>
      <c r="BX272" s="1767">
        <v>0</v>
      </c>
      <c r="BY272" s="1767">
        <v>0</v>
      </c>
      <c r="BZ272" s="1767">
        <v>0</v>
      </c>
      <c r="CA272" s="1767">
        <v>0</v>
      </c>
      <c r="CB272" s="1767">
        <v>0</v>
      </c>
      <c r="CC272" s="1767">
        <v>0</v>
      </c>
      <c r="CD272" s="1767">
        <v>0</v>
      </c>
      <c r="CE272" s="1767">
        <v>0</v>
      </c>
      <c r="CF272" s="1767">
        <v>0</v>
      </c>
      <c r="CG272" s="1767">
        <v>0</v>
      </c>
      <c r="CH272" s="1767">
        <v>0</v>
      </c>
      <c r="CI272" s="1767">
        <v>0</v>
      </c>
      <c r="CJ272" s="1767">
        <v>0</v>
      </c>
      <c r="CK272" s="1767">
        <v>0</v>
      </c>
      <c r="CL272" s="1767">
        <v>0</v>
      </c>
      <c r="CM272" s="1767">
        <v>0</v>
      </c>
      <c r="CN272" s="1767">
        <v>0</v>
      </c>
      <c r="CO272" s="1767">
        <v>0</v>
      </c>
      <c r="CP272" s="1767">
        <v>0</v>
      </c>
    </row>
    <row r="273" spans="1:94" s="2" customFormat="1" ht="15" customHeight="1" thickBot="1" x14ac:dyDescent="0.25">
      <c r="A273" s="1847"/>
      <c r="B273" s="1899"/>
      <c r="C273" s="955" t="s">
        <v>1708</v>
      </c>
      <c r="D273" s="949"/>
      <c r="E273" s="1866"/>
      <c r="F273" s="1226"/>
      <c r="G273" s="1767">
        <v>0</v>
      </c>
      <c r="H273" s="1767">
        <v>0</v>
      </c>
      <c r="I273" s="1767">
        <v>0</v>
      </c>
      <c r="J273" s="1767">
        <v>0</v>
      </c>
      <c r="K273" s="1767">
        <v>0</v>
      </c>
      <c r="L273" s="1767">
        <v>0</v>
      </c>
      <c r="M273" s="1767">
        <v>0</v>
      </c>
      <c r="N273" s="1767">
        <v>0</v>
      </c>
      <c r="O273" s="1767">
        <v>0</v>
      </c>
      <c r="P273" s="1767">
        <v>0</v>
      </c>
      <c r="Q273" s="1767">
        <v>0</v>
      </c>
      <c r="R273" s="1767">
        <v>0</v>
      </c>
      <c r="S273" s="1767">
        <v>0</v>
      </c>
      <c r="T273" s="1767">
        <v>0</v>
      </c>
      <c r="U273" s="1767">
        <v>0</v>
      </c>
      <c r="V273" s="1767">
        <v>0</v>
      </c>
      <c r="W273" s="1767">
        <v>0</v>
      </c>
      <c r="X273" s="1767">
        <v>0</v>
      </c>
      <c r="Y273" s="1767">
        <v>0</v>
      </c>
      <c r="Z273" s="1767">
        <v>0</v>
      </c>
      <c r="AA273" s="1767">
        <v>0</v>
      </c>
      <c r="AB273" s="1767">
        <v>0</v>
      </c>
      <c r="AC273" s="1767">
        <v>0</v>
      </c>
      <c r="AD273" s="1767">
        <v>0</v>
      </c>
      <c r="AE273" s="1767">
        <v>0</v>
      </c>
      <c r="AF273" s="1767">
        <v>0</v>
      </c>
      <c r="AG273" s="1767">
        <v>0</v>
      </c>
      <c r="AH273" s="1767">
        <v>0</v>
      </c>
      <c r="AI273" s="1767">
        <v>0</v>
      </c>
      <c r="AJ273" s="1767">
        <v>0</v>
      </c>
      <c r="AK273" s="1767">
        <v>0</v>
      </c>
      <c r="AL273" s="1767">
        <v>0</v>
      </c>
      <c r="AM273" s="1767">
        <v>0</v>
      </c>
      <c r="AN273" s="1767">
        <v>0</v>
      </c>
      <c r="AO273" s="1767">
        <v>0</v>
      </c>
      <c r="AP273" s="1767">
        <v>0</v>
      </c>
      <c r="AQ273" s="1767">
        <v>0</v>
      </c>
      <c r="AR273" s="1767">
        <v>0</v>
      </c>
      <c r="AS273" s="1767">
        <v>0</v>
      </c>
      <c r="AT273" s="1767">
        <v>0</v>
      </c>
      <c r="AU273" s="1767">
        <v>0</v>
      </c>
      <c r="AV273" s="1767">
        <v>0</v>
      </c>
      <c r="AW273" s="1767">
        <v>0</v>
      </c>
      <c r="AX273" s="1767">
        <v>0</v>
      </c>
      <c r="AY273" s="1767">
        <v>0</v>
      </c>
      <c r="AZ273" s="1767">
        <v>0</v>
      </c>
      <c r="BA273" s="1767">
        <v>0</v>
      </c>
      <c r="BB273" s="1767">
        <v>0</v>
      </c>
      <c r="BC273" s="1767">
        <v>0</v>
      </c>
      <c r="BD273" s="1767">
        <v>0</v>
      </c>
      <c r="BE273" s="1767">
        <v>0</v>
      </c>
      <c r="BF273" s="1767">
        <v>0</v>
      </c>
      <c r="BG273" s="1767">
        <v>0</v>
      </c>
      <c r="BH273" s="1767">
        <v>0</v>
      </c>
      <c r="BI273" s="1767">
        <v>0</v>
      </c>
      <c r="BJ273" s="1767">
        <v>0</v>
      </c>
      <c r="BK273" s="1767">
        <v>0</v>
      </c>
      <c r="BL273" s="1767">
        <v>0</v>
      </c>
      <c r="BM273" s="1767">
        <v>0</v>
      </c>
      <c r="BN273" s="1767">
        <v>0</v>
      </c>
      <c r="BO273" s="1767">
        <v>0</v>
      </c>
      <c r="BP273" s="1767">
        <v>0</v>
      </c>
      <c r="BQ273" s="1767">
        <v>0</v>
      </c>
      <c r="BR273" s="1767">
        <v>0</v>
      </c>
      <c r="BS273" s="1767">
        <v>0</v>
      </c>
      <c r="BT273" s="1767">
        <v>0</v>
      </c>
      <c r="BU273" s="1767">
        <v>0</v>
      </c>
      <c r="BV273" s="1767">
        <v>0</v>
      </c>
      <c r="BW273" s="1767">
        <v>0</v>
      </c>
      <c r="BX273" s="1767">
        <v>0</v>
      </c>
      <c r="BY273" s="1767">
        <v>0</v>
      </c>
      <c r="BZ273" s="1767">
        <v>0</v>
      </c>
      <c r="CA273" s="1767">
        <v>0</v>
      </c>
      <c r="CB273" s="1767">
        <v>0</v>
      </c>
      <c r="CC273" s="1767">
        <v>0</v>
      </c>
      <c r="CD273" s="1767">
        <v>0</v>
      </c>
      <c r="CE273" s="1767">
        <v>0</v>
      </c>
      <c r="CF273" s="1767">
        <v>0</v>
      </c>
      <c r="CG273" s="1767">
        <v>0</v>
      </c>
      <c r="CH273" s="1767">
        <v>0</v>
      </c>
      <c r="CI273" s="1767">
        <v>0</v>
      </c>
      <c r="CJ273" s="1767">
        <v>0</v>
      </c>
      <c r="CK273" s="1767">
        <v>0</v>
      </c>
      <c r="CL273" s="1767">
        <v>0</v>
      </c>
      <c r="CM273" s="1767">
        <v>0</v>
      </c>
      <c r="CN273" s="1767">
        <v>0</v>
      </c>
      <c r="CO273" s="1767">
        <v>0</v>
      </c>
      <c r="CP273" s="1767">
        <v>0</v>
      </c>
    </row>
    <row r="274" spans="1:94" ht="30" customHeight="1" thickBot="1" x14ac:dyDescent="0.25">
      <c r="A274" s="1846" t="s">
        <v>240</v>
      </c>
      <c r="B274" s="1846" t="s">
        <v>250</v>
      </c>
      <c r="C274" s="1777" t="s">
        <v>2537</v>
      </c>
      <c r="D274" s="947"/>
      <c r="E274" s="1867" t="s">
        <v>2053</v>
      </c>
      <c r="F274" s="1225"/>
      <c r="G274" s="1742"/>
      <c r="H274" s="1742"/>
      <c r="I274" s="1742"/>
      <c r="J274" s="1742"/>
      <c r="K274" s="1742"/>
      <c r="L274" s="1742"/>
      <c r="M274" s="1742"/>
      <c r="N274" s="1742"/>
      <c r="O274" s="1742"/>
      <c r="P274" s="1742"/>
      <c r="Q274" s="1742"/>
      <c r="R274" s="1742"/>
      <c r="S274" s="1742"/>
      <c r="T274" s="1742"/>
      <c r="U274" s="1742"/>
      <c r="V274" s="1742"/>
      <c r="W274" s="1742"/>
      <c r="X274" s="1742"/>
      <c r="Y274" s="1742"/>
      <c r="Z274" s="1742"/>
      <c r="AA274" s="1742"/>
      <c r="AB274" s="1742"/>
      <c r="AC274" s="1742"/>
      <c r="AD274" s="1742"/>
      <c r="AE274" s="1742"/>
      <c r="AF274" s="1742"/>
      <c r="AG274" s="1742"/>
      <c r="AH274" s="1742"/>
      <c r="AI274" s="1742"/>
      <c r="AJ274" s="1742"/>
      <c r="AK274" s="1742"/>
      <c r="AL274" s="1742"/>
      <c r="AM274" s="1742"/>
      <c r="AN274" s="1742"/>
      <c r="AO274" s="1742"/>
      <c r="AP274" s="1742"/>
      <c r="AQ274" s="1742"/>
      <c r="AR274" s="1742"/>
      <c r="AS274" s="1742"/>
      <c r="AT274" s="1742"/>
      <c r="AU274" s="1742"/>
      <c r="AV274" s="1742"/>
      <c r="AW274" s="1742"/>
      <c r="AX274" s="1742"/>
      <c r="AY274" s="1742"/>
      <c r="AZ274" s="1742"/>
      <c r="BA274" s="1742"/>
      <c r="BB274" s="1742"/>
      <c r="BC274" s="1742"/>
      <c r="BD274" s="1742"/>
      <c r="BE274" s="1742"/>
      <c r="BF274" s="1742"/>
      <c r="BG274" s="1742"/>
      <c r="BH274" s="1742"/>
      <c r="BI274" s="1742"/>
      <c r="BJ274" s="1742"/>
      <c r="BK274" s="1742"/>
      <c r="BL274" s="1742"/>
      <c r="BM274" s="1742"/>
      <c r="BN274" s="1742"/>
      <c r="BO274" s="1742"/>
      <c r="BP274" s="1742"/>
      <c r="BQ274" s="1742"/>
      <c r="BR274" s="1742"/>
      <c r="BS274" s="1742"/>
      <c r="BT274" s="1742"/>
      <c r="BU274" s="1742"/>
      <c r="BV274" s="1742"/>
      <c r="BW274" s="1742"/>
      <c r="BX274" s="1742"/>
      <c r="BY274" s="1742"/>
      <c r="BZ274" s="1742"/>
      <c r="CA274" s="1742"/>
      <c r="CB274" s="1742"/>
      <c r="CC274" s="1742"/>
      <c r="CD274" s="1742"/>
      <c r="CE274" s="1742"/>
      <c r="CF274" s="1742"/>
      <c r="CG274" s="1742"/>
      <c r="CH274" s="1742"/>
      <c r="CI274" s="1742"/>
      <c r="CJ274" s="1742"/>
      <c r="CK274" s="1742"/>
      <c r="CL274" s="1742"/>
      <c r="CM274" s="1742"/>
      <c r="CN274" s="1742"/>
      <c r="CO274" s="1742"/>
      <c r="CP274" s="1742"/>
    </row>
    <row r="275" spans="1:94" ht="15" customHeight="1" x14ac:dyDescent="0.2">
      <c r="A275" s="1847"/>
      <c r="B275" s="1856"/>
      <c r="C275" s="660" t="s">
        <v>2134</v>
      </c>
      <c r="D275" s="936"/>
      <c r="E275" s="1868"/>
      <c r="F275" s="1225"/>
      <c r="G275" s="1767">
        <v>0</v>
      </c>
      <c r="H275" s="1767">
        <v>0</v>
      </c>
      <c r="I275" s="1767">
        <v>0</v>
      </c>
      <c r="J275" s="1767">
        <v>0</v>
      </c>
      <c r="K275" s="1767">
        <v>0</v>
      </c>
      <c r="L275" s="1767">
        <v>0</v>
      </c>
      <c r="M275" s="1767">
        <v>0</v>
      </c>
      <c r="N275" s="1767">
        <v>0</v>
      </c>
      <c r="O275" s="1767">
        <v>0</v>
      </c>
      <c r="P275" s="1767">
        <v>0</v>
      </c>
      <c r="Q275" s="1767">
        <v>0</v>
      </c>
      <c r="R275" s="1767">
        <v>0</v>
      </c>
      <c r="S275" s="1767">
        <v>0</v>
      </c>
      <c r="T275" s="1767">
        <v>0</v>
      </c>
      <c r="U275" s="1767">
        <v>0</v>
      </c>
      <c r="V275" s="1767">
        <v>0</v>
      </c>
      <c r="W275" s="1767">
        <v>0</v>
      </c>
      <c r="X275" s="1767">
        <v>0</v>
      </c>
      <c r="Y275" s="1767">
        <v>0</v>
      </c>
      <c r="Z275" s="1767">
        <v>0</v>
      </c>
      <c r="AA275" s="1767">
        <v>0</v>
      </c>
      <c r="AB275" s="1767">
        <v>0</v>
      </c>
      <c r="AC275" s="1767">
        <v>0</v>
      </c>
      <c r="AD275" s="1767">
        <v>0</v>
      </c>
      <c r="AE275" s="1767">
        <v>0</v>
      </c>
      <c r="AF275" s="1767">
        <v>0</v>
      </c>
      <c r="AG275" s="1767">
        <v>0</v>
      </c>
      <c r="AH275" s="1767">
        <v>0</v>
      </c>
      <c r="AI275" s="1767">
        <v>0</v>
      </c>
      <c r="AJ275" s="1767">
        <v>0</v>
      </c>
      <c r="AK275" s="1767">
        <v>0</v>
      </c>
      <c r="AL275" s="1767">
        <v>0</v>
      </c>
      <c r="AM275" s="1767">
        <v>0</v>
      </c>
      <c r="AN275" s="1767">
        <v>0</v>
      </c>
      <c r="AO275" s="1767">
        <v>0</v>
      </c>
      <c r="AP275" s="1767">
        <v>0</v>
      </c>
      <c r="AQ275" s="1767">
        <v>0</v>
      </c>
      <c r="AR275" s="1767">
        <v>0</v>
      </c>
      <c r="AS275" s="1767">
        <v>0</v>
      </c>
      <c r="AT275" s="1767">
        <v>0</v>
      </c>
      <c r="AU275" s="1767">
        <v>0</v>
      </c>
      <c r="AV275" s="1767">
        <v>0</v>
      </c>
      <c r="AW275" s="1767">
        <v>0</v>
      </c>
      <c r="AX275" s="1767">
        <v>0</v>
      </c>
      <c r="AY275" s="1767">
        <v>0</v>
      </c>
      <c r="AZ275" s="1767">
        <v>0</v>
      </c>
      <c r="BA275" s="1767">
        <v>0</v>
      </c>
      <c r="BB275" s="1767">
        <v>0</v>
      </c>
      <c r="BC275" s="1767">
        <v>0</v>
      </c>
      <c r="BD275" s="1767">
        <v>0</v>
      </c>
      <c r="BE275" s="1767">
        <v>0</v>
      </c>
      <c r="BF275" s="1767">
        <v>0</v>
      </c>
      <c r="BG275" s="1767">
        <v>0</v>
      </c>
      <c r="BH275" s="1767">
        <v>0</v>
      </c>
      <c r="BI275" s="1767">
        <v>0</v>
      </c>
      <c r="BJ275" s="1767">
        <v>0</v>
      </c>
      <c r="BK275" s="1767">
        <v>0</v>
      </c>
      <c r="BL275" s="1767">
        <v>0</v>
      </c>
      <c r="BM275" s="1767">
        <v>0</v>
      </c>
      <c r="BN275" s="1767">
        <v>0</v>
      </c>
      <c r="BO275" s="1767">
        <v>0</v>
      </c>
      <c r="BP275" s="1767">
        <v>0</v>
      </c>
      <c r="BQ275" s="1767">
        <v>0</v>
      </c>
      <c r="BR275" s="1767">
        <v>0</v>
      </c>
      <c r="BS275" s="1767">
        <v>0</v>
      </c>
      <c r="BT275" s="1767">
        <v>0</v>
      </c>
      <c r="BU275" s="1767">
        <v>0</v>
      </c>
      <c r="BV275" s="1767">
        <v>0</v>
      </c>
      <c r="BW275" s="1767">
        <v>0</v>
      </c>
      <c r="BX275" s="1767">
        <v>0</v>
      </c>
      <c r="BY275" s="1767">
        <v>0</v>
      </c>
      <c r="BZ275" s="1767">
        <v>0</v>
      </c>
      <c r="CA275" s="1767">
        <v>0</v>
      </c>
      <c r="CB275" s="1767">
        <v>0</v>
      </c>
      <c r="CC275" s="1767">
        <v>0</v>
      </c>
      <c r="CD275" s="1767">
        <v>0</v>
      </c>
      <c r="CE275" s="1767">
        <v>0</v>
      </c>
      <c r="CF275" s="1767">
        <v>0</v>
      </c>
      <c r="CG275" s="1767">
        <v>0</v>
      </c>
      <c r="CH275" s="1767">
        <v>0</v>
      </c>
      <c r="CI275" s="1767">
        <v>0</v>
      </c>
      <c r="CJ275" s="1767">
        <v>0</v>
      </c>
      <c r="CK275" s="1767">
        <v>0</v>
      </c>
      <c r="CL275" s="1767">
        <v>0</v>
      </c>
      <c r="CM275" s="1767">
        <v>0</v>
      </c>
      <c r="CN275" s="1767">
        <v>0</v>
      </c>
      <c r="CO275" s="1767">
        <v>0</v>
      </c>
      <c r="CP275" s="1767">
        <v>0</v>
      </c>
    </row>
    <row r="276" spans="1:94" ht="15" customHeight="1" x14ac:dyDescent="0.2">
      <c r="A276" s="1847"/>
      <c r="B276" s="1856"/>
      <c r="C276" s="653" t="s">
        <v>2135</v>
      </c>
      <c r="D276" s="936"/>
      <c r="E276" s="1868"/>
      <c r="F276" s="1225"/>
      <c r="G276" s="1767">
        <v>0</v>
      </c>
      <c r="H276" s="1767">
        <v>0</v>
      </c>
      <c r="I276" s="1767">
        <v>0</v>
      </c>
      <c r="J276" s="1767">
        <v>0</v>
      </c>
      <c r="K276" s="1767">
        <v>0</v>
      </c>
      <c r="L276" s="1767">
        <v>0</v>
      </c>
      <c r="M276" s="1767">
        <v>0</v>
      </c>
      <c r="N276" s="1767">
        <v>0</v>
      </c>
      <c r="O276" s="1767">
        <v>0</v>
      </c>
      <c r="P276" s="1767">
        <v>0</v>
      </c>
      <c r="Q276" s="1767">
        <v>0</v>
      </c>
      <c r="R276" s="1767">
        <v>0</v>
      </c>
      <c r="S276" s="1767">
        <v>0</v>
      </c>
      <c r="T276" s="1767">
        <v>0</v>
      </c>
      <c r="U276" s="1767">
        <v>0</v>
      </c>
      <c r="V276" s="1767">
        <v>0</v>
      </c>
      <c r="W276" s="1767">
        <v>0</v>
      </c>
      <c r="X276" s="1767">
        <v>0</v>
      </c>
      <c r="Y276" s="1767">
        <v>0</v>
      </c>
      <c r="Z276" s="1767">
        <v>0</v>
      </c>
      <c r="AA276" s="1767">
        <v>0</v>
      </c>
      <c r="AB276" s="1767">
        <v>0</v>
      </c>
      <c r="AC276" s="1767">
        <v>0</v>
      </c>
      <c r="AD276" s="1767">
        <v>0</v>
      </c>
      <c r="AE276" s="1767">
        <v>0</v>
      </c>
      <c r="AF276" s="1767">
        <v>0</v>
      </c>
      <c r="AG276" s="1767">
        <v>0</v>
      </c>
      <c r="AH276" s="1767">
        <v>0</v>
      </c>
      <c r="AI276" s="1767">
        <v>0</v>
      </c>
      <c r="AJ276" s="1767">
        <v>0</v>
      </c>
      <c r="AK276" s="1767">
        <v>0</v>
      </c>
      <c r="AL276" s="1767">
        <v>0</v>
      </c>
      <c r="AM276" s="1767">
        <v>0</v>
      </c>
      <c r="AN276" s="1767">
        <v>0</v>
      </c>
      <c r="AO276" s="1767">
        <v>0</v>
      </c>
      <c r="AP276" s="1767">
        <v>0</v>
      </c>
      <c r="AQ276" s="1767">
        <v>0</v>
      </c>
      <c r="AR276" s="1767">
        <v>0</v>
      </c>
      <c r="AS276" s="1767">
        <v>0</v>
      </c>
      <c r="AT276" s="1767">
        <v>0</v>
      </c>
      <c r="AU276" s="1767">
        <v>0</v>
      </c>
      <c r="AV276" s="1767">
        <v>0</v>
      </c>
      <c r="AW276" s="1767">
        <v>0</v>
      </c>
      <c r="AX276" s="1767">
        <v>0</v>
      </c>
      <c r="AY276" s="1767">
        <v>0</v>
      </c>
      <c r="AZ276" s="1767">
        <v>0</v>
      </c>
      <c r="BA276" s="1767">
        <v>0</v>
      </c>
      <c r="BB276" s="1767">
        <v>0</v>
      </c>
      <c r="BC276" s="1767">
        <v>0</v>
      </c>
      <c r="BD276" s="1767">
        <v>0</v>
      </c>
      <c r="BE276" s="1767">
        <v>0</v>
      </c>
      <c r="BF276" s="1767">
        <v>0</v>
      </c>
      <c r="BG276" s="1767">
        <v>0</v>
      </c>
      <c r="BH276" s="1767">
        <v>0</v>
      </c>
      <c r="BI276" s="1767">
        <v>0</v>
      </c>
      <c r="BJ276" s="1767">
        <v>0</v>
      </c>
      <c r="BK276" s="1767">
        <v>0</v>
      </c>
      <c r="BL276" s="1767">
        <v>0</v>
      </c>
      <c r="BM276" s="1767">
        <v>0</v>
      </c>
      <c r="BN276" s="1767">
        <v>0</v>
      </c>
      <c r="BO276" s="1767">
        <v>0</v>
      </c>
      <c r="BP276" s="1767">
        <v>0</v>
      </c>
      <c r="BQ276" s="1767">
        <v>0</v>
      </c>
      <c r="BR276" s="1767">
        <v>0</v>
      </c>
      <c r="BS276" s="1767">
        <v>0</v>
      </c>
      <c r="BT276" s="1767">
        <v>0</v>
      </c>
      <c r="BU276" s="1767">
        <v>0</v>
      </c>
      <c r="BV276" s="1767">
        <v>0</v>
      </c>
      <c r="BW276" s="1767">
        <v>0</v>
      </c>
      <c r="BX276" s="1767">
        <v>0</v>
      </c>
      <c r="BY276" s="1767">
        <v>0</v>
      </c>
      <c r="BZ276" s="1767">
        <v>0</v>
      </c>
      <c r="CA276" s="1767">
        <v>0</v>
      </c>
      <c r="CB276" s="1767">
        <v>0</v>
      </c>
      <c r="CC276" s="1767">
        <v>0</v>
      </c>
      <c r="CD276" s="1767">
        <v>0</v>
      </c>
      <c r="CE276" s="1767">
        <v>0</v>
      </c>
      <c r="CF276" s="1767">
        <v>0</v>
      </c>
      <c r="CG276" s="1767">
        <v>0</v>
      </c>
      <c r="CH276" s="1767">
        <v>0</v>
      </c>
      <c r="CI276" s="1767">
        <v>0</v>
      </c>
      <c r="CJ276" s="1767">
        <v>0</v>
      </c>
      <c r="CK276" s="1767">
        <v>0</v>
      </c>
      <c r="CL276" s="1767">
        <v>0</v>
      </c>
      <c r="CM276" s="1767">
        <v>0</v>
      </c>
      <c r="CN276" s="1767">
        <v>0</v>
      </c>
      <c r="CO276" s="1767">
        <v>0</v>
      </c>
      <c r="CP276" s="1767">
        <v>0</v>
      </c>
    </row>
    <row r="277" spans="1:94" ht="15" customHeight="1" thickBot="1" x14ac:dyDescent="0.25">
      <c r="A277" s="1848"/>
      <c r="B277" s="1857"/>
      <c r="C277" s="654" t="s">
        <v>2136</v>
      </c>
      <c r="D277" s="950"/>
      <c r="E277" s="1869"/>
      <c r="F277" s="1225"/>
      <c r="G277" s="1767">
        <v>0</v>
      </c>
      <c r="H277" s="1767">
        <v>0</v>
      </c>
      <c r="I277" s="1767">
        <v>0</v>
      </c>
      <c r="J277" s="1767">
        <v>0</v>
      </c>
      <c r="K277" s="1767">
        <v>0</v>
      </c>
      <c r="L277" s="1767">
        <v>0</v>
      </c>
      <c r="M277" s="1767">
        <v>0</v>
      </c>
      <c r="N277" s="1767">
        <v>0</v>
      </c>
      <c r="O277" s="1767">
        <v>0</v>
      </c>
      <c r="P277" s="1767">
        <v>0</v>
      </c>
      <c r="Q277" s="1767">
        <v>0</v>
      </c>
      <c r="R277" s="1767">
        <v>0</v>
      </c>
      <c r="S277" s="1767">
        <v>0</v>
      </c>
      <c r="T277" s="1767">
        <v>0</v>
      </c>
      <c r="U277" s="1767">
        <v>0</v>
      </c>
      <c r="V277" s="1767">
        <v>0</v>
      </c>
      <c r="W277" s="1767">
        <v>0</v>
      </c>
      <c r="X277" s="1767">
        <v>0</v>
      </c>
      <c r="Y277" s="1767">
        <v>0</v>
      </c>
      <c r="Z277" s="1767">
        <v>0</v>
      </c>
      <c r="AA277" s="1767">
        <v>0</v>
      </c>
      <c r="AB277" s="1767">
        <v>0</v>
      </c>
      <c r="AC277" s="1767">
        <v>0</v>
      </c>
      <c r="AD277" s="1767">
        <v>0</v>
      </c>
      <c r="AE277" s="1767">
        <v>0</v>
      </c>
      <c r="AF277" s="1767">
        <v>0</v>
      </c>
      <c r="AG277" s="1767">
        <v>0</v>
      </c>
      <c r="AH277" s="1767">
        <v>0</v>
      </c>
      <c r="AI277" s="1767">
        <v>0</v>
      </c>
      <c r="AJ277" s="1767">
        <v>0</v>
      </c>
      <c r="AK277" s="1767">
        <v>0</v>
      </c>
      <c r="AL277" s="1767">
        <v>0</v>
      </c>
      <c r="AM277" s="1767">
        <v>0</v>
      </c>
      <c r="AN277" s="1767">
        <v>0</v>
      </c>
      <c r="AO277" s="1767">
        <v>0</v>
      </c>
      <c r="AP277" s="1767">
        <v>0</v>
      </c>
      <c r="AQ277" s="1767">
        <v>0</v>
      </c>
      <c r="AR277" s="1767">
        <v>0</v>
      </c>
      <c r="AS277" s="1767">
        <v>0</v>
      </c>
      <c r="AT277" s="1767">
        <v>0</v>
      </c>
      <c r="AU277" s="1767">
        <v>0</v>
      </c>
      <c r="AV277" s="1767">
        <v>0</v>
      </c>
      <c r="AW277" s="1767">
        <v>0</v>
      </c>
      <c r="AX277" s="1767">
        <v>0</v>
      </c>
      <c r="AY277" s="1767">
        <v>0</v>
      </c>
      <c r="AZ277" s="1767">
        <v>0</v>
      </c>
      <c r="BA277" s="1767">
        <v>0</v>
      </c>
      <c r="BB277" s="1767">
        <v>0</v>
      </c>
      <c r="BC277" s="1767">
        <v>0</v>
      </c>
      <c r="BD277" s="1767">
        <v>0</v>
      </c>
      <c r="BE277" s="1767">
        <v>0</v>
      </c>
      <c r="BF277" s="1767">
        <v>0</v>
      </c>
      <c r="BG277" s="1767">
        <v>0</v>
      </c>
      <c r="BH277" s="1767">
        <v>0</v>
      </c>
      <c r="BI277" s="1767">
        <v>0</v>
      </c>
      <c r="BJ277" s="1767">
        <v>0</v>
      </c>
      <c r="BK277" s="1767">
        <v>0</v>
      </c>
      <c r="BL277" s="1767">
        <v>0</v>
      </c>
      <c r="BM277" s="1767">
        <v>0</v>
      </c>
      <c r="BN277" s="1767">
        <v>0</v>
      </c>
      <c r="BO277" s="1767">
        <v>0</v>
      </c>
      <c r="BP277" s="1767">
        <v>0</v>
      </c>
      <c r="BQ277" s="1767">
        <v>0</v>
      </c>
      <c r="BR277" s="1767">
        <v>0</v>
      </c>
      <c r="BS277" s="1767">
        <v>0</v>
      </c>
      <c r="BT277" s="1767">
        <v>0</v>
      </c>
      <c r="BU277" s="1767">
        <v>0</v>
      </c>
      <c r="BV277" s="1767">
        <v>0</v>
      </c>
      <c r="BW277" s="1767">
        <v>0</v>
      </c>
      <c r="BX277" s="1767">
        <v>0</v>
      </c>
      <c r="BY277" s="1767">
        <v>0</v>
      </c>
      <c r="BZ277" s="1767">
        <v>0</v>
      </c>
      <c r="CA277" s="1767">
        <v>0</v>
      </c>
      <c r="CB277" s="1767">
        <v>0</v>
      </c>
      <c r="CC277" s="1767">
        <v>0</v>
      </c>
      <c r="CD277" s="1767">
        <v>0</v>
      </c>
      <c r="CE277" s="1767">
        <v>0</v>
      </c>
      <c r="CF277" s="1767">
        <v>0</v>
      </c>
      <c r="CG277" s="1767">
        <v>0</v>
      </c>
      <c r="CH277" s="1767">
        <v>0</v>
      </c>
      <c r="CI277" s="1767">
        <v>0</v>
      </c>
      <c r="CJ277" s="1767">
        <v>0</v>
      </c>
      <c r="CK277" s="1767">
        <v>0</v>
      </c>
      <c r="CL277" s="1767">
        <v>0</v>
      </c>
      <c r="CM277" s="1767">
        <v>0</v>
      </c>
      <c r="CN277" s="1767">
        <v>0</v>
      </c>
      <c r="CO277" s="1767">
        <v>0</v>
      </c>
      <c r="CP277" s="1767">
        <v>0</v>
      </c>
    </row>
    <row r="278" spans="1:94" s="1237" customFormat="1" ht="21" customHeight="1" thickBot="1" x14ac:dyDescent="0.25">
      <c r="A278" s="1856" t="s">
        <v>241</v>
      </c>
      <c r="B278" s="1856" t="s">
        <v>246</v>
      </c>
      <c r="C278" s="1778" t="s">
        <v>485</v>
      </c>
      <c r="D278" s="1558"/>
      <c r="E278" s="1870" t="s">
        <v>2053</v>
      </c>
      <c r="F278" s="1236"/>
      <c r="G278" s="1742"/>
      <c r="H278" s="1742"/>
      <c r="I278" s="1742"/>
      <c r="J278" s="1742"/>
      <c r="K278" s="1742"/>
      <c r="L278" s="1742"/>
      <c r="M278" s="1742"/>
      <c r="N278" s="1742"/>
      <c r="O278" s="1742"/>
      <c r="P278" s="1742"/>
      <c r="Q278" s="1742"/>
      <c r="R278" s="1742"/>
      <c r="S278" s="1742"/>
      <c r="T278" s="1742"/>
      <c r="U278" s="1742"/>
      <c r="V278" s="1742"/>
      <c r="W278" s="1742"/>
      <c r="X278" s="1742"/>
      <c r="Y278" s="1742"/>
      <c r="Z278" s="1742"/>
      <c r="AA278" s="1742"/>
      <c r="AB278" s="1742"/>
      <c r="AC278" s="1742"/>
      <c r="AD278" s="1742"/>
      <c r="AE278" s="1742"/>
      <c r="AF278" s="1742"/>
      <c r="AG278" s="1742"/>
      <c r="AH278" s="1742"/>
      <c r="AI278" s="1742"/>
      <c r="AJ278" s="1742"/>
      <c r="AK278" s="1742"/>
      <c r="AL278" s="1742"/>
      <c r="AM278" s="1742"/>
      <c r="AN278" s="1742"/>
      <c r="AO278" s="1742"/>
      <c r="AP278" s="1742"/>
      <c r="AQ278" s="1742"/>
      <c r="AR278" s="1742"/>
      <c r="AS278" s="1742"/>
      <c r="AT278" s="1742"/>
      <c r="AU278" s="1742"/>
      <c r="AV278" s="1742"/>
      <c r="AW278" s="1742"/>
      <c r="AX278" s="1742"/>
      <c r="AY278" s="1742"/>
      <c r="AZ278" s="1742"/>
      <c r="BA278" s="1742"/>
      <c r="BB278" s="1742"/>
      <c r="BC278" s="1742"/>
      <c r="BD278" s="1742"/>
      <c r="BE278" s="1742"/>
      <c r="BF278" s="1742"/>
      <c r="BG278" s="1742"/>
      <c r="BH278" s="1742"/>
      <c r="BI278" s="1742"/>
      <c r="BJ278" s="1742"/>
      <c r="BK278" s="1742"/>
      <c r="BL278" s="1742"/>
      <c r="BM278" s="1742"/>
      <c r="BN278" s="1742"/>
      <c r="BO278" s="1742"/>
      <c r="BP278" s="1742"/>
      <c r="BQ278" s="1742"/>
      <c r="BR278" s="1742"/>
      <c r="BS278" s="1742"/>
      <c r="BT278" s="1742"/>
      <c r="BU278" s="1742"/>
      <c r="BV278" s="1742"/>
      <c r="BW278" s="1742"/>
      <c r="BX278" s="1742"/>
      <c r="BY278" s="1742"/>
      <c r="BZ278" s="1742"/>
      <c r="CA278" s="1742"/>
      <c r="CB278" s="1742"/>
      <c r="CC278" s="1742"/>
      <c r="CD278" s="1742"/>
      <c r="CE278" s="1742"/>
      <c r="CF278" s="1742"/>
      <c r="CG278" s="1742"/>
      <c r="CH278" s="1742"/>
      <c r="CI278" s="1742"/>
      <c r="CJ278" s="1742"/>
      <c r="CK278" s="1742"/>
      <c r="CL278" s="1742"/>
      <c r="CM278" s="1742"/>
      <c r="CN278" s="1742"/>
      <c r="CO278" s="1742"/>
      <c r="CP278" s="1742"/>
    </row>
    <row r="279" spans="1:94" s="1237" customFormat="1" ht="27" customHeight="1" x14ac:dyDescent="0.2">
      <c r="A279" s="1856"/>
      <c r="B279" s="1856"/>
      <c r="C279" s="662" t="s">
        <v>2336</v>
      </c>
      <c r="D279" s="1559"/>
      <c r="E279" s="1871"/>
      <c r="F279" s="1236"/>
      <c r="G279" s="1767">
        <v>0</v>
      </c>
      <c r="H279" s="1767">
        <v>0</v>
      </c>
      <c r="I279" s="1767">
        <v>0</v>
      </c>
      <c r="J279" s="1767">
        <v>0</v>
      </c>
      <c r="K279" s="1767">
        <v>0</v>
      </c>
      <c r="L279" s="1767">
        <v>0</v>
      </c>
      <c r="M279" s="1767">
        <v>0</v>
      </c>
      <c r="N279" s="1767">
        <v>0</v>
      </c>
      <c r="O279" s="1767">
        <v>0</v>
      </c>
      <c r="P279" s="1767">
        <v>0</v>
      </c>
      <c r="Q279" s="1767">
        <v>0</v>
      </c>
      <c r="R279" s="1767">
        <v>0</v>
      </c>
      <c r="S279" s="1767">
        <v>0</v>
      </c>
      <c r="T279" s="1767">
        <v>0</v>
      </c>
      <c r="U279" s="1767">
        <v>0</v>
      </c>
      <c r="V279" s="1767">
        <v>0</v>
      </c>
      <c r="W279" s="1767">
        <v>0</v>
      </c>
      <c r="X279" s="1767">
        <v>0</v>
      </c>
      <c r="Y279" s="1767">
        <v>0</v>
      </c>
      <c r="Z279" s="1767">
        <v>0</v>
      </c>
      <c r="AA279" s="1767">
        <v>0</v>
      </c>
      <c r="AB279" s="1767">
        <v>0</v>
      </c>
      <c r="AC279" s="1767">
        <v>0</v>
      </c>
      <c r="AD279" s="1767">
        <v>0</v>
      </c>
      <c r="AE279" s="1767">
        <v>0</v>
      </c>
      <c r="AF279" s="1767">
        <v>0</v>
      </c>
      <c r="AG279" s="1767">
        <v>0</v>
      </c>
      <c r="AH279" s="1767">
        <v>0</v>
      </c>
      <c r="AI279" s="1767">
        <v>0</v>
      </c>
      <c r="AJ279" s="1767">
        <v>0</v>
      </c>
      <c r="AK279" s="1767">
        <v>0</v>
      </c>
      <c r="AL279" s="1767">
        <v>0</v>
      </c>
      <c r="AM279" s="1767">
        <v>0</v>
      </c>
      <c r="AN279" s="1767">
        <v>0</v>
      </c>
      <c r="AO279" s="1767">
        <v>0</v>
      </c>
      <c r="AP279" s="1767">
        <v>0</v>
      </c>
      <c r="AQ279" s="1767">
        <v>0</v>
      </c>
      <c r="AR279" s="1767">
        <v>0</v>
      </c>
      <c r="AS279" s="1767">
        <v>0</v>
      </c>
      <c r="AT279" s="1767">
        <v>0</v>
      </c>
      <c r="AU279" s="1767">
        <v>0</v>
      </c>
      <c r="AV279" s="1767">
        <v>0</v>
      </c>
      <c r="AW279" s="1767">
        <v>0</v>
      </c>
      <c r="AX279" s="1767">
        <v>0</v>
      </c>
      <c r="AY279" s="1767">
        <v>0</v>
      </c>
      <c r="AZ279" s="1767">
        <v>0</v>
      </c>
      <c r="BA279" s="1767">
        <v>0</v>
      </c>
      <c r="BB279" s="1767">
        <v>0</v>
      </c>
      <c r="BC279" s="1767">
        <v>0</v>
      </c>
      <c r="BD279" s="1767">
        <v>0</v>
      </c>
      <c r="BE279" s="1767">
        <v>0</v>
      </c>
      <c r="BF279" s="1767">
        <v>0</v>
      </c>
      <c r="BG279" s="1767">
        <v>0</v>
      </c>
      <c r="BH279" s="1767">
        <v>0</v>
      </c>
      <c r="BI279" s="1767">
        <v>0</v>
      </c>
      <c r="BJ279" s="1767">
        <v>0</v>
      </c>
      <c r="BK279" s="1767">
        <v>0</v>
      </c>
      <c r="BL279" s="1767">
        <v>0</v>
      </c>
      <c r="BM279" s="1767">
        <v>0</v>
      </c>
      <c r="BN279" s="1767">
        <v>0</v>
      </c>
      <c r="BO279" s="1767">
        <v>0</v>
      </c>
      <c r="BP279" s="1767">
        <v>0</v>
      </c>
      <c r="BQ279" s="1767">
        <v>0</v>
      </c>
      <c r="BR279" s="1767">
        <v>0</v>
      </c>
      <c r="BS279" s="1767">
        <v>0</v>
      </c>
      <c r="BT279" s="1767">
        <v>0</v>
      </c>
      <c r="BU279" s="1767">
        <v>0</v>
      </c>
      <c r="BV279" s="1767">
        <v>0</v>
      </c>
      <c r="BW279" s="1767">
        <v>0</v>
      </c>
      <c r="BX279" s="1767">
        <v>0</v>
      </c>
      <c r="BY279" s="1767">
        <v>0</v>
      </c>
      <c r="BZ279" s="1767">
        <v>0</v>
      </c>
      <c r="CA279" s="1767">
        <v>0</v>
      </c>
      <c r="CB279" s="1767">
        <v>0</v>
      </c>
      <c r="CC279" s="1767">
        <v>0</v>
      </c>
      <c r="CD279" s="1767">
        <v>0</v>
      </c>
      <c r="CE279" s="1767">
        <v>0</v>
      </c>
      <c r="CF279" s="1767">
        <v>0</v>
      </c>
      <c r="CG279" s="1767">
        <v>0</v>
      </c>
      <c r="CH279" s="1767">
        <v>0</v>
      </c>
      <c r="CI279" s="1767">
        <v>0</v>
      </c>
      <c r="CJ279" s="1767">
        <v>0</v>
      </c>
      <c r="CK279" s="1767">
        <v>0</v>
      </c>
      <c r="CL279" s="1767">
        <v>0</v>
      </c>
      <c r="CM279" s="1767">
        <v>0</v>
      </c>
      <c r="CN279" s="1767">
        <v>0</v>
      </c>
      <c r="CO279" s="1767">
        <v>0</v>
      </c>
      <c r="CP279" s="1767">
        <v>0</v>
      </c>
    </row>
    <row r="280" spans="1:94" s="1237" customFormat="1" ht="28.5" customHeight="1" x14ac:dyDescent="0.2">
      <c r="A280" s="1856"/>
      <c r="B280" s="1856"/>
      <c r="C280" s="663" t="s">
        <v>2335</v>
      </c>
      <c r="D280" s="1559"/>
      <c r="E280" s="1871"/>
      <c r="F280" s="1236"/>
      <c r="G280" s="1767">
        <v>0</v>
      </c>
      <c r="H280" s="1767">
        <v>0</v>
      </c>
      <c r="I280" s="1767">
        <v>0</v>
      </c>
      <c r="J280" s="1767">
        <v>0</v>
      </c>
      <c r="K280" s="1767">
        <v>0</v>
      </c>
      <c r="L280" s="1767">
        <v>0</v>
      </c>
      <c r="M280" s="1767">
        <v>0</v>
      </c>
      <c r="N280" s="1767">
        <v>0</v>
      </c>
      <c r="O280" s="1767">
        <v>0</v>
      </c>
      <c r="P280" s="1767">
        <v>0</v>
      </c>
      <c r="Q280" s="1767">
        <v>0</v>
      </c>
      <c r="R280" s="1767">
        <v>0</v>
      </c>
      <c r="S280" s="1767">
        <v>0</v>
      </c>
      <c r="T280" s="1767">
        <v>0</v>
      </c>
      <c r="U280" s="1767">
        <v>0</v>
      </c>
      <c r="V280" s="1767">
        <v>0</v>
      </c>
      <c r="W280" s="1767">
        <v>0</v>
      </c>
      <c r="X280" s="1767">
        <v>0</v>
      </c>
      <c r="Y280" s="1767">
        <v>0</v>
      </c>
      <c r="Z280" s="1767">
        <v>0</v>
      </c>
      <c r="AA280" s="1767">
        <v>0</v>
      </c>
      <c r="AB280" s="1767">
        <v>0</v>
      </c>
      <c r="AC280" s="1767">
        <v>0</v>
      </c>
      <c r="AD280" s="1767">
        <v>0</v>
      </c>
      <c r="AE280" s="1767">
        <v>0</v>
      </c>
      <c r="AF280" s="1767">
        <v>0</v>
      </c>
      <c r="AG280" s="1767">
        <v>0</v>
      </c>
      <c r="AH280" s="1767">
        <v>0</v>
      </c>
      <c r="AI280" s="1767">
        <v>0</v>
      </c>
      <c r="AJ280" s="1767">
        <v>0</v>
      </c>
      <c r="AK280" s="1767">
        <v>0</v>
      </c>
      <c r="AL280" s="1767">
        <v>0</v>
      </c>
      <c r="AM280" s="1767">
        <v>0</v>
      </c>
      <c r="AN280" s="1767">
        <v>0</v>
      </c>
      <c r="AO280" s="1767">
        <v>0</v>
      </c>
      <c r="AP280" s="1767">
        <v>0</v>
      </c>
      <c r="AQ280" s="1767">
        <v>0</v>
      </c>
      <c r="AR280" s="1767">
        <v>0</v>
      </c>
      <c r="AS280" s="1767">
        <v>0</v>
      </c>
      <c r="AT280" s="1767">
        <v>0</v>
      </c>
      <c r="AU280" s="1767">
        <v>0</v>
      </c>
      <c r="AV280" s="1767">
        <v>0</v>
      </c>
      <c r="AW280" s="1767">
        <v>0</v>
      </c>
      <c r="AX280" s="1767">
        <v>0</v>
      </c>
      <c r="AY280" s="1767">
        <v>0</v>
      </c>
      <c r="AZ280" s="1767">
        <v>0</v>
      </c>
      <c r="BA280" s="1767">
        <v>0</v>
      </c>
      <c r="BB280" s="1767">
        <v>0</v>
      </c>
      <c r="BC280" s="1767">
        <v>0</v>
      </c>
      <c r="BD280" s="1767">
        <v>0</v>
      </c>
      <c r="BE280" s="1767">
        <v>0</v>
      </c>
      <c r="BF280" s="1767">
        <v>0</v>
      </c>
      <c r="BG280" s="1767">
        <v>0</v>
      </c>
      <c r="BH280" s="1767">
        <v>0</v>
      </c>
      <c r="BI280" s="1767">
        <v>0</v>
      </c>
      <c r="BJ280" s="1767">
        <v>0</v>
      </c>
      <c r="BK280" s="1767">
        <v>0</v>
      </c>
      <c r="BL280" s="1767">
        <v>0</v>
      </c>
      <c r="BM280" s="1767">
        <v>0</v>
      </c>
      <c r="BN280" s="1767">
        <v>0</v>
      </c>
      <c r="BO280" s="1767">
        <v>0</v>
      </c>
      <c r="BP280" s="1767">
        <v>0</v>
      </c>
      <c r="BQ280" s="1767">
        <v>0</v>
      </c>
      <c r="BR280" s="1767">
        <v>0</v>
      </c>
      <c r="BS280" s="1767">
        <v>0</v>
      </c>
      <c r="BT280" s="1767">
        <v>0</v>
      </c>
      <c r="BU280" s="1767">
        <v>0</v>
      </c>
      <c r="BV280" s="1767">
        <v>0</v>
      </c>
      <c r="BW280" s="1767">
        <v>0</v>
      </c>
      <c r="BX280" s="1767">
        <v>0</v>
      </c>
      <c r="BY280" s="1767">
        <v>0</v>
      </c>
      <c r="BZ280" s="1767">
        <v>0</v>
      </c>
      <c r="CA280" s="1767">
        <v>0</v>
      </c>
      <c r="CB280" s="1767">
        <v>0</v>
      </c>
      <c r="CC280" s="1767">
        <v>0</v>
      </c>
      <c r="CD280" s="1767">
        <v>0</v>
      </c>
      <c r="CE280" s="1767">
        <v>0</v>
      </c>
      <c r="CF280" s="1767">
        <v>0</v>
      </c>
      <c r="CG280" s="1767">
        <v>0</v>
      </c>
      <c r="CH280" s="1767">
        <v>0</v>
      </c>
      <c r="CI280" s="1767">
        <v>0</v>
      </c>
      <c r="CJ280" s="1767">
        <v>0</v>
      </c>
      <c r="CK280" s="1767">
        <v>0</v>
      </c>
      <c r="CL280" s="1767">
        <v>0</v>
      </c>
      <c r="CM280" s="1767">
        <v>0</v>
      </c>
      <c r="CN280" s="1767">
        <v>0</v>
      </c>
      <c r="CO280" s="1767">
        <v>0</v>
      </c>
      <c r="CP280" s="1767">
        <v>0</v>
      </c>
    </row>
    <row r="281" spans="1:94" s="1237" customFormat="1" ht="15" customHeight="1" x14ac:dyDescent="0.2">
      <c r="A281" s="1856"/>
      <c r="B281" s="1856"/>
      <c r="C281" s="653" t="s">
        <v>2273</v>
      </c>
      <c r="D281" s="1559"/>
      <c r="E281" s="1871"/>
      <c r="F281" s="1236"/>
      <c r="G281" s="1767">
        <v>0</v>
      </c>
      <c r="H281" s="1767">
        <v>0</v>
      </c>
      <c r="I281" s="1767">
        <v>0</v>
      </c>
      <c r="J281" s="1767">
        <v>0</v>
      </c>
      <c r="K281" s="1767">
        <v>0</v>
      </c>
      <c r="L281" s="1767">
        <v>0</v>
      </c>
      <c r="M281" s="1767">
        <v>0</v>
      </c>
      <c r="N281" s="1767">
        <v>0</v>
      </c>
      <c r="O281" s="1767">
        <v>0</v>
      </c>
      <c r="P281" s="1767">
        <v>0</v>
      </c>
      <c r="Q281" s="1767">
        <v>0</v>
      </c>
      <c r="R281" s="1767">
        <v>0</v>
      </c>
      <c r="S281" s="1767">
        <v>0</v>
      </c>
      <c r="T281" s="1767">
        <v>0</v>
      </c>
      <c r="U281" s="1767">
        <v>0</v>
      </c>
      <c r="V281" s="1767">
        <v>0</v>
      </c>
      <c r="W281" s="1767">
        <v>0</v>
      </c>
      <c r="X281" s="1767">
        <v>0</v>
      </c>
      <c r="Y281" s="1767">
        <v>0</v>
      </c>
      <c r="Z281" s="1767">
        <v>0</v>
      </c>
      <c r="AA281" s="1767">
        <v>0</v>
      </c>
      <c r="AB281" s="1767">
        <v>0</v>
      </c>
      <c r="AC281" s="1767">
        <v>0</v>
      </c>
      <c r="AD281" s="1767">
        <v>0</v>
      </c>
      <c r="AE281" s="1767">
        <v>0</v>
      </c>
      <c r="AF281" s="1767">
        <v>0</v>
      </c>
      <c r="AG281" s="1767">
        <v>0</v>
      </c>
      <c r="AH281" s="1767">
        <v>0</v>
      </c>
      <c r="AI281" s="1767">
        <v>0</v>
      </c>
      <c r="AJ281" s="1767">
        <v>0</v>
      </c>
      <c r="AK281" s="1767">
        <v>0</v>
      </c>
      <c r="AL281" s="1767">
        <v>0</v>
      </c>
      <c r="AM281" s="1767">
        <v>0</v>
      </c>
      <c r="AN281" s="1767">
        <v>0</v>
      </c>
      <c r="AO281" s="1767">
        <v>0</v>
      </c>
      <c r="AP281" s="1767">
        <v>0</v>
      </c>
      <c r="AQ281" s="1767">
        <v>0</v>
      </c>
      <c r="AR281" s="1767">
        <v>0</v>
      </c>
      <c r="AS281" s="1767">
        <v>0</v>
      </c>
      <c r="AT281" s="1767">
        <v>0</v>
      </c>
      <c r="AU281" s="1767">
        <v>0</v>
      </c>
      <c r="AV281" s="1767">
        <v>0</v>
      </c>
      <c r="AW281" s="1767">
        <v>0</v>
      </c>
      <c r="AX281" s="1767">
        <v>0</v>
      </c>
      <c r="AY281" s="1767">
        <v>0</v>
      </c>
      <c r="AZ281" s="1767">
        <v>0</v>
      </c>
      <c r="BA281" s="1767">
        <v>0</v>
      </c>
      <c r="BB281" s="1767">
        <v>0</v>
      </c>
      <c r="BC281" s="1767">
        <v>0</v>
      </c>
      <c r="BD281" s="1767">
        <v>0</v>
      </c>
      <c r="BE281" s="1767">
        <v>0</v>
      </c>
      <c r="BF281" s="1767">
        <v>0</v>
      </c>
      <c r="BG281" s="1767">
        <v>0</v>
      </c>
      <c r="BH281" s="1767">
        <v>0</v>
      </c>
      <c r="BI281" s="1767">
        <v>0</v>
      </c>
      <c r="BJ281" s="1767">
        <v>0</v>
      </c>
      <c r="BK281" s="1767">
        <v>0</v>
      </c>
      <c r="BL281" s="1767">
        <v>0</v>
      </c>
      <c r="BM281" s="1767">
        <v>0</v>
      </c>
      <c r="BN281" s="1767">
        <v>0</v>
      </c>
      <c r="BO281" s="1767">
        <v>0</v>
      </c>
      <c r="BP281" s="1767">
        <v>0</v>
      </c>
      <c r="BQ281" s="1767">
        <v>0</v>
      </c>
      <c r="BR281" s="1767">
        <v>0</v>
      </c>
      <c r="BS281" s="1767">
        <v>0</v>
      </c>
      <c r="BT281" s="1767">
        <v>0</v>
      </c>
      <c r="BU281" s="1767">
        <v>0</v>
      </c>
      <c r="BV281" s="1767">
        <v>0</v>
      </c>
      <c r="BW281" s="1767">
        <v>0</v>
      </c>
      <c r="BX281" s="1767">
        <v>0</v>
      </c>
      <c r="BY281" s="1767">
        <v>0</v>
      </c>
      <c r="BZ281" s="1767">
        <v>0</v>
      </c>
      <c r="CA281" s="1767">
        <v>0</v>
      </c>
      <c r="CB281" s="1767">
        <v>0</v>
      </c>
      <c r="CC281" s="1767">
        <v>0</v>
      </c>
      <c r="CD281" s="1767">
        <v>0</v>
      </c>
      <c r="CE281" s="1767">
        <v>0</v>
      </c>
      <c r="CF281" s="1767">
        <v>0</v>
      </c>
      <c r="CG281" s="1767">
        <v>0</v>
      </c>
      <c r="CH281" s="1767">
        <v>0</v>
      </c>
      <c r="CI281" s="1767">
        <v>0</v>
      </c>
      <c r="CJ281" s="1767">
        <v>0</v>
      </c>
      <c r="CK281" s="1767">
        <v>0</v>
      </c>
      <c r="CL281" s="1767">
        <v>0</v>
      </c>
      <c r="CM281" s="1767">
        <v>0</v>
      </c>
      <c r="CN281" s="1767">
        <v>0</v>
      </c>
      <c r="CO281" s="1767">
        <v>0</v>
      </c>
      <c r="CP281" s="1767">
        <v>0</v>
      </c>
    </row>
    <row r="282" spans="1:94" s="1237" customFormat="1" ht="15" customHeight="1" thickBot="1" x14ac:dyDescent="0.25">
      <c r="A282" s="1857"/>
      <c r="B282" s="1857"/>
      <c r="C282" s="800" t="s">
        <v>2274</v>
      </c>
      <c r="D282" s="1559"/>
      <c r="E282" s="1872"/>
      <c r="F282" s="1236"/>
      <c r="G282" s="1767">
        <v>0</v>
      </c>
      <c r="H282" s="1767">
        <v>0</v>
      </c>
      <c r="I282" s="1767">
        <v>0</v>
      </c>
      <c r="J282" s="1767">
        <v>0</v>
      </c>
      <c r="K282" s="1767">
        <v>0</v>
      </c>
      <c r="L282" s="1767">
        <v>0</v>
      </c>
      <c r="M282" s="1767">
        <v>0</v>
      </c>
      <c r="N282" s="1767">
        <v>0</v>
      </c>
      <c r="O282" s="1767">
        <v>0</v>
      </c>
      <c r="P282" s="1767">
        <v>0</v>
      </c>
      <c r="Q282" s="1767">
        <v>0</v>
      </c>
      <c r="R282" s="1767">
        <v>0</v>
      </c>
      <c r="S282" s="1767">
        <v>0</v>
      </c>
      <c r="T282" s="1767">
        <v>0</v>
      </c>
      <c r="U282" s="1767">
        <v>0</v>
      </c>
      <c r="V282" s="1767">
        <v>0</v>
      </c>
      <c r="W282" s="1767">
        <v>0</v>
      </c>
      <c r="X282" s="1767">
        <v>0</v>
      </c>
      <c r="Y282" s="1767">
        <v>0</v>
      </c>
      <c r="Z282" s="1767">
        <v>0</v>
      </c>
      <c r="AA282" s="1767">
        <v>0</v>
      </c>
      <c r="AB282" s="1767">
        <v>0</v>
      </c>
      <c r="AC282" s="1767">
        <v>0</v>
      </c>
      <c r="AD282" s="1767">
        <v>0</v>
      </c>
      <c r="AE282" s="1767">
        <v>0</v>
      </c>
      <c r="AF282" s="1767">
        <v>0</v>
      </c>
      <c r="AG282" s="1767">
        <v>0</v>
      </c>
      <c r="AH282" s="1767">
        <v>0</v>
      </c>
      <c r="AI282" s="1767">
        <v>0</v>
      </c>
      <c r="AJ282" s="1767">
        <v>0</v>
      </c>
      <c r="AK282" s="1767">
        <v>0</v>
      </c>
      <c r="AL282" s="1767">
        <v>0</v>
      </c>
      <c r="AM282" s="1767">
        <v>0</v>
      </c>
      <c r="AN282" s="1767">
        <v>0</v>
      </c>
      <c r="AO282" s="1767">
        <v>0</v>
      </c>
      <c r="AP282" s="1767">
        <v>0</v>
      </c>
      <c r="AQ282" s="1767">
        <v>0</v>
      </c>
      <c r="AR282" s="1767">
        <v>0</v>
      </c>
      <c r="AS282" s="1767">
        <v>0</v>
      </c>
      <c r="AT282" s="1767">
        <v>0</v>
      </c>
      <c r="AU282" s="1767">
        <v>0</v>
      </c>
      <c r="AV282" s="1767">
        <v>0</v>
      </c>
      <c r="AW282" s="1767">
        <v>0</v>
      </c>
      <c r="AX282" s="1767">
        <v>0</v>
      </c>
      <c r="AY282" s="1767">
        <v>0</v>
      </c>
      <c r="AZ282" s="1767">
        <v>0</v>
      </c>
      <c r="BA282" s="1767">
        <v>0</v>
      </c>
      <c r="BB282" s="1767">
        <v>0</v>
      </c>
      <c r="BC282" s="1767">
        <v>0</v>
      </c>
      <c r="BD282" s="1767">
        <v>0</v>
      </c>
      <c r="BE282" s="1767">
        <v>0</v>
      </c>
      <c r="BF282" s="1767">
        <v>0</v>
      </c>
      <c r="BG282" s="1767">
        <v>0</v>
      </c>
      <c r="BH282" s="1767">
        <v>0</v>
      </c>
      <c r="BI282" s="1767">
        <v>0</v>
      </c>
      <c r="BJ282" s="1767">
        <v>0</v>
      </c>
      <c r="BK282" s="1767">
        <v>0</v>
      </c>
      <c r="BL282" s="1767">
        <v>0</v>
      </c>
      <c r="BM282" s="1767">
        <v>0</v>
      </c>
      <c r="BN282" s="1767">
        <v>0</v>
      </c>
      <c r="BO282" s="1767">
        <v>0</v>
      </c>
      <c r="BP282" s="1767">
        <v>0</v>
      </c>
      <c r="BQ282" s="1767">
        <v>0</v>
      </c>
      <c r="BR282" s="1767">
        <v>0</v>
      </c>
      <c r="BS282" s="1767">
        <v>0</v>
      </c>
      <c r="BT282" s="1767">
        <v>0</v>
      </c>
      <c r="BU282" s="1767">
        <v>0</v>
      </c>
      <c r="BV282" s="1767">
        <v>0</v>
      </c>
      <c r="BW282" s="1767">
        <v>0</v>
      </c>
      <c r="BX282" s="1767">
        <v>0</v>
      </c>
      <c r="BY282" s="1767">
        <v>0</v>
      </c>
      <c r="BZ282" s="1767">
        <v>0</v>
      </c>
      <c r="CA282" s="1767">
        <v>0</v>
      </c>
      <c r="CB282" s="1767">
        <v>0</v>
      </c>
      <c r="CC282" s="1767">
        <v>0</v>
      </c>
      <c r="CD282" s="1767">
        <v>0</v>
      </c>
      <c r="CE282" s="1767">
        <v>0</v>
      </c>
      <c r="CF282" s="1767">
        <v>0</v>
      </c>
      <c r="CG282" s="1767">
        <v>0</v>
      </c>
      <c r="CH282" s="1767">
        <v>0</v>
      </c>
      <c r="CI282" s="1767">
        <v>0</v>
      </c>
      <c r="CJ282" s="1767">
        <v>0</v>
      </c>
      <c r="CK282" s="1767">
        <v>0</v>
      </c>
      <c r="CL282" s="1767">
        <v>0</v>
      </c>
      <c r="CM282" s="1767">
        <v>0</v>
      </c>
      <c r="CN282" s="1767">
        <v>0</v>
      </c>
      <c r="CO282" s="1767">
        <v>0</v>
      </c>
      <c r="CP282" s="1767">
        <v>0</v>
      </c>
    </row>
    <row r="283" spans="1:94" ht="21" customHeight="1" thickBot="1" x14ac:dyDescent="0.25">
      <c r="A283" s="1887" t="s">
        <v>64</v>
      </c>
      <c r="B283" s="1846" t="s">
        <v>15</v>
      </c>
      <c r="C283" s="1777" t="s">
        <v>2538</v>
      </c>
      <c r="D283" s="947"/>
      <c r="E283" s="1830" t="s">
        <v>2053</v>
      </c>
      <c r="F283" s="1225"/>
      <c r="G283" s="1742"/>
      <c r="H283" s="1742"/>
      <c r="I283" s="1742"/>
      <c r="J283" s="1742"/>
      <c r="K283" s="1742"/>
      <c r="L283" s="1742"/>
      <c r="M283" s="1742"/>
      <c r="N283" s="1742"/>
      <c r="O283" s="1742"/>
      <c r="P283" s="1742"/>
      <c r="Q283" s="1742"/>
      <c r="R283" s="1742"/>
      <c r="S283" s="1742"/>
      <c r="T283" s="1742"/>
      <c r="U283" s="1742"/>
      <c r="V283" s="1742"/>
      <c r="W283" s="1742"/>
      <c r="X283" s="1742"/>
      <c r="Y283" s="1742"/>
      <c r="Z283" s="1742"/>
      <c r="AA283" s="1742"/>
      <c r="AB283" s="1742"/>
      <c r="AC283" s="1742"/>
      <c r="AD283" s="1742"/>
      <c r="AE283" s="1742"/>
      <c r="AF283" s="1742"/>
      <c r="AG283" s="1742"/>
      <c r="AH283" s="1742"/>
      <c r="AI283" s="1742"/>
      <c r="AJ283" s="1742"/>
      <c r="AK283" s="1742"/>
      <c r="AL283" s="1742"/>
      <c r="AM283" s="1742"/>
      <c r="AN283" s="1742"/>
      <c r="AO283" s="1742"/>
      <c r="AP283" s="1742"/>
      <c r="AQ283" s="1742"/>
      <c r="AR283" s="1742"/>
      <c r="AS283" s="1742"/>
      <c r="AT283" s="1742"/>
      <c r="AU283" s="1742"/>
      <c r="AV283" s="1742"/>
      <c r="AW283" s="1742"/>
      <c r="AX283" s="1742"/>
      <c r="AY283" s="1742"/>
      <c r="AZ283" s="1742"/>
      <c r="BA283" s="1742"/>
      <c r="BB283" s="1742"/>
      <c r="BC283" s="1742"/>
      <c r="BD283" s="1742"/>
      <c r="BE283" s="1742"/>
      <c r="BF283" s="1742"/>
      <c r="BG283" s="1742"/>
      <c r="BH283" s="1742"/>
      <c r="BI283" s="1742"/>
      <c r="BJ283" s="1742"/>
      <c r="BK283" s="1742"/>
      <c r="BL283" s="1742"/>
      <c r="BM283" s="1742"/>
      <c r="BN283" s="1742"/>
      <c r="BO283" s="1742"/>
      <c r="BP283" s="1742"/>
      <c r="BQ283" s="1742"/>
      <c r="BR283" s="1742"/>
      <c r="BS283" s="1742"/>
      <c r="BT283" s="1742"/>
      <c r="BU283" s="1742"/>
      <c r="BV283" s="1742"/>
      <c r="BW283" s="1742"/>
      <c r="BX283" s="1742"/>
      <c r="BY283" s="1742"/>
      <c r="BZ283" s="1742"/>
      <c r="CA283" s="1742"/>
      <c r="CB283" s="1742"/>
      <c r="CC283" s="1742"/>
      <c r="CD283" s="1742"/>
      <c r="CE283" s="1742"/>
      <c r="CF283" s="1742"/>
      <c r="CG283" s="1742"/>
      <c r="CH283" s="1742"/>
      <c r="CI283" s="1742"/>
      <c r="CJ283" s="1742"/>
      <c r="CK283" s="1742"/>
      <c r="CL283" s="1742"/>
      <c r="CM283" s="1742"/>
      <c r="CN283" s="1742"/>
      <c r="CO283" s="1742"/>
      <c r="CP283" s="1742"/>
    </row>
    <row r="284" spans="1:94" ht="27" customHeight="1" x14ac:dyDescent="0.2">
      <c r="A284" s="1847"/>
      <c r="B284" s="1856"/>
      <c r="C284" s="660" t="s">
        <v>1127</v>
      </c>
      <c r="D284" s="936"/>
      <c r="E284" s="1864"/>
      <c r="F284" s="1225"/>
      <c r="G284" s="1769">
        <v>0</v>
      </c>
      <c r="H284" s="1769">
        <v>0</v>
      </c>
      <c r="I284" s="1769">
        <v>0</v>
      </c>
      <c r="J284" s="1769">
        <v>0</v>
      </c>
      <c r="K284" s="1769">
        <v>0</v>
      </c>
      <c r="L284" s="1769">
        <v>0</v>
      </c>
      <c r="M284" s="1769">
        <v>0</v>
      </c>
      <c r="N284" s="1769">
        <v>0</v>
      </c>
      <c r="O284" s="1769">
        <v>0</v>
      </c>
      <c r="P284" s="1769">
        <v>0</v>
      </c>
      <c r="Q284" s="1769">
        <v>0</v>
      </c>
      <c r="R284" s="1769">
        <v>0</v>
      </c>
      <c r="S284" s="1769">
        <v>0</v>
      </c>
      <c r="T284" s="1769">
        <v>0</v>
      </c>
      <c r="U284" s="1769">
        <v>0</v>
      </c>
      <c r="V284" s="1769">
        <v>0</v>
      </c>
      <c r="W284" s="1769">
        <v>0</v>
      </c>
      <c r="X284" s="1769">
        <v>0</v>
      </c>
      <c r="Y284" s="1769">
        <v>0</v>
      </c>
      <c r="Z284" s="1769">
        <v>0</v>
      </c>
      <c r="AA284" s="1769">
        <v>0</v>
      </c>
      <c r="AB284" s="1769">
        <v>0</v>
      </c>
      <c r="AC284" s="1769">
        <v>0</v>
      </c>
      <c r="AD284" s="1769">
        <v>0</v>
      </c>
      <c r="AE284" s="1769">
        <v>0</v>
      </c>
      <c r="AF284" s="1769">
        <v>0</v>
      </c>
      <c r="AG284" s="1769">
        <v>0</v>
      </c>
      <c r="AH284" s="1769">
        <v>0</v>
      </c>
      <c r="AI284" s="1769">
        <v>0</v>
      </c>
      <c r="AJ284" s="1769">
        <v>0</v>
      </c>
      <c r="AK284" s="1769">
        <v>0</v>
      </c>
      <c r="AL284" s="1769">
        <v>0</v>
      </c>
      <c r="AM284" s="1769">
        <v>0</v>
      </c>
      <c r="AN284" s="1769">
        <v>0</v>
      </c>
      <c r="AO284" s="1769">
        <v>0</v>
      </c>
      <c r="AP284" s="1769">
        <v>0</v>
      </c>
      <c r="AQ284" s="1769">
        <v>0</v>
      </c>
      <c r="AR284" s="1769">
        <v>0</v>
      </c>
      <c r="AS284" s="1769">
        <v>0</v>
      </c>
      <c r="AT284" s="1769">
        <v>0</v>
      </c>
      <c r="AU284" s="1769">
        <v>0</v>
      </c>
      <c r="AV284" s="1769">
        <v>0</v>
      </c>
      <c r="AW284" s="1769">
        <v>0</v>
      </c>
      <c r="AX284" s="1769">
        <v>0</v>
      </c>
      <c r="AY284" s="1769">
        <v>0</v>
      </c>
      <c r="AZ284" s="1769">
        <v>0</v>
      </c>
      <c r="BA284" s="1769">
        <v>0</v>
      </c>
      <c r="BB284" s="1769">
        <v>0</v>
      </c>
      <c r="BC284" s="1769">
        <v>0</v>
      </c>
      <c r="BD284" s="1769">
        <v>0</v>
      </c>
      <c r="BE284" s="1769">
        <v>0</v>
      </c>
      <c r="BF284" s="1769">
        <v>0</v>
      </c>
      <c r="BG284" s="1769">
        <v>0</v>
      </c>
      <c r="BH284" s="1769">
        <v>0</v>
      </c>
      <c r="BI284" s="1769">
        <v>0</v>
      </c>
      <c r="BJ284" s="1769">
        <v>0</v>
      </c>
      <c r="BK284" s="1769">
        <v>0</v>
      </c>
      <c r="BL284" s="1769">
        <v>0</v>
      </c>
      <c r="BM284" s="1769">
        <v>0</v>
      </c>
      <c r="BN284" s="1769">
        <v>0</v>
      </c>
      <c r="BO284" s="1769">
        <v>0</v>
      </c>
      <c r="BP284" s="1769">
        <v>0</v>
      </c>
      <c r="BQ284" s="1769">
        <v>0</v>
      </c>
      <c r="BR284" s="1769">
        <v>0</v>
      </c>
      <c r="BS284" s="1769">
        <v>0</v>
      </c>
      <c r="BT284" s="1769">
        <v>0</v>
      </c>
      <c r="BU284" s="1769">
        <v>0</v>
      </c>
      <c r="BV284" s="1769">
        <v>0</v>
      </c>
      <c r="BW284" s="1769">
        <v>0</v>
      </c>
      <c r="BX284" s="1769">
        <v>0</v>
      </c>
      <c r="BY284" s="1769">
        <v>0</v>
      </c>
      <c r="BZ284" s="1769">
        <v>0</v>
      </c>
      <c r="CA284" s="1769">
        <v>0</v>
      </c>
      <c r="CB284" s="1769">
        <v>0</v>
      </c>
      <c r="CC284" s="1769">
        <v>0</v>
      </c>
      <c r="CD284" s="1769">
        <v>0</v>
      </c>
      <c r="CE284" s="1769">
        <v>0</v>
      </c>
      <c r="CF284" s="1769">
        <v>0</v>
      </c>
      <c r="CG284" s="1769">
        <v>0</v>
      </c>
      <c r="CH284" s="1769">
        <v>0</v>
      </c>
      <c r="CI284" s="1769">
        <v>0</v>
      </c>
      <c r="CJ284" s="1769">
        <v>0</v>
      </c>
      <c r="CK284" s="1769">
        <v>0</v>
      </c>
      <c r="CL284" s="1769">
        <v>0</v>
      </c>
      <c r="CM284" s="1769">
        <v>0</v>
      </c>
      <c r="CN284" s="1769">
        <v>0</v>
      </c>
      <c r="CO284" s="1769">
        <v>0</v>
      </c>
      <c r="CP284" s="1769">
        <v>0</v>
      </c>
    </row>
    <row r="285" spans="1:94" ht="27" customHeight="1" x14ac:dyDescent="0.2">
      <c r="A285" s="1847"/>
      <c r="B285" s="1856"/>
      <c r="C285" s="653" t="s">
        <v>581</v>
      </c>
      <c r="D285" s="936"/>
      <c r="E285" s="1864"/>
      <c r="F285" s="1225"/>
      <c r="G285" s="1767">
        <v>0</v>
      </c>
      <c r="H285" s="1767">
        <v>0</v>
      </c>
      <c r="I285" s="1767">
        <v>0</v>
      </c>
      <c r="J285" s="1767">
        <v>0</v>
      </c>
      <c r="K285" s="1767">
        <v>0</v>
      </c>
      <c r="L285" s="1767">
        <v>0</v>
      </c>
      <c r="M285" s="1767">
        <v>0</v>
      </c>
      <c r="N285" s="1767">
        <v>0</v>
      </c>
      <c r="O285" s="1767">
        <v>0</v>
      </c>
      <c r="P285" s="1767">
        <v>0</v>
      </c>
      <c r="Q285" s="1767">
        <v>0</v>
      </c>
      <c r="R285" s="1767">
        <v>0</v>
      </c>
      <c r="S285" s="1767">
        <v>0</v>
      </c>
      <c r="T285" s="1767">
        <v>0</v>
      </c>
      <c r="U285" s="1767">
        <v>0</v>
      </c>
      <c r="V285" s="1767">
        <v>0</v>
      </c>
      <c r="W285" s="1767">
        <v>0</v>
      </c>
      <c r="X285" s="1767">
        <v>0</v>
      </c>
      <c r="Y285" s="1767">
        <v>0</v>
      </c>
      <c r="Z285" s="1767">
        <v>0</v>
      </c>
      <c r="AA285" s="1767">
        <v>0</v>
      </c>
      <c r="AB285" s="1767">
        <v>0</v>
      </c>
      <c r="AC285" s="1767">
        <v>0</v>
      </c>
      <c r="AD285" s="1767">
        <v>0</v>
      </c>
      <c r="AE285" s="1767">
        <v>0</v>
      </c>
      <c r="AF285" s="1767">
        <v>0</v>
      </c>
      <c r="AG285" s="1767">
        <v>0</v>
      </c>
      <c r="AH285" s="1767">
        <v>0</v>
      </c>
      <c r="AI285" s="1767">
        <v>0</v>
      </c>
      <c r="AJ285" s="1767">
        <v>0</v>
      </c>
      <c r="AK285" s="1767">
        <v>0</v>
      </c>
      <c r="AL285" s="1767">
        <v>0</v>
      </c>
      <c r="AM285" s="1767">
        <v>0</v>
      </c>
      <c r="AN285" s="1767">
        <v>0</v>
      </c>
      <c r="AO285" s="1767">
        <v>0</v>
      </c>
      <c r="AP285" s="1767">
        <v>0</v>
      </c>
      <c r="AQ285" s="1767">
        <v>0</v>
      </c>
      <c r="AR285" s="1767">
        <v>0</v>
      </c>
      <c r="AS285" s="1767">
        <v>0</v>
      </c>
      <c r="AT285" s="1767">
        <v>0</v>
      </c>
      <c r="AU285" s="1767">
        <v>0</v>
      </c>
      <c r="AV285" s="1767">
        <v>0</v>
      </c>
      <c r="AW285" s="1767">
        <v>0</v>
      </c>
      <c r="AX285" s="1767">
        <v>0</v>
      </c>
      <c r="AY285" s="1767">
        <v>0</v>
      </c>
      <c r="AZ285" s="1767">
        <v>0</v>
      </c>
      <c r="BA285" s="1767">
        <v>0</v>
      </c>
      <c r="BB285" s="1767">
        <v>0</v>
      </c>
      <c r="BC285" s="1767">
        <v>0</v>
      </c>
      <c r="BD285" s="1767">
        <v>0</v>
      </c>
      <c r="BE285" s="1767">
        <v>0</v>
      </c>
      <c r="BF285" s="1767">
        <v>0</v>
      </c>
      <c r="BG285" s="1767">
        <v>0</v>
      </c>
      <c r="BH285" s="1767">
        <v>0</v>
      </c>
      <c r="BI285" s="1767">
        <v>0</v>
      </c>
      <c r="BJ285" s="1767">
        <v>0</v>
      </c>
      <c r="BK285" s="1767">
        <v>0</v>
      </c>
      <c r="BL285" s="1767">
        <v>0</v>
      </c>
      <c r="BM285" s="1767">
        <v>0</v>
      </c>
      <c r="BN285" s="1767">
        <v>0</v>
      </c>
      <c r="BO285" s="1767">
        <v>0</v>
      </c>
      <c r="BP285" s="1767">
        <v>0</v>
      </c>
      <c r="BQ285" s="1767">
        <v>0</v>
      </c>
      <c r="BR285" s="1767">
        <v>0</v>
      </c>
      <c r="BS285" s="1767">
        <v>0</v>
      </c>
      <c r="BT285" s="1767">
        <v>0</v>
      </c>
      <c r="BU285" s="1767">
        <v>0</v>
      </c>
      <c r="BV285" s="1767">
        <v>0</v>
      </c>
      <c r="BW285" s="1767">
        <v>0</v>
      </c>
      <c r="BX285" s="1767">
        <v>0</v>
      </c>
      <c r="BY285" s="1767">
        <v>0</v>
      </c>
      <c r="BZ285" s="1767">
        <v>0</v>
      </c>
      <c r="CA285" s="1767">
        <v>0</v>
      </c>
      <c r="CB285" s="1767">
        <v>0</v>
      </c>
      <c r="CC285" s="1767">
        <v>0</v>
      </c>
      <c r="CD285" s="1767">
        <v>0</v>
      </c>
      <c r="CE285" s="1767">
        <v>0</v>
      </c>
      <c r="CF285" s="1767">
        <v>0</v>
      </c>
      <c r="CG285" s="1767">
        <v>0</v>
      </c>
      <c r="CH285" s="1767">
        <v>0</v>
      </c>
      <c r="CI285" s="1767">
        <v>0</v>
      </c>
      <c r="CJ285" s="1767">
        <v>0</v>
      </c>
      <c r="CK285" s="1767">
        <v>0</v>
      </c>
      <c r="CL285" s="1767">
        <v>0</v>
      </c>
      <c r="CM285" s="1767">
        <v>0</v>
      </c>
      <c r="CN285" s="1767">
        <v>0</v>
      </c>
      <c r="CO285" s="1767">
        <v>0</v>
      </c>
      <c r="CP285" s="1767">
        <v>0</v>
      </c>
    </row>
    <row r="286" spans="1:94" ht="27" customHeight="1" x14ac:dyDescent="0.2">
      <c r="A286" s="1847"/>
      <c r="B286" s="1856"/>
      <c r="C286" s="653" t="s">
        <v>484</v>
      </c>
      <c r="D286" s="936"/>
      <c r="E286" s="1864"/>
      <c r="F286" s="1225"/>
      <c r="G286" s="1767">
        <v>0</v>
      </c>
      <c r="H286" s="1767">
        <v>0</v>
      </c>
      <c r="I286" s="1767">
        <v>0</v>
      </c>
      <c r="J286" s="1767">
        <v>0</v>
      </c>
      <c r="K286" s="1767">
        <v>0</v>
      </c>
      <c r="L286" s="1767">
        <v>0</v>
      </c>
      <c r="M286" s="1767">
        <v>0</v>
      </c>
      <c r="N286" s="1767">
        <v>0</v>
      </c>
      <c r="O286" s="1767">
        <v>0</v>
      </c>
      <c r="P286" s="1767">
        <v>0</v>
      </c>
      <c r="Q286" s="1767">
        <v>0</v>
      </c>
      <c r="R286" s="1767">
        <v>0</v>
      </c>
      <c r="S286" s="1767">
        <v>0</v>
      </c>
      <c r="T286" s="1767">
        <v>0</v>
      </c>
      <c r="U286" s="1767">
        <v>0</v>
      </c>
      <c r="V286" s="1767">
        <v>0</v>
      </c>
      <c r="W286" s="1767">
        <v>0</v>
      </c>
      <c r="X286" s="1767">
        <v>0</v>
      </c>
      <c r="Y286" s="1767">
        <v>0</v>
      </c>
      <c r="Z286" s="1767">
        <v>0</v>
      </c>
      <c r="AA286" s="1767">
        <v>0</v>
      </c>
      <c r="AB286" s="1767">
        <v>0</v>
      </c>
      <c r="AC286" s="1767">
        <v>0</v>
      </c>
      <c r="AD286" s="1767">
        <v>0</v>
      </c>
      <c r="AE286" s="1767">
        <v>0</v>
      </c>
      <c r="AF286" s="1767">
        <v>0</v>
      </c>
      <c r="AG286" s="1767">
        <v>0</v>
      </c>
      <c r="AH286" s="1767">
        <v>0</v>
      </c>
      <c r="AI286" s="1767">
        <v>0</v>
      </c>
      <c r="AJ286" s="1767">
        <v>0</v>
      </c>
      <c r="AK286" s="1767">
        <v>0</v>
      </c>
      <c r="AL286" s="1767">
        <v>0</v>
      </c>
      <c r="AM286" s="1767">
        <v>0</v>
      </c>
      <c r="AN286" s="1767">
        <v>0</v>
      </c>
      <c r="AO286" s="1767">
        <v>0</v>
      </c>
      <c r="AP286" s="1767">
        <v>0</v>
      </c>
      <c r="AQ286" s="1767">
        <v>0</v>
      </c>
      <c r="AR286" s="1767">
        <v>0</v>
      </c>
      <c r="AS286" s="1767">
        <v>0</v>
      </c>
      <c r="AT286" s="1767">
        <v>0</v>
      </c>
      <c r="AU286" s="1767">
        <v>0</v>
      </c>
      <c r="AV286" s="1767">
        <v>0</v>
      </c>
      <c r="AW286" s="1767">
        <v>0</v>
      </c>
      <c r="AX286" s="1767">
        <v>0</v>
      </c>
      <c r="AY286" s="1767">
        <v>0</v>
      </c>
      <c r="AZ286" s="1767">
        <v>0</v>
      </c>
      <c r="BA286" s="1767">
        <v>0</v>
      </c>
      <c r="BB286" s="1767">
        <v>0</v>
      </c>
      <c r="BC286" s="1767">
        <v>0</v>
      </c>
      <c r="BD286" s="1767">
        <v>0</v>
      </c>
      <c r="BE286" s="1767">
        <v>0</v>
      </c>
      <c r="BF286" s="1767">
        <v>0</v>
      </c>
      <c r="BG286" s="1767">
        <v>0</v>
      </c>
      <c r="BH286" s="1767">
        <v>0</v>
      </c>
      <c r="BI286" s="1767">
        <v>0</v>
      </c>
      <c r="BJ286" s="1767">
        <v>0</v>
      </c>
      <c r="BK286" s="1767">
        <v>0</v>
      </c>
      <c r="BL286" s="1767">
        <v>0</v>
      </c>
      <c r="BM286" s="1767">
        <v>0</v>
      </c>
      <c r="BN286" s="1767">
        <v>0</v>
      </c>
      <c r="BO286" s="1767">
        <v>0</v>
      </c>
      <c r="BP286" s="1767">
        <v>0</v>
      </c>
      <c r="BQ286" s="1767">
        <v>0</v>
      </c>
      <c r="BR286" s="1767">
        <v>0</v>
      </c>
      <c r="BS286" s="1767">
        <v>0</v>
      </c>
      <c r="BT286" s="1767">
        <v>0</v>
      </c>
      <c r="BU286" s="1767">
        <v>0</v>
      </c>
      <c r="BV286" s="1767">
        <v>0</v>
      </c>
      <c r="BW286" s="1767">
        <v>0</v>
      </c>
      <c r="BX286" s="1767">
        <v>0</v>
      </c>
      <c r="BY286" s="1767">
        <v>0</v>
      </c>
      <c r="BZ286" s="1767">
        <v>0</v>
      </c>
      <c r="CA286" s="1767">
        <v>0</v>
      </c>
      <c r="CB286" s="1767">
        <v>0</v>
      </c>
      <c r="CC286" s="1767">
        <v>0</v>
      </c>
      <c r="CD286" s="1767">
        <v>0</v>
      </c>
      <c r="CE286" s="1767">
        <v>0</v>
      </c>
      <c r="CF286" s="1767">
        <v>0</v>
      </c>
      <c r="CG286" s="1767">
        <v>0</v>
      </c>
      <c r="CH286" s="1767">
        <v>0</v>
      </c>
      <c r="CI286" s="1767">
        <v>0</v>
      </c>
      <c r="CJ286" s="1767">
        <v>0</v>
      </c>
      <c r="CK286" s="1767">
        <v>0</v>
      </c>
      <c r="CL286" s="1767">
        <v>0</v>
      </c>
      <c r="CM286" s="1767">
        <v>0</v>
      </c>
      <c r="CN286" s="1767">
        <v>0</v>
      </c>
      <c r="CO286" s="1767">
        <v>0</v>
      </c>
      <c r="CP286" s="1767">
        <v>0</v>
      </c>
    </row>
    <row r="287" spans="1:94" ht="27.75" customHeight="1" thickBot="1" x14ac:dyDescent="0.25">
      <c r="A287" s="1848"/>
      <c r="B287" s="1857"/>
      <c r="C287" s="654" t="s">
        <v>550</v>
      </c>
      <c r="D287" s="950"/>
      <c r="E287" s="1865"/>
      <c r="F287" s="1225"/>
      <c r="G287" s="1767">
        <v>0</v>
      </c>
      <c r="H287" s="1767">
        <v>0</v>
      </c>
      <c r="I287" s="1767">
        <v>0</v>
      </c>
      <c r="J287" s="1767">
        <v>0</v>
      </c>
      <c r="K287" s="1767">
        <v>0</v>
      </c>
      <c r="L287" s="1767">
        <v>0</v>
      </c>
      <c r="M287" s="1767">
        <v>0</v>
      </c>
      <c r="N287" s="1767">
        <v>0</v>
      </c>
      <c r="O287" s="1767">
        <v>0</v>
      </c>
      <c r="P287" s="1767">
        <v>0</v>
      </c>
      <c r="Q287" s="1767">
        <v>0</v>
      </c>
      <c r="R287" s="1767">
        <v>0</v>
      </c>
      <c r="S287" s="1767">
        <v>0</v>
      </c>
      <c r="T287" s="1767">
        <v>0</v>
      </c>
      <c r="U287" s="1767">
        <v>0</v>
      </c>
      <c r="V287" s="1767">
        <v>0</v>
      </c>
      <c r="W287" s="1767">
        <v>0</v>
      </c>
      <c r="X287" s="1767">
        <v>0</v>
      </c>
      <c r="Y287" s="1767">
        <v>0</v>
      </c>
      <c r="Z287" s="1767">
        <v>0</v>
      </c>
      <c r="AA287" s="1767">
        <v>0</v>
      </c>
      <c r="AB287" s="1767">
        <v>0</v>
      </c>
      <c r="AC287" s="1767">
        <v>0</v>
      </c>
      <c r="AD287" s="1767">
        <v>0</v>
      </c>
      <c r="AE287" s="1767">
        <v>0</v>
      </c>
      <c r="AF287" s="1767">
        <v>0</v>
      </c>
      <c r="AG287" s="1767">
        <v>0</v>
      </c>
      <c r="AH287" s="1767">
        <v>0</v>
      </c>
      <c r="AI287" s="1767">
        <v>0</v>
      </c>
      <c r="AJ287" s="1767">
        <v>0</v>
      </c>
      <c r="AK287" s="1767">
        <v>0</v>
      </c>
      <c r="AL287" s="1767">
        <v>0</v>
      </c>
      <c r="AM287" s="1767">
        <v>0</v>
      </c>
      <c r="AN287" s="1767">
        <v>0</v>
      </c>
      <c r="AO287" s="1767">
        <v>0</v>
      </c>
      <c r="AP287" s="1767">
        <v>0</v>
      </c>
      <c r="AQ287" s="1767">
        <v>0</v>
      </c>
      <c r="AR287" s="1767">
        <v>0</v>
      </c>
      <c r="AS287" s="1767">
        <v>0</v>
      </c>
      <c r="AT287" s="1767">
        <v>0</v>
      </c>
      <c r="AU287" s="1767">
        <v>0</v>
      </c>
      <c r="AV287" s="1767">
        <v>0</v>
      </c>
      <c r="AW287" s="1767">
        <v>0</v>
      </c>
      <c r="AX287" s="1767">
        <v>0</v>
      </c>
      <c r="AY287" s="1767">
        <v>0</v>
      </c>
      <c r="AZ287" s="1767">
        <v>0</v>
      </c>
      <c r="BA287" s="1767">
        <v>0</v>
      </c>
      <c r="BB287" s="1767">
        <v>0</v>
      </c>
      <c r="BC287" s="1767">
        <v>0</v>
      </c>
      <c r="BD287" s="1767">
        <v>0</v>
      </c>
      <c r="BE287" s="1767">
        <v>0</v>
      </c>
      <c r="BF287" s="1767">
        <v>0</v>
      </c>
      <c r="BG287" s="1767">
        <v>0</v>
      </c>
      <c r="BH287" s="1767">
        <v>0</v>
      </c>
      <c r="BI287" s="1767">
        <v>0</v>
      </c>
      <c r="BJ287" s="1767">
        <v>0</v>
      </c>
      <c r="BK287" s="1767">
        <v>0</v>
      </c>
      <c r="BL287" s="1767">
        <v>0</v>
      </c>
      <c r="BM287" s="1767">
        <v>0</v>
      </c>
      <c r="BN287" s="1767">
        <v>0</v>
      </c>
      <c r="BO287" s="1767">
        <v>0</v>
      </c>
      <c r="BP287" s="1767">
        <v>0</v>
      </c>
      <c r="BQ287" s="1767">
        <v>0</v>
      </c>
      <c r="BR287" s="1767">
        <v>0</v>
      </c>
      <c r="BS287" s="1767">
        <v>0</v>
      </c>
      <c r="BT287" s="1767">
        <v>0</v>
      </c>
      <c r="BU287" s="1767">
        <v>0</v>
      </c>
      <c r="BV287" s="1767">
        <v>0</v>
      </c>
      <c r="BW287" s="1767">
        <v>0</v>
      </c>
      <c r="BX287" s="1767">
        <v>0</v>
      </c>
      <c r="BY287" s="1767">
        <v>0</v>
      </c>
      <c r="BZ287" s="1767">
        <v>0</v>
      </c>
      <c r="CA287" s="1767">
        <v>0</v>
      </c>
      <c r="CB287" s="1767">
        <v>0</v>
      </c>
      <c r="CC287" s="1767">
        <v>0</v>
      </c>
      <c r="CD287" s="1767">
        <v>0</v>
      </c>
      <c r="CE287" s="1767">
        <v>0</v>
      </c>
      <c r="CF287" s="1767">
        <v>0</v>
      </c>
      <c r="CG287" s="1767">
        <v>0</v>
      </c>
      <c r="CH287" s="1767">
        <v>0</v>
      </c>
      <c r="CI287" s="1767">
        <v>0</v>
      </c>
      <c r="CJ287" s="1767">
        <v>0</v>
      </c>
      <c r="CK287" s="1767">
        <v>0</v>
      </c>
      <c r="CL287" s="1767">
        <v>0</v>
      </c>
      <c r="CM287" s="1767">
        <v>0</v>
      </c>
      <c r="CN287" s="1767">
        <v>0</v>
      </c>
      <c r="CO287" s="1767">
        <v>0</v>
      </c>
      <c r="CP287" s="1767">
        <v>0</v>
      </c>
    </row>
    <row r="288" spans="1:94" ht="60.75" customHeight="1" thickBot="1" x14ac:dyDescent="0.25">
      <c r="A288" s="1858" t="s">
        <v>242</v>
      </c>
      <c r="B288" s="1856" t="s">
        <v>563</v>
      </c>
      <c r="C288" s="1788" t="s">
        <v>2337</v>
      </c>
      <c r="D288" s="946"/>
      <c r="E288" s="1831" t="s">
        <v>2338</v>
      </c>
      <c r="F288" s="1225"/>
      <c r="G288" s="1742"/>
      <c r="H288" s="1742"/>
      <c r="I288" s="1742"/>
      <c r="J288" s="1742"/>
      <c r="K288" s="1742"/>
      <c r="L288" s="1742"/>
      <c r="M288" s="1742"/>
      <c r="N288" s="1742"/>
      <c r="O288" s="1742"/>
      <c r="P288" s="1742"/>
      <c r="Q288" s="1742"/>
      <c r="R288" s="1742"/>
      <c r="S288" s="1742"/>
      <c r="T288" s="1742"/>
      <c r="U288" s="1742"/>
      <c r="V288" s="1742"/>
      <c r="W288" s="1742"/>
      <c r="X288" s="1742"/>
      <c r="Y288" s="1742"/>
      <c r="Z288" s="1742"/>
      <c r="AA288" s="1742"/>
      <c r="AB288" s="1742"/>
      <c r="AC288" s="1742"/>
      <c r="AD288" s="1742"/>
      <c r="AE288" s="1742"/>
      <c r="AF288" s="1742"/>
      <c r="AG288" s="1742"/>
      <c r="AH288" s="1742"/>
      <c r="AI288" s="1742"/>
      <c r="AJ288" s="1742"/>
      <c r="AK288" s="1742"/>
      <c r="AL288" s="1742"/>
      <c r="AM288" s="1742"/>
      <c r="AN288" s="1742"/>
      <c r="AO288" s="1742"/>
      <c r="AP288" s="1742"/>
      <c r="AQ288" s="1742"/>
      <c r="AR288" s="1742"/>
      <c r="AS288" s="1742"/>
      <c r="AT288" s="1742"/>
      <c r="AU288" s="1742"/>
      <c r="AV288" s="1742"/>
      <c r="AW288" s="1742"/>
      <c r="AX288" s="1742"/>
      <c r="AY288" s="1742"/>
      <c r="AZ288" s="1742"/>
      <c r="BA288" s="1742"/>
      <c r="BB288" s="1742"/>
      <c r="BC288" s="1742"/>
      <c r="BD288" s="1742"/>
      <c r="BE288" s="1742"/>
      <c r="BF288" s="1742"/>
      <c r="BG288" s="1742"/>
      <c r="BH288" s="1742"/>
      <c r="BI288" s="1742"/>
      <c r="BJ288" s="1742"/>
      <c r="BK288" s="1742"/>
      <c r="BL288" s="1742"/>
      <c r="BM288" s="1742"/>
      <c r="BN288" s="1742"/>
      <c r="BO288" s="1742"/>
      <c r="BP288" s="1742"/>
      <c r="BQ288" s="1742"/>
      <c r="BR288" s="1742"/>
      <c r="BS288" s="1742"/>
      <c r="BT288" s="1742"/>
      <c r="BU288" s="1742"/>
      <c r="BV288" s="1742"/>
      <c r="BW288" s="1742"/>
      <c r="BX288" s="1742"/>
      <c r="BY288" s="1742"/>
      <c r="BZ288" s="1742"/>
      <c r="CA288" s="1742"/>
      <c r="CB288" s="1742"/>
      <c r="CC288" s="1742"/>
      <c r="CD288" s="1742"/>
      <c r="CE288" s="1742"/>
      <c r="CF288" s="1742"/>
      <c r="CG288" s="1742"/>
      <c r="CH288" s="1742"/>
      <c r="CI288" s="1742"/>
      <c r="CJ288" s="1742"/>
      <c r="CK288" s="1742"/>
      <c r="CL288" s="1742"/>
      <c r="CM288" s="1742"/>
      <c r="CN288" s="1742"/>
      <c r="CO288" s="1742"/>
      <c r="CP288" s="1742"/>
    </row>
    <row r="289" spans="1:94" ht="15" customHeight="1" x14ac:dyDescent="0.2">
      <c r="A289" s="1858"/>
      <c r="B289" s="1856"/>
      <c r="C289" s="666" t="s">
        <v>2137</v>
      </c>
      <c r="D289" s="936"/>
      <c r="E289" s="1862"/>
      <c r="F289" s="1225"/>
      <c r="G289" s="1767">
        <v>0</v>
      </c>
      <c r="H289" s="1767">
        <v>0</v>
      </c>
      <c r="I289" s="1767">
        <v>0</v>
      </c>
      <c r="J289" s="1767">
        <v>0</v>
      </c>
      <c r="K289" s="1767">
        <v>0</v>
      </c>
      <c r="L289" s="1767">
        <v>0</v>
      </c>
      <c r="M289" s="1767">
        <v>0</v>
      </c>
      <c r="N289" s="1767">
        <v>0</v>
      </c>
      <c r="O289" s="1767">
        <v>0</v>
      </c>
      <c r="P289" s="1767">
        <v>0</v>
      </c>
      <c r="Q289" s="1767">
        <v>0</v>
      </c>
      <c r="R289" s="1767">
        <v>0</v>
      </c>
      <c r="S289" s="1767">
        <v>0</v>
      </c>
      <c r="T289" s="1767">
        <v>0</v>
      </c>
      <c r="U289" s="1767">
        <v>0</v>
      </c>
      <c r="V289" s="1767">
        <v>0</v>
      </c>
      <c r="W289" s="1767">
        <v>0</v>
      </c>
      <c r="X289" s="1767">
        <v>0</v>
      </c>
      <c r="Y289" s="1767">
        <v>0</v>
      </c>
      <c r="Z289" s="1767">
        <v>0</v>
      </c>
      <c r="AA289" s="1767">
        <v>0</v>
      </c>
      <c r="AB289" s="1767">
        <v>0</v>
      </c>
      <c r="AC289" s="1767">
        <v>0</v>
      </c>
      <c r="AD289" s="1767">
        <v>0</v>
      </c>
      <c r="AE289" s="1767">
        <v>0</v>
      </c>
      <c r="AF289" s="1767">
        <v>0</v>
      </c>
      <c r="AG289" s="1767">
        <v>0</v>
      </c>
      <c r="AH289" s="1767">
        <v>0</v>
      </c>
      <c r="AI289" s="1767">
        <v>0</v>
      </c>
      <c r="AJ289" s="1767">
        <v>0</v>
      </c>
      <c r="AK289" s="1767">
        <v>0</v>
      </c>
      <c r="AL289" s="1767">
        <v>0</v>
      </c>
      <c r="AM289" s="1767">
        <v>0</v>
      </c>
      <c r="AN289" s="1767">
        <v>0</v>
      </c>
      <c r="AO289" s="1767">
        <v>0</v>
      </c>
      <c r="AP289" s="1767">
        <v>0</v>
      </c>
      <c r="AQ289" s="1767">
        <v>0</v>
      </c>
      <c r="AR289" s="1767">
        <v>0</v>
      </c>
      <c r="AS289" s="1767">
        <v>0</v>
      </c>
      <c r="AT289" s="1767">
        <v>0</v>
      </c>
      <c r="AU289" s="1767">
        <v>0</v>
      </c>
      <c r="AV289" s="1767">
        <v>0</v>
      </c>
      <c r="AW289" s="1767">
        <v>0</v>
      </c>
      <c r="AX289" s="1767">
        <v>0</v>
      </c>
      <c r="AY289" s="1767">
        <v>0</v>
      </c>
      <c r="AZ289" s="1767">
        <v>0</v>
      </c>
      <c r="BA289" s="1767">
        <v>0</v>
      </c>
      <c r="BB289" s="1767">
        <v>0</v>
      </c>
      <c r="BC289" s="1767">
        <v>0</v>
      </c>
      <c r="BD289" s="1767">
        <v>0</v>
      </c>
      <c r="BE289" s="1767">
        <v>0</v>
      </c>
      <c r="BF289" s="1767">
        <v>0</v>
      </c>
      <c r="BG289" s="1767">
        <v>0</v>
      </c>
      <c r="BH289" s="1767">
        <v>0</v>
      </c>
      <c r="BI289" s="1767">
        <v>0</v>
      </c>
      <c r="BJ289" s="1767">
        <v>0</v>
      </c>
      <c r="BK289" s="1767">
        <v>0</v>
      </c>
      <c r="BL289" s="1767">
        <v>0</v>
      </c>
      <c r="BM289" s="1767">
        <v>0</v>
      </c>
      <c r="BN289" s="1767">
        <v>0</v>
      </c>
      <c r="BO289" s="1767">
        <v>0</v>
      </c>
      <c r="BP289" s="1767">
        <v>0</v>
      </c>
      <c r="BQ289" s="1767">
        <v>0</v>
      </c>
      <c r="BR289" s="1767">
        <v>0</v>
      </c>
      <c r="BS289" s="1767">
        <v>0</v>
      </c>
      <c r="BT289" s="1767">
        <v>0</v>
      </c>
      <c r="BU289" s="1767">
        <v>0</v>
      </c>
      <c r="BV289" s="1767">
        <v>0</v>
      </c>
      <c r="BW289" s="1767">
        <v>0</v>
      </c>
      <c r="BX289" s="1767">
        <v>0</v>
      </c>
      <c r="BY289" s="1767">
        <v>0</v>
      </c>
      <c r="BZ289" s="1767">
        <v>0</v>
      </c>
      <c r="CA289" s="1767">
        <v>0</v>
      </c>
      <c r="CB289" s="1767">
        <v>0</v>
      </c>
      <c r="CC289" s="1767">
        <v>0</v>
      </c>
      <c r="CD289" s="1767">
        <v>0</v>
      </c>
      <c r="CE289" s="1767">
        <v>0</v>
      </c>
      <c r="CF289" s="1767">
        <v>0</v>
      </c>
      <c r="CG289" s="1767">
        <v>0</v>
      </c>
      <c r="CH289" s="1767">
        <v>0</v>
      </c>
      <c r="CI289" s="1767">
        <v>0</v>
      </c>
      <c r="CJ289" s="1767">
        <v>0</v>
      </c>
      <c r="CK289" s="1767">
        <v>0</v>
      </c>
      <c r="CL289" s="1767">
        <v>0</v>
      </c>
      <c r="CM289" s="1767">
        <v>0</v>
      </c>
      <c r="CN289" s="1767">
        <v>0</v>
      </c>
      <c r="CO289" s="1767">
        <v>0</v>
      </c>
      <c r="CP289" s="1767">
        <v>0</v>
      </c>
    </row>
    <row r="290" spans="1:94" ht="15" customHeight="1" x14ac:dyDescent="0.2">
      <c r="A290" s="1858"/>
      <c r="B290" s="1856"/>
      <c r="C290" s="667" t="s">
        <v>2138</v>
      </c>
      <c r="D290" s="936"/>
      <c r="E290" s="1862"/>
      <c r="F290" s="1225"/>
      <c r="G290" s="1767">
        <v>0</v>
      </c>
      <c r="H290" s="1767">
        <v>0</v>
      </c>
      <c r="I290" s="1767">
        <v>0</v>
      </c>
      <c r="J290" s="1767">
        <v>0</v>
      </c>
      <c r="K290" s="1767">
        <v>0</v>
      </c>
      <c r="L290" s="1767">
        <v>0</v>
      </c>
      <c r="M290" s="1767">
        <v>0</v>
      </c>
      <c r="N290" s="1767">
        <v>0</v>
      </c>
      <c r="O290" s="1767">
        <v>0</v>
      </c>
      <c r="P290" s="1767">
        <v>0</v>
      </c>
      <c r="Q290" s="1767">
        <v>0</v>
      </c>
      <c r="R290" s="1767">
        <v>0</v>
      </c>
      <c r="S290" s="1767">
        <v>0</v>
      </c>
      <c r="T290" s="1767">
        <v>0</v>
      </c>
      <c r="U290" s="1767">
        <v>0</v>
      </c>
      <c r="V290" s="1767">
        <v>0</v>
      </c>
      <c r="W290" s="1767">
        <v>0</v>
      </c>
      <c r="X290" s="1767">
        <v>0</v>
      </c>
      <c r="Y290" s="1767">
        <v>0</v>
      </c>
      <c r="Z290" s="1767">
        <v>0</v>
      </c>
      <c r="AA290" s="1767">
        <v>0</v>
      </c>
      <c r="AB290" s="1767">
        <v>0</v>
      </c>
      <c r="AC290" s="1767">
        <v>0</v>
      </c>
      <c r="AD290" s="1767">
        <v>0</v>
      </c>
      <c r="AE290" s="1767">
        <v>0</v>
      </c>
      <c r="AF290" s="1767">
        <v>0</v>
      </c>
      <c r="AG290" s="1767">
        <v>0</v>
      </c>
      <c r="AH290" s="1767">
        <v>0</v>
      </c>
      <c r="AI290" s="1767">
        <v>0</v>
      </c>
      <c r="AJ290" s="1767">
        <v>0</v>
      </c>
      <c r="AK290" s="1767">
        <v>0</v>
      </c>
      <c r="AL290" s="1767">
        <v>0</v>
      </c>
      <c r="AM290" s="1767">
        <v>0</v>
      </c>
      <c r="AN290" s="1767">
        <v>0</v>
      </c>
      <c r="AO290" s="1767">
        <v>0</v>
      </c>
      <c r="AP290" s="1767">
        <v>0</v>
      </c>
      <c r="AQ290" s="1767">
        <v>0</v>
      </c>
      <c r="AR290" s="1767">
        <v>0</v>
      </c>
      <c r="AS290" s="1767">
        <v>0</v>
      </c>
      <c r="AT290" s="1767">
        <v>0</v>
      </c>
      <c r="AU290" s="1767">
        <v>0</v>
      </c>
      <c r="AV290" s="1767">
        <v>0</v>
      </c>
      <c r="AW290" s="1767">
        <v>0</v>
      </c>
      <c r="AX290" s="1767">
        <v>0</v>
      </c>
      <c r="AY290" s="1767">
        <v>0</v>
      </c>
      <c r="AZ290" s="1767">
        <v>0</v>
      </c>
      <c r="BA290" s="1767">
        <v>0</v>
      </c>
      <c r="BB290" s="1767">
        <v>0</v>
      </c>
      <c r="BC290" s="1767">
        <v>0</v>
      </c>
      <c r="BD290" s="1767">
        <v>0</v>
      </c>
      <c r="BE290" s="1767">
        <v>0</v>
      </c>
      <c r="BF290" s="1767">
        <v>0</v>
      </c>
      <c r="BG290" s="1767">
        <v>0</v>
      </c>
      <c r="BH290" s="1767">
        <v>0</v>
      </c>
      <c r="BI290" s="1767">
        <v>0</v>
      </c>
      <c r="BJ290" s="1767">
        <v>0</v>
      </c>
      <c r="BK290" s="1767">
        <v>0</v>
      </c>
      <c r="BL290" s="1767">
        <v>0</v>
      </c>
      <c r="BM290" s="1767">
        <v>0</v>
      </c>
      <c r="BN290" s="1767">
        <v>0</v>
      </c>
      <c r="BO290" s="1767">
        <v>0</v>
      </c>
      <c r="BP290" s="1767">
        <v>0</v>
      </c>
      <c r="BQ290" s="1767">
        <v>0</v>
      </c>
      <c r="BR290" s="1767">
        <v>0</v>
      </c>
      <c r="BS290" s="1767">
        <v>0</v>
      </c>
      <c r="BT290" s="1767">
        <v>0</v>
      </c>
      <c r="BU290" s="1767">
        <v>0</v>
      </c>
      <c r="BV290" s="1767">
        <v>0</v>
      </c>
      <c r="BW290" s="1767">
        <v>0</v>
      </c>
      <c r="BX290" s="1767">
        <v>0</v>
      </c>
      <c r="BY290" s="1767">
        <v>0</v>
      </c>
      <c r="BZ290" s="1767">
        <v>0</v>
      </c>
      <c r="CA290" s="1767">
        <v>0</v>
      </c>
      <c r="CB290" s="1767">
        <v>0</v>
      </c>
      <c r="CC290" s="1767">
        <v>0</v>
      </c>
      <c r="CD290" s="1767">
        <v>0</v>
      </c>
      <c r="CE290" s="1767">
        <v>0</v>
      </c>
      <c r="CF290" s="1767">
        <v>0</v>
      </c>
      <c r="CG290" s="1767">
        <v>0</v>
      </c>
      <c r="CH290" s="1767">
        <v>0</v>
      </c>
      <c r="CI290" s="1767">
        <v>0</v>
      </c>
      <c r="CJ290" s="1767">
        <v>0</v>
      </c>
      <c r="CK290" s="1767">
        <v>0</v>
      </c>
      <c r="CL290" s="1767">
        <v>0</v>
      </c>
      <c r="CM290" s="1767">
        <v>0</v>
      </c>
      <c r="CN290" s="1767">
        <v>0</v>
      </c>
      <c r="CO290" s="1767">
        <v>0</v>
      </c>
      <c r="CP290" s="1767">
        <v>0</v>
      </c>
    </row>
    <row r="291" spans="1:94" ht="15" customHeight="1" x14ac:dyDescent="0.2">
      <c r="A291" s="1858"/>
      <c r="B291" s="1856"/>
      <c r="C291" s="667" t="s">
        <v>2139</v>
      </c>
      <c r="D291" s="936"/>
      <c r="E291" s="1862"/>
      <c r="F291" s="1225"/>
      <c r="G291" s="1767">
        <v>0</v>
      </c>
      <c r="H291" s="1767">
        <v>0</v>
      </c>
      <c r="I291" s="1767">
        <v>0</v>
      </c>
      <c r="J291" s="1767">
        <v>0</v>
      </c>
      <c r="K291" s="1767">
        <v>0</v>
      </c>
      <c r="L291" s="1767">
        <v>0</v>
      </c>
      <c r="M291" s="1767">
        <v>0</v>
      </c>
      <c r="N291" s="1767">
        <v>0</v>
      </c>
      <c r="O291" s="1767">
        <v>0</v>
      </c>
      <c r="P291" s="1767">
        <v>0</v>
      </c>
      <c r="Q291" s="1767">
        <v>0</v>
      </c>
      <c r="R291" s="1767">
        <v>0</v>
      </c>
      <c r="S291" s="1767">
        <v>0</v>
      </c>
      <c r="T291" s="1767">
        <v>0</v>
      </c>
      <c r="U291" s="1767">
        <v>0</v>
      </c>
      <c r="V291" s="1767">
        <v>0</v>
      </c>
      <c r="W291" s="1767">
        <v>0</v>
      </c>
      <c r="X291" s="1767">
        <v>0</v>
      </c>
      <c r="Y291" s="1767">
        <v>0</v>
      </c>
      <c r="Z291" s="1767">
        <v>0</v>
      </c>
      <c r="AA291" s="1767">
        <v>0</v>
      </c>
      <c r="AB291" s="1767">
        <v>0</v>
      </c>
      <c r="AC291" s="1767">
        <v>0</v>
      </c>
      <c r="AD291" s="1767">
        <v>0</v>
      </c>
      <c r="AE291" s="1767">
        <v>0</v>
      </c>
      <c r="AF291" s="1767">
        <v>0</v>
      </c>
      <c r="AG291" s="1767">
        <v>0</v>
      </c>
      <c r="AH291" s="1767">
        <v>0</v>
      </c>
      <c r="AI291" s="1767">
        <v>0</v>
      </c>
      <c r="AJ291" s="1767">
        <v>0</v>
      </c>
      <c r="AK291" s="1767">
        <v>0</v>
      </c>
      <c r="AL291" s="1767">
        <v>0</v>
      </c>
      <c r="AM291" s="1767">
        <v>0</v>
      </c>
      <c r="AN291" s="1767">
        <v>0</v>
      </c>
      <c r="AO291" s="1767">
        <v>0</v>
      </c>
      <c r="AP291" s="1767">
        <v>0</v>
      </c>
      <c r="AQ291" s="1767">
        <v>0</v>
      </c>
      <c r="AR291" s="1767">
        <v>0</v>
      </c>
      <c r="AS291" s="1767">
        <v>0</v>
      </c>
      <c r="AT291" s="1767">
        <v>0</v>
      </c>
      <c r="AU291" s="1767">
        <v>0</v>
      </c>
      <c r="AV291" s="1767">
        <v>0</v>
      </c>
      <c r="AW291" s="1767">
        <v>0</v>
      </c>
      <c r="AX291" s="1767">
        <v>0</v>
      </c>
      <c r="AY291" s="1767">
        <v>0</v>
      </c>
      <c r="AZ291" s="1767">
        <v>0</v>
      </c>
      <c r="BA291" s="1767">
        <v>0</v>
      </c>
      <c r="BB291" s="1767">
        <v>0</v>
      </c>
      <c r="BC291" s="1767">
        <v>0</v>
      </c>
      <c r="BD291" s="1767">
        <v>0</v>
      </c>
      <c r="BE291" s="1767">
        <v>0</v>
      </c>
      <c r="BF291" s="1767">
        <v>0</v>
      </c>
      <c r="BG291" s="1767">
        <v>0</v>
      </c>
      <c r="BH291" s="1767">
        <v>0</v>
      </c>
      <c r="BI291" s="1767">
        <v>0</v>
      </c>
      <c r="BJ291" s="1767">
        <v>0</v>
      </c>
      <c r="BK291" s="1767">
        <v>0</v>
      </c>
      <c r="BL291" s="1767">
        <v>0</v>
      </c>
      <c r="BM291" s="1767">
        <v>0</v>
      </c>
      <c r="BN291" s="1767">
        <v>0</v>
      </c>
      <c r="BO291" s="1767">
        <v>0</v>
      </c>
      <c r="BP291" s="1767">
        <v>0</v>
      </c>
      <c r="BQ291" s="1767">
        <v>0</v>
      </c>
      <c r="BR291" s="1767">
        <v>0</v>
      </c>
      <c r="BS291" s="1767">
        <v>0</v>
      </c>
      <c r="BT291" s="1767">
        <v>0</v>
      </c>
      <c r="BU291" s="1767">
        <v>0</v>
      </c>
      <c r="BV291" s="1767">
        <v>0</v>
      </c>
      <c r="BW291" s="1767">
        <v>0</v>
      </c>
      <c r="BX291" s="1767">
        <v>0</v>
      </c>
      <c r="BY291" s="1767">
        <v>0</v>
      </c>
      <c r="BZ291" s="1767">
        <v>0</v>
      </c>
      <c r="CA291" s="1767">
        <v>0</v>
      </c>
      <c r="CB291" s="1767">
        <v>0</v>
      </c>
      <c r="CC291" s="1767">
        <v>0</v>
      </c>
      <c r="CD291" s="1767">
        <v>0</v>
      </c>
      <c r="CE291" s="1767">
        <v>0</v>
      </c>
      <c r="CF291" s="1767">
        <v>0</v>
      </c>
      <c r="CG291" s="1767">
        <v>0</v>
      </c>
      <c r="CH291" s="1767">
        <v>0</v>
      </c>
      <c r="CI291" s="1767">
        <v>0</v>
      </c>
      <c r="CJ291" s="1767">
        <v>0</v>
      </c>
      <c r="CK291" s="1767">
        <v>0</v>
      </c>
      <c r="CL291" s="1767">
        <v>0</v>
      </c>
      <c r="CM291" s="1767">
        <v>0</v>
      </c>
      <c r="CN291" s="1767">
        <v>0</v>
      </c>
      <c r="CO291" s="1767">
        <v>0</v>
      </c>
      <c r="CP291" s="1767">
        <v>0</v>
      </c>
    </row>
    <row r="292" spans="1:94" ht="15" customHeight="1" x14ac:dyDescent="0.2">
      <c r="A292" s="1858"/>
      <c r="B292" s="1856"/>
      <c r="C292" s="852" t="s">
        <v>2140</v>
      </c>
      <c r="D292" s="936"/>
      <c r="E292" s="1862"/>
      <c r="F292" s="1225"/>
      <c r="G292" s="1767">
        <v>0</v>
      </c>
      <c r="H292" s="1767">
        <v>0</v>
      </c>
      <c r="I292" s="1767">
        <v>0</v>
      </c>
      <c r="J292" s="1767">
        <v>0</v>
      </c>
      <c r="K292" s="1767">
        <v>0</v>
      </c>
      <c r="L292" s="1767">
        <v>0</v>
      </c>
      <c r="M292" s="1767">
        <v>0</v>
      </c>
      <c r="N292" s="1767">
        <v>0</v>
      </c>
      <c r="O292" s="1767">
        <v>0</v>
      </c>
      <c r="P292" s="1767">
        <v>0</v>
      </c>
      <c r="Q292" s="1767">
        <v>0</v>
      </c>
      <c r="R292" s="1767">
        <v>0</v>
      </c>
      <c r="S292" s="1767">
        <v>0</v>
      </c>
      <c r="T292" s="1767">
        <v>0</v>
      </c>
      <c r="U292" s="1767">
        <v>0</v>
      </c>
      <c r="V292" s="1767">
        <v>0</v>
      </c>
      <c r="W292" s="1767">
        <v>0</v>
      </c>
      <c r="X292" s="1767">
        <v>0</v>
      </c>
      <c r="Y292" s="1767">
        <v>0</v>
      </c>
      <c r="Z292" s="1767">
        <v>0</v>
      </c>
      <c r="AA292" s="1767">
        <v>0</v>
      </c>
      <c r="AB292" s="1767">
        <v>0</v>
      </c>
      <c r="AC292" s="1767">
        <v>0</v>
      </c>
      <c r="AD292" s="1767">
        <v>0</v>
      </c>
      <c r="AE292" s="1767">
        <v>0</v>
      </c>
      <c r="AF292" s="1767">
        <v>0</v>
      </c>
      <c r="AG292" s="1767">
        <v>0</v>
      </c>
      <c r="AH292" s="1767">
        <v>0</v>
      </c>
      <c r="AI292" s="1767">
        <v>0</v>
      </c>
      <c r="AJ292" s="1767">
        <v>0</v>
      </c>
      <c r="AK292" s="1767">
        <v>0</v>
      </c>
      <c r="AL292" s="1767">
        <v>0</v>
      </c>
      <c r="AM292" s="1767">
        <v>0</v>
      </c>
      <c r="AN292" s="1767">
        <v>0</v>
      </c>
      <c r="AO292" s="1767">
        <v>0</v>
      </c>
      <c r="AP292" s="1767">
        <v>0</v>
      </c>
      <c r="AQ292" s="1767">
        <v>0</v>
      </c>
      <c r="AR292" s="1767">
        <v>0</v>
      </c>
      <c r="AS292" s="1767">
        <v>0</v>
      </c>
      <c r="AT292" s="1767">
        <v>0</v>
      </c>
      <c r="AU292" s="1767">
        <v>0</v>
      </c>
      <c r="AV292" s="1767">
        <v>0</v>
      </c>
      <c r="AW292" s="1767">
        <v>0</v>
      </c>
      <c r="AX292" s="1767">
        <v>0</v>
      </c>
      <c r="AY292" s="1767">
        <v>0</v>
      </c>
      <c r="AZ292" s="1767">
        <v>0</v>
      </c>
      <c r="BA292" s="1767">
        <v>0</v>
      </c>
      <c r="BB292" s="1767">
        <v>0</v>
      </c>
      <c r="BC292" s="1767">
        <v>0</v>
      </c>
      <c r="BD292" s="1767">
        <v>0</v>
      </c>
      <c r="BE292" s="1767">
        <v>0</v>
      </c>
      <c r="BF292" s="1767">
        <v>0</v>
      </c>
      <c r="BG292" s="1767">
        <v>0</v>
      </c>
      <c r="BH292" s="1767">
        <v>0</v>
      </c>
      <c r="BI292" s="1767">
        <v>0</v>
      </c>
      <c r="BJ292" s="1767">
        <v>0</v>
      </c>
      <c r="BK292" s="1767">
        <v>0</v>
      </c>
      <c r="BL292" s="1767">
        <v>0</v>
      </c>
      <c r="BM292" s="1767">
        <v>0</v>
      </c>
      <c r="BN292" s="1767">
        <v>0</v>
      </c>
      <c r="BO292" s="1767">
        <v>0</v>
      </c>
      <c r="BP292" s="1767">
        <v>0</v>
      </c>
      <c r="BQ292" s="1767">
        <v>0</v>
      </c>
      <c r="BR292" s="1767">
        <v>0</v>
      </c>
      <c r="BS292" s="1767">
        <v>0</v>
      </c>
      <c r="BT292" s="1767">
        <v>0</v>
      </c>
      <c r="BU292" s="1767">
        <v>0</v>
      </c>
      <c r="BV292" s="1767">
        <v>0</v>
      </c>
      <c r="BW292" s="1767">
        <v>0</v>
      </c>
      <c r="BX292" s="1767">
        <v>0</v>
      </c>
      <c r="BY292" s="1767">
        <v>0</v>
      </c>
      <c r="BZ292" s="1767">
        <v>0</v>
      </c>
      <c r="CA292" s="1767">
        <v>0</v>
      </c>
      <c r="CB292" s="1767">
        <v>0</v>
      </c>
      <c r="CC292" s="1767">
        <v>0</v>
      </c>
      <c r="CD292" s="1767">
        <v>0</v>
      </c>
      <c r="CE292" s="1767">
        <v>0</v>
      </c>
      <c r="CF292" s="1767">
        <v>0</v>
      </c>
      <c r="CG292" s="1767">
        <v>0</v>
      </c>
      <c r="CH292" s="1767">
        <v>0</v>
      </c>
      <c r="CI292" s="1767">
        <v>0</v>
      </c>
      <c r="CJ292" s="1767">
        <v>0</v>
      </c>
      <c r="CK292" s="1767">
        <v>0</v>
      </c>
      <c r="CL292" s="1767">
        <v>0</v>
      </c>
      <c r="CM292" s="1767">
        <v>0</v>
      </c>
      <c r="CN292" s="1767">
        <v>0</v>
      </c>
      <c r="CO292" s="1767">
        <v>0</v>
      </c>
      <c r="CP292" s="1767">
        <v>0</v>
      </c>
    </row>
    <row r="293" spans="1:94" ht="15" customHeight="1" x14ac:dyDescent="0.2">
      <c r="A293" s="1858"/>
      <c r="B293" s="1856"/>
      <c r="C293" s="800" t="s">
        <v>2339</v>
      </c>
      <c r="D293" s="936"/>
      <c r="E293" s="1862"/>
      <c r="F293" s="1225"/>
      <c r="G293" s="1767">
        <v>0</v>
      </c>
      <c r="H293" s="1767">
        <v>0</v>
      </c>
      <c r="I293" s="1767">
        <v>0</v>
      </c>
      <c r="J293" s="1767">
        <v>0</v>
      </c>
      <c r="K293" s="1767">
        <v>0</v>
      </c>
      <c r="L293" s="1767">
        <v>0</v>
      </c>
      <c r="M293" s="1767">
        <v>0</v>
      </c>
      <c r="N293" s="1767">
        <v>0</v>
      </c>
      <c r="O293" s="1767">
        <v>0</v>
      </c>
      <c r="P293" s="1767">
        <v>0</v>
      </c>
      <c r="Q293" s="1767">
        <v>0</v>
      </c>
      <c r="R293" s="1767">
        <v>0</v>
      </c>
      <c r="S293" s="1767">
        <v>0</v>
      </c>
      <c r="T293" s="1767">
        <v>0</v>
      </c>
      <c r="U293" s="1767">
        <v>0</v>
      </c>
      <c r="V293" s="1767">
        <v>0</v>
      </c>
      <c r="W293" s="1767">
        <v>0</v>
      </c>
      <c r="X293" s="1767">
        <v>0</v>
      </c>
      <c r="Y293" s="1767">
        <v>0</v>
      </c>
      <c r="Z293" s="1767">
        <v>0</v>
      </c>
      <c r="AA293" s="1767">
        <v>0</v>
      </c>
      <c r="AB293" s="1767">
        <v>0</v>
      </c>
      <c r="AC293" s="1767">
        <v>0</v>
      </c>
      <c r="AD293" s="1767">
        <v>0</v>
      </c>
      <c r="AE293" s="1767">
        <v>0</v>
      </c>
      <c r="AF293" s="1767">
        <v>0</v>
      </c>
      <c r="AG293" s="1767">
        <v>0</v>
      </c>
      <c r="AH293" s="1767">
        <v>0</v>
      </c>
      <c r="AI293" s="1767">
        <v>0</v>
      </c>
      <c r="AJ293" s="1767">
        <v>0</v>
      </c>
      <c r="AK293" s="1767">
        <v>0</v>
      </c>
      <c r="AL293" s="1767">
        <v>0</v>
      </c>
      <c r="AM293" s="1767">
        <v>0</v>
      </c>
      <c r="AN293" s="1767">
        <v>0</v>
      </c>
      <c r="AO293" s="1767">
        <v>0</v>
      </c>
      <c r="AP293" s="1767">
        <v>0</v>
      </c>
      <c r="AQ293" s="1767">
        <v>0</v>
      </c>
      <c r="AR293" s="1767">
        <v>0</v>
      </c>
      <c r="AS293" s="1767">
        <v>0</v>
      </c>
      <c r="AT293" s="1767">
        <v>0</v>
      </c>
      <c r="AU293" s="1767">
        <v>0</v>
      </c>
      <c r="AV293" s="1767">
        <v>0</v>
      </c>
      <c r="AW293" s="1767">
        <v>0</v>
      </c>
      <c r="AX293" s="1767">
        <v>0</v>
      </c>
      <c r="AY293" s="1767">
        <v>0</v>
      </c>
      <c r="AZ293" s="1767">
        <v>0</v>
      </c>
      <c r="BA293" s="1767">
        <v>0</v>
      </c>
      <c r="BB293" s="1767">
        <v>0</v>
      </c>
      <c r="BC293" s="1767">
        <v>0</v>
      </c>
      <c r="BD293" s="1767">
        <v>0</v>
      </c>
      <c r="BE293" s="1767">
        <v>0</v>
      </c>
      <c r="BF293" s="1767">
        <v>0</v>
      </c>
      <c r="BG293" s="1767">
        <v>0</v>
      </c>
      <c r="BH293" s="1767">
        <v>0</v>
      </c>
      <c r="BI293" s="1767">
        <v>0</v>
      </c>
      <c r="BJ293" s="1767">
        <v>0</v>
      </c>
      <c r="BK293" s="1767">
        <v>0</v>
      </c>
      <c r="BL293" s="1767">
        <v>0</v>
      </c>
      <c r="BM293" s="1767">
        <v>0</v>
      </c>
      <c r="BN293" s="1767">
        <v>0</v>
      </c>
      <c r="BO293" s="1767">
        <v>0</v>
      </c>
      <c r="BP293" s="1767">
        <v>0</v>
      </c>
      <c r="BQ293" s="1767">
        <v>0</v>
      </c>
      <c r="BR293" s="1767">
        <v>0</v>
      </c>
      <c r="BS293" s="1767">
        <v>0</v>
      </c>
      <c r="BT293" s="1767">
        <v>0</v>
      </c>
      <c r="BU293" s="1767">
        <v>0</v>
      </c>
      <c r="BV293" s="1767">
        <v>0</v>
      </c>
      <c r="BW293" s="1767">
        <v>0</v>
      </c>
      <c r="BX293" s="1767">
        <v>0</v>
      </c>
      <c r="BY293" s="1767">
        <v>0</v>
      </c>
      <c r="BZ293" s="1767">
        <v>0</v>
      </c>
      <c r="CA293" s="1767">
        <v>0</v>
      </c>
      <c r="CB293" s="1767">
        <v>0</v>
      </c>
      <c r="CC293" s="1767">
        <v>0</v>
      </c>
      <c r="CD293" s="1767">
        <v>0</v>
      </c>
      <c r="CE293" s="1767">
        <v>0</v>
      </c>
      <c r="CF293" s="1767">
        <v>0</v>
      </c>
      <c r="CG293" s="1767">
        <v>0</v>
      </c>
      <c r="CH293" s="1767">
        <v>0</v>
      </c>
      <c r="CI293" s="1767">
        <v>0</v>
      </c>
      <c r="CJ293" s="1767">
        <v>0</v>
      </c>
      <c r="CK293" s="1767">
        <v>0</v>
      </c>
      <c r="CL293" s="1767">
        <v>0</v>
      </c>
      <c r="CM293" s="1767">
        <v>0</v>
      </c>
      <c r="CN293" s="1767">
        <v>0</v>
      </c>
      <c r="CO293" s="1767">
        <v>0</v>
      </c>
      <c r="CP293" s="1767">
        <v>0</v>
      </c>
    </row>
    <row r="294" spans="1:94" ht="15" customHeight="1" thickBot="1" x14ac:dyDescent="0.25">
      <c r="A294" s="1858"/>
      <c r="B294" s="1856"/>
      <c r="C294" s="800" t="s">
        <v>2340</v>
      </c>
      <c r="D294" s="949"/>
      <c r="E294" s="1862"/>
      <c r="F294" s="1225"/>
      <c r="G294" s="1767">
        <v>0</v>
      </c>
      <c r="H294" s="1767">
        <v>0</v>
      </c>
      <c r="I294" s="1767">
        <v>0</v>
      </c>
      <c r="J294" s="1767">
        <v>0</v>
      </c>
      <c r="K294" s="1767">
        <v>0</v>
      </c>
      <c r="L294" s="1767">
        <v>0</v>
      </c>
      <c r="M294" s="1767">
        <v>0</v>
      </c>
      <c r="N294" s="1767">
        <v>0</v>
      </c>
      <c r="O294" s="1767">
        <v>0</v>
      </c>
      <c r="P294" s="1767">
        <v>0</v>
      </c>
      <c r="Q294" s="1767">
        <v>0</v>
      </c>
      <c r="R294" s="1767">
        <v>0</v>
      </c>
      <c r="S294" s="1767">
        <v>0</v>
      </c>
      <c r="T294" s="1767">
        <v>0</v>
      </c>
      <c r="U294" s="1767">
        <v>0</v>
      </c>
      <c r="V294" s="1767">
        <v>0</v>
      </c>
      <c r="W294" s="1767">
        <v>0</v>
      </c>
      <c r="X294" s="1767">
        <v>0</v>
      </c>
      <c r="Y294" s="1767">
        <v>0</v>
      </c>
      <c r="Z294" s="1767">
        <v>0</v>
      </c>
      <c r="AA294" s="1767">
        <v>0</v>
      </c>
      <c r="AB294" s="1767">
        <v>0</v>
      </c>
      <c r="AC294" s="1767">
        <v>0</v>
      </c>
      <c r="AD294" s="1767">
        <v>0</v>
      </c>
      <c r="AE294" s="1767">
        <v>0</v>
      </c>
      <c r="AF294" s="1767">
        <v>0</v>
      </c>
      <c r="AG294" s="1767">
        <v>0</v>
      </c>
      <c r="AH294" s="1767">
        <v>0</v>
      </c>
      <c r="AI294" s="1767">
        <v>0</v>
      </c>
      <c r="AJ294" s="1767">
        <v>0</v>
      </c>
      <c r="AK294" s="1767">
        <v>0</v>
      </c>
      <c r="AL294" s="1767">
        <v>0</v>
      </c>
      <c r="AM294" s="1767">
        <v>0</v>
      </c>
      <c r="AN294" s="1767">
        <v>0</v>
      </c>
      <c r="AO294" s="1767">
        <v>0</v>
      </c>
      <c r="AP294" s="1767">
        <v>0</v>
      </c>
      <c r="AQ294" s="1767">
        <v>0</v>
      </c>
      <c r="AR294" s="1767">
        <v>0</v>
      </c>
      <c r="AS294" s="1767">
        <v>0</v>
      </c>
      <c r="AT294" s="1767">
        <v>0</v>
      </c>
      <c r="AU294" s="1767">
        <v>0</v>
      </c>
      <c r="AV294" s="1767">
        <v>0</v>
      </c>
      <c r="AW294" s="1767">
        <v>0</v>
      </c>
      <c r="AX294" s="1767">
        <v>0</v>
      </c>
      <c r="AY294" s="1767">
        <v>0</v>
      </c>
      <c r="AZ294" s="1767">
        <v>0</v>
      </c>
      <c r="BA294" s="1767">
        <v>0</v>
      </c>
      <c r="BB294" s="1767">
        <v>0</v>
      </c>
      <c r="BC294" s="1767">
        <v>0</v>
      </c>
      <c r="BD294" s="1767">
        <v>0</v>
      </c>
      <c r="BE294" s="1767">
        <v>0</v>
      </c>
      <c r="BF294" s="1767">
        <v>0</v>
      </c>
      <c r="BG294" s="1767">
        <v>0</v>
      </c>
      <c r="BH294" s="1767">
        <v>0</v>
      </c>
      <c r="BI294" s="1767">
        <v>0</v>
      </c>
      <c r="BJ294" s="1767">
        <v>0</v>
      </c>
      <c r="BK294" s="1767">
        <v>0</v>
      </c>
      <c r="BL294" s="1767">
        <v>0</v>
      </c>
      <c r="BM294" s="1767">
        <v>0</v>
      </c>
      <c r="BN294" s="1767">
        <v>0</v>
      </c>
      <c r="BO294" s="1767">
        <v>0</v>
      </c>
      <c r="BP294" s="1767">
        <v>0</v>
      </c>
      <c r="BQ294" s="1767">
        <v>0</v>
      </c>
      <c r="BR294" s="1767">
        <v>0</v>
      </c>
      <c r="BS294" s="1767">
        <v>0</v>
      </c>
      <c r="BT294" s="1767">
        <v>0</v>
      </c>
      <c r="BU294" s="1767">
        <v>0</v>
      </c>
      <c r="BV294" s="1767">
        <v>0</v>
      </c>
      <c r="BW294" s="1767">
        <v>0</v>
      </c>
      <c r="BX294" s="1767">
        <v>0</v>
      </c>
      <c r="BY294" s="1767">
        <v>0</v>
      </c>
      <c r="BZ294" s="1767">
        <v>0</v>
      </c>
      <c r="CA294" s="1767">
        <v>0</v>
      </c>
      <c r="CB294" s="1767">
        <v>0</v>
      </c>
      <c r="CC294" s="1767">
        <v>0</v>
      </c>
      <c r="CD294" s="1767">
        <v>0</v>
      </c>
      <c r="CE294" s="1767">
        <v>0</v>
      </c>
      <c r="CF294" s="1767">
        <v>0</v>
      </c>
      <c r="CG294" s="1767">
        <v>0</v>
      </c>
      <c r="CH294" s="1767">
        <v>0</v>
      </c>
      <c r="CI294" s="1767">
        <v>0</v>
      </c>
      <c r="CJ294" s="1767">
        <v>0</v>
      </c>
      <c r="CK294" s="1767">
        <v>0</v>
      </c>
      <c r="CL294" s="1767">
        <v>0</v>
      </c>
      <c r="CM294" s="1767">
        <v>0</v>
      </c>
      <c r="CN294" s="1767">
        <v>0</v>
      </c>
      <c r="CO294" s="1767">
        <v>0</v>
      </c>
      <c r="CP294" s="1767">
        <v>0</v>
      </c>
    </row>
    <row r="295" spans="1:94" ht="54" customHeight="1" thickBot="1" x14ac:dyDescent="0.25">
      <c r="A295" s="1887" t="s">
        <v>243</v>
      </c>
      <c r="B295" s="1846" t="s">
        <v>562</v>
      </c>
      <c r="C295" s="1789" t="s">
        <v>1726</v>
      </c>
      <c r="D295" s="974"/>
      <c r="E295" s="1830" t="s">
        <v>2063</v>
      </c>
      <c r="F295" s="1225"/>
      <c r="G295" s="1742"/>
      <c r="H295" s="1742"/>
      <c r="I295" s="1742"/>
      <c r="J295" s="1742"/>
      <c r="K295" s="1742"/>
      <c r="L295" s="1742"/>
      <c r="M295" s="1742"/>
      <c r="N295" s="1742"/>
      <c r="O295" s="1742"/>
      <c r="P295" s="1742"/>
      <c r="Q295" s="1742"/>
      <c r="R295" s="1742"/>
      <c r="S295" s="1742"/>
      <c r="T295" s="1742"/>
      <c r="U295" s="1742"/>
      <c r="V295" s="1742"/>
      <c r="W295" s="1742"/>
      <c r="X295" s="1742"/>
      <c r="Y295" s="1742"/>
      <c r="Z295" s="1742"/>
      <c r="AA295" s="1742"/>
      <c r="AB295" s="1742"/>
      <c r="AC295" s="1742"/>
      <c r="AD295" s="1742"/>
      <c r="AE295" s="1742"/>
      <c r="AF295" s="1742"/>
      <c r="AG295" s="1742"/>
      <c r="AH295" s="1742"/>
      <c r="AI295" s="1742"/>
      <c r="AJ295" s="1742"/>
      <c r="AK295" s="1742"/>
      <c r="AL295" s="1742"/>
      <c r="AM295" s="1742"/>
      <c r="AN295" s="1742"/>
      <c r="AO295" s="1742"/>
      <c r="AP295" s="1742"/>
      <c r="AQ295" s="1742"/>
      <c r="AR295" s="1742"/>
      <c r="AS295" s="1742"/>
      <c r="AT295" s="1742"/>
      <c r="AU295" s="1742"/>
      <c r="AV295" s="1742"/>
      <c r="AW295" s="1742"/>
      <c r="AX295" s="1742"/>
      <c r="AY295" s="1742"/>
      <c r="AZ295" s="1742"/>
      <c r="BA295" s="1742"/>
      <c r="BB295" s="1742"/>
      <c r="BC295" s="1742"/>
      <c r="BD295" s="1742"/>
      <c r="BE295" s="1742"/>
      <c r="BF295" s="1742"/>
      <c r="BG295" s="1742"/>
      <c r="BH295" s="1742"/>
      <c r="BI295" s="1742"/>
      <c r="BJ295" s="1742"/>
      <c r="BK295" s="1742"/>
      <c r="BL295" s="1742"/>
      <c r="BM295" s="1742"/>
      <c r="BN295" s="1742"/>
      <c r="BO295" s="1742"/>
      <c r="BP295" s="1742"/>
      <c r="BQ295" s="1742"/>
      <c r="BR295" s="1742"/>
      <c r="BS295" s="1742"/>
      <c r="BT295" s="1742"/>
      <c r="BU295" s="1742"/>
      <c r="BV295" s="1742"/>
      <c r="BW295" s="1742"/>
      <c r="BX295" s="1742"/>
      <c r="BY295" s="1742"/>
      <c r="BZ295" s="1742"/>
      <c r="CA295" s="1742"/>
      <c r="CB295" s="1742"/>
      <c r="CC295" s="1742"/>
      <c r="CD295" s="1742"/>
      <c r="CE295" s="1742"/>
      <c r="CF295" s="1742"/>
      <c r="CG295" s="1742"/>
      <c r="CH295" s="1742"/>
      <c r="CI295" s="1742"/>
      <c r="CJ295" s="1742"/>
      <c r="CK295" s="1742"/>
      <c r="CL295" s="1742"/>
      <c r="CM295" s="1742"/>
      <c r="CN295" s="1742"/>
      <c r="CO295" s="1742"/>
      <c r="CP295" s="1742"/>
    </row>
    <row r="296" spans="1:94" ht="15" customHeight="1" x14ac:dyDescent="0.2">
      <c r="A296" s="1847"/>
      <c r="B296" s="1856"/>
      <c r="C296" s="660" t="s">
        <v>2368</v>
      </c>
      <c r="D296" s="936"/>
      <c r="E296" s="1862"/>
      <c r="F296" s="1225"/>
      <c r="G296" s="1767">
        <v>0</v>
      </c>
      <c r="H296" s="1767">
        <v>0</v>
      </c>
      <c r="I296" s="1767">
        <v>0</v>
      </c>
      <c r="J296" s="1767">
        <v>0</v>
      </c>
      <c r="K296" s="1767">
        <v>0</v>
      </c>
      <c r="L296" s="1767">
        <v>0</v>
      </c>
      <c r="M296" s="1767">
        <v>0</v>
      </c>
      <c r="N296" s="1767">
        <v>0</v>
      </c>
      <c r="O296" s="1767">
        <v>0</v>
      </c>
      <c r="P296" s="1767">
        <v>0</v>
      </c>
      <c r="Q296" s="1767">
        <v>0</v>
      </c>
      <c r="R296" s="1767">
        <v>0</v>
      </c>
      <c r="S296" s="1767">
        <v>0</v>
      </c>
      <c r="T296" s="1767">
        <v>0</v>
      </c>
      <c r="U296" s="1767">
        <v>0</v>
      </c>
      <c r="V296" s="1767">
        <v>0</v>
      </c>
      <c r="W296" s="1767">
        <v>0</v>
      </c>
      <c r="X296" s="1767">
        <v>0</v>
      </c>
      <c r="Y296" s="1767">
        <v>0</v>
      </c>
      <c r="Z296" s="1767">
        <v>0</v>
      </c>
      <c r="AA296" s="1767">
        <v>0</v>
      </c>
      <c r="AB296" s="1767">
        <v>0</v>
      </c>
      <c r="AC296" s="1767">
        <v>0</v>
      </c>
      <c r="AD296" s="1767">
        <v>0</v>
      </c>
      <c r="AE296" s="1767">
        <v>0</v>
      </c>
      <c r="AF296" s="1767">
        <v>0</v>
      </c>
      <c r="AG296" s="1767">
        <v>0</v>
      </c>
      <c r="AH296" s="1767">
        <v>0</v>
      </c>
      <c r="AI296" s="1767">
        <v>0</v>
      </c>
      <c r="AJ296" s="1767">
        <v>0</v>
      </c>
      <c r="AK296" s="1767">
        <v>0</v>
      </c>
      <c r="AL296" s="1767">
        <v>0</v>
      </c>
      <c r="AM296" s="1767">
        <v>0</v>
      </c>
      <c r="AN296" s="1767">
        <v>0</v>
      </c>
      <c r="AO296" s="1767">
        <v>0</v>
      </c>
      <c r="AP296" s="1767">
        <v>0</v>
      </c>
      <c r="AQ296" s="1767">
        <v>0</v>
      </c>
      <c r="AR296" s="1767">
        <v>0</v>
      </c>
      <c r="AS296" s="1767">
        <v>0</v>
      </c>
      <c r="AT296" s="1767">
        <v>0</v>
      </c>
      <c r="AU296" s="1767">
        <v>0</v>
      </c>
      <c r="AV296" s="1767">
        <v>0</v>
      </c>
      <c r="AW296" s="1767">
        <v>0</v>
      </c>
      <c r="AX296" s="1767">
        <v>0</v>
      </c>
      <c r="AY296" s="1767">
        <v>0</v>
      </c>
      <c r="AZ296" s="1767">
        <v>0</v>
      </c>
      <c r="BA296" s="1767">
        <v>0</v>
      </c>
      <c r="BB296" s="1767">
        <v>0</v>
      </c>
      <c r="BC296" s="1767">
        <v>0</v>
      </c>
      <c r="BD296" s="1767">
        <v>0</v>
      </c>
      <c r="BE296" s="1767">
        <v>0</v>
      </c>
      <c r="BF296" s="1767">
        <v>0</v>
      </c>
      <c r="BG296" s="1767">
        <v>0</v>
      </c>
      <c r="BH296" s="1767">
        <v>0</v>
      </c>
      <c r="BI296" s="1767">
        <v>0</v>
      </c>
      <c r="BJ296" s="1767">
        <v>0</v>
      </c>
      <c r="BK296" s="1767">
        <v>0</v>
      </c>
      <c r="BL296" s="1767">
        <v>0</v>
      </c>
      <c r="BM296" s="1767">
        <v>0</v>
      </c>
      <c r="BN296" s="1767">
        <v>0</v>
      </c>
      <c r="BO296" s="1767">
        <v>0</v>
      </c>
      <c r="BP296" s="1767">
        <v>0</v>
      </c>
      <c r="BQ296" s="1767">
        <v>0</v>
      </c>
      <c r="BR296" s="1767">
        <v>0</v>
      </c>
      <c r="BS296" s="1767">
        <v>0</v>
      </c>
      <c r="BT296" s="1767">
        <v>0</v>
      </c>
      <c r="BU296" s="1767">
        <v>0</v>
      </c>
      <c r="BV296" s="1767">
        <v>0</v>
      </c>
      <c r="BW296" s="1767">
        <v>0</v>
      </c>
      <c r="BX296" s="1767">
        <v>0</v>
      </c>
      <c r="BY296" s="1767">
        <v>0</v>
      </c>
      <c r="BZ296" s="1767">
        <v>0</v>
      </c>
      <c r="CA296" s="1767">
        <v>0</v>
      </c>
      <c r="CB296" s="1767">
        <v>0</v>
      </c>
      <c r="CC296" s="1767">
        <v>0</v>
      </c>
      <c r="CD296" s="1767">
        <v>0</v>
      </c>
      <c r="CE296" s="1767">
        <v>0</v>
      </c>
      <c r="CF296" s="1767">
        <v>0</v>
      </c>
      <c r="CG296" s="1767">
        <v>0</v>
      </c>
      <c r="CH296" s="1767">
        <v>0</v>
      </c>
      <c r="CI296" s="1767">
        <v>0</v>
      </c>
      <c r="CJ296" s="1767">
        <v>0</v>
      </c>
      <c r="CK296" s="1767">
        <v>0</v>
      </c>
      <c r="CL296" s="1767">
        <v>0</v>
      </c>
      <c r="CM296" s="1767">
        <v>0</v>
      </c>
      <c r="CN296" s="1767">
        <v>0</v>
      </c>
      <c r="CO296" s="1767">
        <v>0</v>
      </c>
      <c r="CP296" s="1767">
        <v>0</v>
      </c>
    </row>
    <row r="297" spans="1:94" ht="15" customHeight="1" x14ac:dyDescent="0.2">
      <c r="A297" s="1847"/>
      <c r="B297" s="1856"/>
      <c r="C297" s="667" t="s">
        <v>22</v>
      </c>
      <c r="D297" s="936"/>
      <c r="E297" s="1862"/>
      <c r="F297" s="1225"/>
      <c r="G297" s="1767">
        <v>0</v>
      </c>
      <c r="H297" s="1767">
        <v>0</v>
      </c>
      <c r="I297" s="1767">
        <v>0</v>
      </c>
      <c r="J297" s="1767">
        <v>0</v>
      </c>
      <c r="K297" s="1767">
        <v>0</v>
      </c>
      <c r="L297" s="1767">
        <v>0</v>
      </c>
      <c r="M297" s="1767">
        <v>0</v>
      </c>
      <c r="N297" s="1767">
        <v>0</v>
      </c>
      <c r="O297" s="1767">
        <v>0</v>
      </c>
      <c r="P297" s="1767">
        <v>0</v>
      </c>
      <c r="Q297" s="1767">
        <v>0</v>
      </c>
      <c r="R297" s="1767">
        <v>0</v>
      </c>
      <c r="S297" s="1767">
        <v>0</v>
      </c>
      <c r="T297" s="1767">
        <v>0</v>
      </c>
      <c r="U297" s="1767">
        <v>0</v>
      </c>
      <c r="V297" s="1767">
        <v>0</v>
      </c>
      <c r="W297" s="1767">
        <v>0</v>
      </c>
      <c r="X297" s="1767">
        <v>0</v>
      </c>
      <c r="Y297" s="1767">
        <v>0</v>
      </c>
      <c r="Z297" s="1767">
        <v>0</v>
      </c>
      <c r="AA297" s="1767">
        <v>0</v>
      </c>
      <c r="AB297" s="1767">
        <v>0</v>
      </c>
      <c r="AC297" s="1767">
        <v>0</v>
      </c>
      <c r="AD297" s="1767">
        <v>0</v>
      </c>
      <c r="AE297" s="1767">
        <v>0</v>
      </c>
      <c r="AF297" s="1767">
        <v>0</v>
      </c>
      <c r="AG297" s="1767">
        <v>0</v>
      </c>
      <c r="AH297" s="1767">
        <v>0</v>
      </c>
      <c r="AI297" s="1767">
        <v>0</v>
      </c>
      <c r="AJ297" s="1767">
        <v>0</v>
      </c>
      <c r="AK297" s="1767">
        <v>0</v>
      </c>
      <c r="AL297" s="1767">
        <v>0</v>
      </c>
      <c r="AM297" s="1767">
        <v>0</v>
      </c>
      <c r="AN297" s="1767">
        <v>0</v>
      </c>
      <c r="AO297" s="1767">
        <v>0</v>
      </c>
      <c r="AP297" s="1767">
        <v>0</v>
      </c>
      <c r="AQ297" s="1767">
        <v>0</v>
      </c>
      <c r="AR297" s="1767">
        <v>0</v>
      </c>
      <c r="AS297" s="1767">
        <v>0</v>
      </c>
      <c r="AT297" s="1767">
        <v>0</v>
      </c>
      <c r="AU297" s="1767">
        <v>0</v>
      </c>
      <c r="AV297" s="1767">
        <v>0</v>
      </c>
      <c r="AW297" s="1767">
        <v>0</v>
      </c>
      <c r="AX297" s="1767">
        <v>0</v>
      </c>
      <c r="AY297" s="1767">
        <v>0</v>
      </c>
      <c r="AZ297" s="1767">
        <v>0</v>
      </c>
      <c r="BA297" s="1767">
        <v>0</v>
      </c>
      <c r="BB297" s="1767">
        <v>0</v>
      </c>
      <c r="BC297" s="1767">
        <v>0</v>
      </c>
      <c r="BD297" s="1767">
        <v>0</v>
      </c>
      <c r="BE297" s="1767">
        <v>0</v>
      </c>
      <c r="BF297" s="1767">
        <v>0</v>
      </c>
      <c r="BG297" s="1767">
        <v>0</v>
      </c>
      <c r="BH297" s="1767">
        <v>0</v>
      </c>
      <c r="BI297" s="1767">
        <v>0</v>
      </c>
      <c r="BJ297" s="1767">
        <v>0</v>
      </c>
      <c r="BK297" s="1767">
        <v>0</v>
      </c>
      <c r="BL297" s="1767">
        <v>0</v>
      </c>
      <c r="BM297" s="1767">
        <v>0</v>
      </c>
      <c r="BN297" s="1767">
        <v>0</v>
      </c>
      <c r="BO297" s="1767">
        <v>0</v>
      </c>
      <c r="BP297" s="1767">
        <v>0</v>
      </c>
      <c r="BQ297" s="1767">
        <v>0</v>
      </c>
      <c r="BR297" s="1767">
        <v>0</v>
      </c>
      <c r="BS297" s="1767">
        <v>0</v>
      </c>
      <c r="BT297" s="1767">
        <v>0</v>
      </c>
      <c r="BU297" s="1767">
        <v>0</v>
      </c>
      <c r="BV297" s="1767">
        <v>0</v>
      </c>
      <c r="BW297" s="1767">
        <v>0</v>
      </c>
      <c r="BX297" s="1767">
        <v>0</v>
      </c>
      <c r="BY297" s="1767">
        <v>0</v>
      </c>
      <c r="BZ297" s="1767">
        <v>0</v>
      </c>
      <c r="CA297" s="1767">
        <v>0</v>
      </c>
      <c r="CB297" s="1767">
        <v>0</v>
      </c>
      <c r="CC297" s="1767">
        <v>0</v>
      </c>
      <c r="CD297" s="1767">
        <v>0</v>
      </c>
      <c r="CE297" s="1767">
        <v>0</v>
      </c>
      <c r="CF297" s="1767">
        <v>0</v>
      </c>
      <c r="CG297" s="1767">
        <v>0</v>
      </c>
      <c r="CH297" s="1767">
        <v>0</v>
      </c>
      <c r="CI297" s="1767">
        <v>0</v>
      </c>
      <c r="CJ297" s="1767">
        <v>0</v>
      </c>
      <c r="CK297" s="1767">
        <v>0</v>
      </c>
      <c r="CL297" s="1767">
        <v>0</v>
      </c>
      <c r="CM297" s="1767">
        <v>0</v>
      </c>
      <c r="CN297" s="1767">
        <v>0</v>
      </c>
      <c r="CO297" s="1767">
        <v>0</v>
      </c>
      <c r="CP297" s="1767">
        <v>0</v>
      </c>
    </row>
    <row r="298" spans="1:94" ht="15" customHeight="1" x14ac:dyDescent="0.2">
      <c r="A298" s="1847"/>
      <c r="B298" s="1856"/>
      <c r="C298" s="653" t="s">
        <v>76</v>
      </c>
      <c r="D298" s="936"/>
      <c r="E298" s="1862"/>
      <c r="F298" s="1225"/>
      <c r="G298" s="1767">
        <v>0</v>
      </c>
      <c r="H298" s="1767">
        <v>0</v>
      </c>
      <c r="I298" s="1767">
        <v>0</v>
      </c>
      <c r="J298" s="1767">
        <v>0</v>
      </c>
      <c r="K298" s="1767">
        <v>0</v>
      </c>
      <c r="L298" s="1767">
        <v>0</v>
      </c>
      <c r="M298" s="1767">
        <v>0</v>
      </c>
      <c r="N298" s="1767">
        <v>0</v>
      </c>
      <c r="O298" s="1767">
        <v>0</v>
      </c>
      <c r="P298" s="1767">
        <v>0</v>
      </c>
      <c r="Q298" s="1767">
        <v>0</v>
      </c>
      <c r="R298" s="1767">
        <v>0</v>
      </c>
      <c r="S298" s="1767">
        <v>0</v>
      </c>
      <c r="T298" s="1767">
        <v>0</v>
      </c>
      <c r="U298" s="1767">
        <v>0</v>
      </c>
      <c r="V298" s="1767">
        <v>0</v>
      </c>
      <c r="W298" s="1767">
        <v>0</v>
      </c>
      <c r="X298" s="1767">
        <v>0</v>
      </c>
      <c r="Y298" s="1767">
        <v>0</v>
      </c>
      <c r="Z298" s="1767">
        <v>0</v>
      </c>
      <c r="AA298" s="1767">
        <v>0</v>
      </c>
      <c r="AB298" s="1767">
        <v>0</v>
      </c>
      <c r="AC298" s="1767">
        <v>0</v>
      </c>
      <c r="AD298" s="1767">
        <v>0</v>
      </c>
      <c r="AE298" s="1767">
        <v>0</v>
      </c>
      <c r="AF298" s="1767">
        <v>0</v>
      </c>
      <c r="AG298" s="1767">
        <v>0</v>
      </c>
      <c r="AH298" s="1767">
        <v>0</v>
      </c>
      <c r="AI298" s="1767">
        <v>0</v>
      </c>
      <c r="AJ298" s="1767">
        <v>0</v>
      </c>
      <c r="AK298" s="1767">
        <v>0</v>
      </c>
      <c r="AL298" s="1767">
        <v>0</v>
      </c>
      <c r="AM298" s="1767">
        <v>0</v>
      </c>
      <c r="AN298" s="1767">
        <v>0</v>
      </c>
      <c r="AO298" s="1767">
        <v>0</v>
      </c>
      <c r="AP298" s="1767">
        <v>0</v>
      </c>
      <c r="AQ298" s="1767">
        <v>0</v>
      </c>
      <c r="AR298" s="1767">
        <v>0</v>
      </c>
      <c r="AS298" s="1767">
        <v>0</v>
      </c>
      <c r="AT298" s="1767">
        <v>0</v>
      </c>
      <c r="AU298" s="1767">
        <v>0</v>
      </c>
      <c r="AV298" s="1767">
        <v>0</v>
      </c>
      <c r="AW298" s="1767">
        <v>0</v>
      </c>
      <c r="AX298" s="1767">
        <v>0</v>
      </c>
      <c r="AY298" s="1767">
        <v>0</v>
      </c>
      <c r="AZ298" s="1767">
        <v>0</v>
      </c>
      <c r="BA298" s="1767">
        <v>0</v>
      </c>
      <c r="BB298" s="1767">
        <v>0</v>
      </c>
      <c r="BC298" s="1767">
        <v>0</v>
      </c>
      <c r="BD298" s="1767">
        <v>0</v>
      </c>
      <c r="BE298" s="1767">
        <v>0</v>
      </c>
      <c r="BF298" s="1767">
        <v>0</v>
      </c>
      <c r="BG298" s="1767">
        <v>0</v>
      </c>
      <c r="BH298" s="1767">
        <v>0</v>
      </c>
      <c r="BI298" s="1767">
        <v>0</v>
      </c>
      <c r="BJ298" s="1767">
        <v>0</v>
      </c>
      <c r="BK298" s="1767">
        <v>0</v>
      </c>
      <c r="BL298" s="1767">
        <v>0</v>
      </c>
      <c r="BM298" s="1767">
        <v>0</v>
      </c>
      <c r="BN298" s="1767">
        <v>0</v>
      </c>
      <c r="BO298" s="1767">
        <v>0</v>
      </c>
      <c r="BP298" s="1767">
        <v>0</v>
      </c>
      <c r="BQ298" s="1767">
        <v>0</v>
      </c>
      <c r="BR298" s="1767">
        <v>0</v>
      </c>
      <c r="BS298" s="1767">
        <v>0</v>
      </c>
      <c r="BT298" s="1767">
        <v>0</v>
      </c>
      <c r="BU298" s="1767">
        <v>0</v>
      </c>
      <c r="BV298" s="1767">
        <v>0</v>
      </c>
      <c r="BW298" s="1767">
        <v>0</v>
      </c>
      <c r="BX298" s="1767">
        <v>0</v>
      </c>
      <c r="BY298" s="1767">
        <v>0</v>
      </c>
      <c r="BZ298" s="1767">
        <v>0</v>
      </c>
      <c r="CA298" s="1767">
        <v>0</v>
      </c>
      <c r="CB298" s="1767">
        <v>0</v>
      </c>
      <c r="CC298" s="1767">
        <v>0</v>
      </c>
      <c r="CD298" s="1767">
        <v>0</v>
      </c>
      <c r="CE298" s="1767">
        <v>0</v>
      </c>
      <c r="CF298" s="1767">
        <v>0</v>
      </c>
      <c r="CG298" s="1767">
        <v>0</v>
      </c>
      <c r="CH298" s="1767">
        <v>0</v>
      </c>
      <c r="CI298" s="1767">
        <v>0</v>
      </c>
      <c r="CJ298" s="1767">
        <v>0</v>
      </c>
      <c r="CK298" s="1767">
        <v>0</v>
      </c>
      <c r="CL298" s="1767">
        <v>0</v>
      </c>
      <c r="CM298" s="1767">
        <v>0</v>
      </c>
      <c r="CN298" s="1767">
        <v>0</v>
      </c>
      <c r="CO298" s="1767">
        <v>0</v>
      </c>
      <c r="CP298" s="1767">
        <v>0</v>
      </c>
    </row>
    <row r="299" spans="1:94" ht="15" customHeight="1" thickBot="1" x14ac:dyDescent="0.25">
      <c r="A299" s="1848"/>
      <c r="B299" s="1857"/>
      <c r="C299" s="654" t="s">
        <v>2113</v>
      </c>
      <c r="D299" s="950"/>
      <c r="E299" s="1863"/>
      <c r="F299" s="1225"/>
      <c r="G299" s="1767">
        <v>0</v>
      </c>
      <c r="H299" s="1767">
        <v>0</v>
      </c>
      <c r="I299" s="1767">
        <v>0</v>
      </c>
      <c r="J299" s="1767">
        <v>0</v>
      </c>
      <c r="K299" s="1767">
        <v>0</v>
      </c>
      <c r="L299" s="1767">
        <v>0</v>
      </c>
      <c r="M299" s="1767">
        <v>0</v>
      </c>
      <c r="N299" s="1767">
        <v>0</v>
      </c>
      <c r="O299" s="1767">
        <v>0</v>
      </c>
      <c r="P299" s="1767">
        <v>0</v>
      </c>
      <c r="Q299" s="1767">
        <v>0</v>
      </c>
      <c r="R299" s="1767">
        <v>0</v>
      </c>
      <c r="S299" s="1767">
        <v>0</v>
      </c>
      <c r="T299" s="1767">
        <v>0</v>
      </c>
      <c r="U299" s="1767">
        <v>0</v>
      </c>
      <c r="V299" s="1767">
        <v>0</v>
      </c>
      <c r="W299" s="1767">
        <v>0</v>
      </c>
      <c r="X299" s="1767">
        <v>0</v>
      </c>
      <c r="Y299" s="1767">
        <v>0</v>
      </c>
      <c r="Z299" s="1767">
        <v>0</v>
      </c>
      <c r="AA299" s="1767">
        <v>0</v>
      </c>
      <c r="AB299" s="1767">
        <v>0</v>
      </c>
      <c r="AC299" s="1767">
        <v>0</v>
      </c>
      <c r="AD299" s="1767">
        <v>0</v>
      </c>
      <c r="AE299" s="1767">
        <v>0</v>
      </c>
      <c r="AF299" s="1767">
        <v>0</v>
      </c>
      <c r="AG299" s="1767">
        <v>0</v>
      </c>
      <c r="AH299" s="1767">
        <v>0</v>
      </c>
      <c r="AI299" s="1767">
        <v>0</v>
      </c>
      <c r="AJ299" s="1767">
        <v>0</v>
      </c>
      <c r="AK299" s="1767">
        <v>0</v>
      </c>
      <c r="AL299" s="1767">
        <v>0</v>
      </c>
      <c r="AM299" s="1767">
        <v>0</v>
      </c>
      <c r="AN299" s="1767">
        <v>0</v>
      </c>
      <c r="AO299" s="1767">
        <v>0</v>
      </c>
      <c r="AP299" s="1767">
        <v>0</v>
      </c>
      <c r="AQ299" s="1767">
        <v>0</v>
      </c>
      <c r="AR299" s="1767">
        <v>0</v>
      </c>
      <c r="AS299" s="1767">
        <v>0</v>
      </c>
      <c r="AT299" s="1767">
        <v>0</v>
      </c>
      <c r="AU299" s="1767">
        <v>0</v>
      </c>
      <c r="AV299" s="1767">
        <v>0</v>
      </c>
      <c r="AW299" s="1767">
        <v>0</v>
      </c>
      <c r="AX299" s="1767">
        <v>0</v>
      </c>
      <c r="AY299" s="1767">
        <v>0</v>
      </c>
      <c r="AZ299" s="1767">
        <v>0</v>
      </c>
      <c r="BA299" s="1767">
        <v>0</v>
      </c>
      <c r="BB299" s="1767">
        <v>0</v>
      </c>
      <c r="BC299" s="1767">
        <v>0</v>
      </c>
      <c r="BD299" s="1767">
        <v>0</v>
      </c>
      <c r="BE299" s="1767">
        <v>0</v>
      </c>
      <c r="BF299" s="1767">
        <v>0</v>
      </c>
      <c r="BG299" s="1767">
        <v>0</v>
      </c>
      <c r="BH299" s="1767">
        <v>0</v>
      </c>
      <c r="BI299" s="1767">
        <v>0</v>
      </c>
      <c r="BJ299" s="1767">
        <v>0</v>
      </c>
      <c r="BK299" s="1767">
        <v>0</v>
      </c>
      <c r="BL299" s="1767">
        <v>0</v>
      </c>
      <c r="BM299" s="1767">
        <v>0</v>
      </c>
      <c r="BN299" s="1767">
        <v>0</v>
      </c>
      <c r="BO299" s="1767">
        <v>0</v>
      </c>
      <c r="BP299" s="1767">
        <v>0</v>
      </c>
      <c r="BQ299" s="1767">
        <v>0</v>
      </c>
      <c r="BR299" s="1767">
        <v>0</v>
      </c>
      <c r="BS299" s="1767">
        <v>0</v>
      </c>
      <c r="BT299" s="1767">
        <v>0</v>
      </c>
      <c r="BU299" s="1767">
        <v>0</v>
      </c>
      <c r="BV299" s="1767">
        <v>0</v>
      </c>
      <c r="BW299" s="1767">
        <v>0</v>
      </c>
      <c r="BX299" s="1767">
        <v>0</v>
      </c>
      <c r="BY299" s="1767">
        <v>0</v>
      </c>
      <c r="BZ299" s="1767">
        <v>0</v>
      </c>
      <c r="CA299" s="1767">
        <v>0</v>
      </c>
      <c r="CB299" s="1767">
        <v>0</v>
      </c>
      <c r="CC299" s="1767">
        <v>0</v>
      </c>
      <c r="CD299" s="1767">
        <v>0</v>
      </c>
      <c r="CE299" s="1767">
        <v>0</v>
      </c>
      <c r="CF299" s="1767">
        <v>0</v>
      </c>
      <c r="CG299" s="1767">
        <v>0</v>
      </c>
      <c r="CH299" s="1767">
        <v>0</v>
      </c>
      <c r="CI299" s="1767">
        <v>0</v>
      </c>
      <c r="CJ299" s="1767">
        <v>0</v>
      </c>
      <c r="CK299" s="1767">
        <v>0</v>
      </c>
      <c r="CL299" s="1767">
        <v>0</v>
      </c>
      <c r="CM299" s="1767">
        <v>0</v>
      </c>
      <c r="CN299" s="1767">
        <v>0</v>
      </c>
      <c r="CO299" s="1767">
        <v>0</v>
      </c>
      <c r="CP299" s="1767">
        <v>0</v>
      </c>
    </row>
    <row r="300" spans="1:94" ht="30" customHeight="1" thickBot="1" x14ac:dyDescent="0.25">
      <c r="A300" s="668" t="s">
        <v>258</v>
      </c>
      <c r="B300" s="937" t="s">
        <v>487</v>
      </c>
      <c r="C300" s="1777" t="s">
        <v>551</v>
      </c>
      <c r="D300" s="953"/>
      <c r="E300" s="954" t="s">
        <v>2066</v>
      </c>
      <c r="F300" s="1225"/>
      <c r="G300" s="1767">
        <v>0</v>
      </c>
      <c r="H300" s="1769">
        <v>0</v>
      </c>
      <c r="I300" s="1769">
        <v>0</v>
      </c>
      <c r="J300" s="1769">
        <v>0</v>
      </c>
      <c r="K300" s="1769">
        <v>0</v>
      </c>
      <c r="L300" s="1769">
        <v>0</v>
      </c>
      <c r="M300" s="1769">
        <v>0</v>
      </c>
      <c r="N300" s="1769">
        <v>0</v>
      </c>
      <c r="O300" s="1769">
        <v>0</v>
      </c>
      <c r="P300" s="1769">
        <v>0</v>
      </c>
      <c r="Q300" s="1769">
        <v>0</v>
      </c>
      <c r="R300" s="1769">
        <v>0</v>
      </c>
      <c r="S300" s="1769">
        <v>0</v>
      </c>
      <c r="T300" s="1769">
        <v>0</v>
      </c>
      <c r="U300" s="1769">
        <v>0</v>
      </c>
      <c r="V300" s="1769">
        <v>0</v>
      </c>
      <c r="W300" s="1769">
        <v>0</v>
      </c>
      <c r="X300" s="1769">
        <v>0</v>
      </c>
      <c r="Y300" s="1769">
        <v>0</v>
      </c>
      <c r="Z300" s="1769">
        <v>0</v>
      </c>
      <c r="AA300" s="1769">
        <v>0</v>
      </c>
      <c r="AB300" s="1769">
        <v>0</v>
      </c>
      <c r="AC300" s="1769">
        <v>0</v>
      </c>
      <c r="AD300" s="1769">
        <v>0</v>
      </c>
      <c r="AE300" s="1769">
        <v>0</v>
      </c>
      <c r="AF300" s="1769">
        <v>0</v>
      </c>
      <c r="AG300" s="1769">
        <v>0</v>
      </c>
      <c r="AH300" s="1769">
        <v>0</v>
      </c>
      <c r="AI300" s="1769">
        <v>0</v>
      </c>
      <c r="AJ300" s="1769">
        <v>0</v>
      </c>
      <c r="AK300" s="1769">
        <v>0</v>
      </c>
      <c r="AL300" s="1769">
        <v>0</v>
      </c>
      <c r="AM300" s="1769">
        <v>0</v>
      </c>
      <c r="AN300" s="1769">
        <v>0</v>
      </c>
      <c r="AO300" s="1769">
        <v>0</v>
      </c>
      <c r="AP300" s="1769">
        <v>0</v>
      </c>
      <c r="AQ300" s="1769">
        <v>0</v>
      </c>
      <c r="AR300" s="1769">
        <v>0</v>
      </c>
      <c r="AS300" s="1769">
        <v>0</v>
      </c>
      <c r="AT300" s="1769">
        <v>0</v>
      </c>
      <c r="AU300" s="1769">
        <v>0</v>
      </c>
      <c r="AV300" s="1769">
        <v>0</v>
      </c>
      <c r="AW300" s="1769">
        <v>0</v>
      </c>
      <c r="AX300" s="1769">
        <v>0</v>
      </c>
      <c r="AY300" s="1769">
        <v>0</v>
      </c>
      <c r="AZ300" s="1769">
        <v>0</v>
      </c>
      <c r="BA300" s="1769">
        <v>0</v>
      </c>
      <c r="BB300" s="1769">
        <v>0</v>
      </c>
      <c r="BC300" s="1769">
        <v>0</v>
      </c>
      <c r="BD300" s="1769">
        <v>0</v>
      </c>
      <c r="BE300" s="1769">
        <v>0</v>
      </c>
      <c r="BF300" s="1769">
        <v>0</v>
      </c>
      <c r="BG300" s="1769">
        <v>0</v>
      </c>
      <c r="BH300" s="1769">
        <v>0</v>
      </c>
      <c r="BI300" s="1769">
        <v>0</v>
      </c>
      <c r="BJ300" s="1769">
        <v>0</v>
      </c>
      <c r="BK300" s="1769">
        <v>0</v>
      </c>
      <c r="BL300" s="1769">
        <v>0</v>
      </c>
      <c r="BM300" s="1769">
        <v>0</v>
      </c>
      <c r="BN300" s="1769">
        <v>0</v>
      </c>
      <c r="BO300" s="1769">
        <v>0</v>
      </c>
      <c r="BP300" s="1769">
        <v>0</v>
      </c>
      <c r="BQ300" s="1769">
        <v>0</v>
      </c>
      <c r="BR300" s="1769">
        <v>0</v>
      </c>
      <c r="BS300" s="1769">
        <v>0</v>
      </c>
      <c r="BT300" s="1769">
        <v>0</v>
      </c>
      <c r="BU300" s="1769">
        <v>0</v>
      </c>
      <c r="BV300" s="1769">
        <v>0</v>
      </c>
      <c r="BW300" s="1769">
        <v>0</v>
      </c>
      <c r="BX300" s="1769">
        <v>0</v>
      </c>
      <c r="BY300" s="1769">
        <v>0</v>
      </c>
      <c r="BZ300" s="1769">
        <v>0</v>
      </c>
      <c r="CA300" s="1769">
        <v>0</v>
      </c>
      <c r="CB300" s="1769">
        <v>0</v>
      </c>
      <c r="CC300" s="1769">
        <v>0</v>
      </c>
      <c r="CD300" s="1769">
        <v>0</v>
      </c>
      <c r="CE300" s="1769">
        <v>0</v>
      </c>
      <c r="CF300" s="1769">
        <v>0</v>
      </c>
      <c r="CG300" s="1769">
        <v>0</v>
      </c>
      <c r="CH300" s="1769">
        <v>0</v>
      </c>
      <c r="CI300" s="1769">
        <v>0</v>
      </c>
      <c r="CJ300" s="1769">
        <v>0</v>
      </c>
      <c r="CK300" s="1769">
        <v>0</v>
      </c>
      <c r="CL300" s="1769">
        <v>0</v>
      </c>
      <c r="CM300" s="1769">
        <v>0</v>
      </c>
      <c r="CN300" s="1769">
        <v>0</v>
      </c>
      <c r="CO300" s="1769">
        <v>0</v>
      </c>
      <c r="CP300" s="1769">
        <v>0</v>
      </c>
    </row>
    <row r="301" spans="1:94" ht="45" customHeight="1" thickBot="1" x14ac:dyDescent="0.25">
      <c r="A301" s="668" t="s">
        <v>244</v>
      </c>
      <c r="B301" s="718" t="s">
        <v>488</v>
      </c>
      <c r="C301" s="1777" t="s">
        <v>491</v>
      </c>
      <c r="D301" s="953"/>
      <c r="E301" s="957" t="s">
        <v>1825</v>
      </c>
      <c r="F301" s="1225"/>
      <c r="G301" s="1767">
        <v>0</v>
      </c>
      <c r="H301" s="1769">
        <v>0</v>
      </c>
      <c r="I301" s="1769">
        <v>0</v>
      </c>
      <c r="J301" s="1769">
        <v>0</v>
      </c>
      <c r="K301" s="1769">
        <v>0</v>
      </c>
      <c r="L301" s="1769">
        <v>0</v>
      </c>
      <c r="M301" s="1769">
        <v>0</v>
      </c>
      <c r="N301" s="1769">
        <v>0</v>
      </c>
      <c r="O301" s="1769">
        <v>0</v>
      </c>
      <c r="P301" s="1769">
        <v>0</v>
      </c>
      <c r="Q301" s="1769">
        <v>0</v>
      </c>
      <c r="R301" s="1769">
        <v>0</v>
      </c>
      <c r="S301" s="1769">
        <v>0</v>
      </c>
      <c r="T301" s="1769">
        <v>0</v>
      </c>
      <c r="U301" s="1769">
        <v>0</v>
      </c>
      <c r="V301" s="1769">
        <v>0</v>
      </c>
      <c r="W301" s="1769">
        <v>0</v>
      </c>
      <c r="X301" s="1769">
        <v>0</v>
      </c>
      <c r="Y301" s="1769">
        <v>0</v>
      </c>
      <c r="Z301" s="1769">
        <v>0</v>
      </c>
      <c r="AA301" s="1769">
        <v>0</v>
      </c>
      <c r="AB301" s="1769">
        <v>0</v>
      </c>
      <c r="AC301" s="1769">
        <v>0</v>
      </c>
      <c r="AD301" s="1769">
        <v>0</v>
      </c>
      <c r="AE301" s="1769">
        <v>0</v>
      </c>
      <c r="AF301" s="1769">
        <v>0</v>
      </c>
      <c r="AG301" s="1769">
        <v>0</v>
      </c>
      <c r="AH301" s="1769">
        <v>0</v>
      </c>
      <c r="AI301" s="1769">
        <v>0</v>
      </c>
      <c r="AJ301" s="1769">
        <v>0</v>
      </c>
      <c r="AK301" s="1769">
        <v>0</v>
      </c>
      <c r="AL301" s="1769">
        <v>0</v>
      </c>
      <c r="AM301" s="1769">
        <v>0</v>
      </c>
      <c r="AN301" s="1769">
        <v>0</v>
      </c>
      <c r="AO301" s="1769">
        <v>0</v>
      </c>
      <c r="AP301" s="1769">
        <v>0</v>
      </c>
      <c r="AQ301" s="1769">
        <v>0</v>
      </c>
      <c r="AR301" s="1769">
        <v>0</v>
      </c>
      <c r="AS301" s="1769">
        <v>0</v>
      </c>
      <c r="AT301" s="1769">
        <v>0</v>
      </c>
      <c r="AU301" s="1769">
        <v>0</v>
      </c>
      <c r="AV301" s="1769">
        <v>0</v>
      </c>
      <c r="AW301" s="1769">
        <v>0</v>
      </c>
      <c r="AX301" s="1769">
        <v>0</v>
      </c>
      <c r="AY301" s="1769">
        <v>0</v>
      </c>
      <c r="AZ301" s="1769">
        <v>0</v>
      </c>
      <c r="BA301" s="1769">
        <v>0</v>
      </c>
      <c r="BB301" s="1769">
        <v>0</v>
      </c>
      <c r="BC301" s="1769">
        <v>0</v>
      </c>
      <c r="BD301" s="1769">
        <v>0</v>
      </c>
      <c r="BE301" s="1769">
        <v>0</v>
      </c>
      <c r="BF301" s="1769">
        <v>0</v>
      </c>
      <c r="BG301" s="1769">
        <v>0</v>
      </c>
      <c r="BH301" s="1769">
        <v>0</v>
      </c>
      <c r="BI301" s="1769">
        <v>0</v>
      </c>
      <c r="BJ301" s="1769">
        <v>0</v>
      </c>
      <c r="BK301" s="1769">
        <v>0</v>
      </c>
      <c r="BL301" s="1769">
        <v>0</v>
      </c>
      <c r="BM301" s="1769">
        <v>0</v>
      </c>
      <c r="BN301" s="1769">
        <v>0</v>
      </c>
      <c r="BO301" s="1769">
        <v>0</v>
      </c>
      <c r="BP301" s="1769">
        <v>0</v>
      </c>
      <c r="BQ301" s="1769">
        <v>0</v>
      </c>
      <c r="BR301" s="1769">
        <v>0</v>
      </c>
      <c r="BS301" s="1769">
        <v>0</v>
      </c>
      <c r="BT301" s="1769">
        <v>0</v>
      </c>
      <c r="BU301" s="1769">
        <v>0</v>
      </c>
      <c r="BV301" s="1769">
        <v>0</v>
      </c>
      <c r="BW301" s="1769">
        <v>0</v>
      </c>
      <c r="BX301" s="1769">
        <v>0</v>
      </c>
      <c r="BY301" s="1769">
        <v>0</v>
      </c>
      <c r="BZ301" s="1769">
        <v>0</v>
      </c>
      <c r="CA301" s="1769">
        <v>0</v>
      </c>
      <c r="CB301" s="1769">
        <v>0</v>
      </c>
      <c r="CC301" s="1769">
        <v>0</v>
      </c>
      <c r="CD301" s="1769">
        <v>0</v>
      </c>
      <c r="CE301" s="1769">
        <v>0</v>
      </c>
      <c r="CF301" s="1769">
        <v>0</v>
      </c>
      <c r="CG301" s="1769">
        <v>0</v>
      </c>
      <c r="CH301" s="1769">
        <v>0</v>
      </c>
      <c r="CI301" s="1769">
        <v>0</v>
      </c>
      <c r="CJ301" s="1769">
        <v>0</v>
      </c>
      <c r="CK301" s="1769">
        <v>0</v>
      </c>
      <c r="CL301" s="1769">
        <v>0</v>
      </c>
      <c r="CM301" s="1769">
        <v>0</v>
      </c>
      <c r="CN301" s="1769">
        <v>0</v>
      </c>
      <c r="CO301" s="1769">
        <v>0</v>
      </c>
      <c r="CP301" s="1769">
        <v>0</v>
      </c>
    </row>
    <row r="302" spans="1:94" ht="30" customHeight="1" thickBot="1" x14ac:dyDescent="0.25">
      <c r="A302" s="1856" t="s">
        <v>245</v>
      </c>
      <c r="B302" s="1856" t="s">
        <v>35</v>
      </c>
      <c r="C302" s="1789" t="s">
        <v>2539</v>
      </c>
      <c r="D302" s="975"/>
      <c r="E302" s="1831" t="s">
        <v>2064</v>
      </c>
      <c r="F302" s="1225"/>
      <c r="G302" s="1742"/>
      <c r="H302" s="1742"/>
      <c r="I302" s="1742"/>
      <c r="J302" s="1742"/>
      <c r="K302" s="1742"/>
      <c r="L302" s="1742"/>
      <c r="M302" s="1742"/>
      <c r="N302" s="1742"/>
      <c r="O302" s="1742"/>
      <c r="P302" s="1742"/>
      <c r="Q302" s="1742"/>
      <c r="R302" s="1742"/>
      <c r="S302" s="1742"/>
      <c r="T302" s="1742"/>
      <c r="U302" s="1742"/>
      <c r="V302" s="1742"/>
      <c r="W302" s="1742"/>
      <c r="X302" s="1742"/>
      <c r="Y302" s="1742"/>
      <c r="Z302" s="1742"/>
      <c r="AA302" s="1742"/>
      <c r="AB302" s="1742"/>
      <c r="AC302" s="1742"/>
      <c r="AD302" s="1742"/>
      <c r="AE302" s="1742"/>
      <c r="AF302" s="1742"/>
      <c r="AG302" s="1742"/>
      <c r="AH302" s="1742"/>
      <c r="AI302" s="1742"/>
      <c r="AJ302" s="1742"/>
      <c r="AK302" s="1742"/>
      <c r="AL302" s="1742"/>
      <c r="AM302" s="1742"/>
      <c r="AN302" s="1742"/>
      <c r="AO302" s="1742"/>
      <c r="AP302" s="1742"/>
      <c r="AQ302" s="1742"/>
      <c r="AR302" s="1742"/>
      <c r="AS302" s="1742"/>
      <c r="AT302" s="1742"/>
      <c r="AU302" s="1742"/>
      <c r="AV302" s="1742"/>
      <c r="AW302" s="1742"/>
      <c r="AX302" s="1742"/>
      <c r="AY302" s="1742"/>
      <c r="AZ302" s="1742"/>
      <c r="BA302" s="1742"/>
      <c r="BB302" s="1742"/>
      <c r="BC302" s="1742"/>
      <c r="BD302" s="1742"/>
      <c r="BE302" s="1742"/>
      <c r="BF302" s="1742"/>
      <c r="BG302" s="1742"/>
      <c r="BH302" s="1742"/>
      <c r="BI302" s="1742"/>
      <c r="BJ302" s="1742"/>
      <c r="BK302" s="1742"/>
      <c r="BL302" s="1742"/>
      <c r="BM302" s="1742"/>
      <c r="BN302" s="1742"/>
      <c r="BO302" s="1742"/>
      <c r="BP302" s="1742"/>
      <c r="BQ302" s="1742"/>
      <c r="BR302" s="1742"/>
      <c r="BS302" s="1742"/>
      <c r="BT302" s="1742"/>
      <c r="BU302" s="1742"/>
      <c r="BV302" s="1742"/>
      <c r="BW302" s="1742"/>
      <c r="BX302" s="1742"/>
      <c r="BY302" s="1742"/>
      <c r="BZ302" s="1742"/>
      <c r="CA302" s="1742"/>
      <c r="CB302" s="1742"/>
      <c r="CC302" s="1742"/>
      <c r="CD302" s="1742"/>
      <c r="CE302" s="1742"/>
      <c r="CF302" s="1742"/>
      <c r="CG302" s="1742"/>
      <c r="CH302" s="1742"/>
      <c r="CI302" s="1742"/>
      <c r="CJ302" s="1742"/>
      <c r="CK302" s="1742"/>
      <c r="CL302" s="1742"/>
      <c r="CM302" s="1742"/>
      <c r="CN302" s="1742"/>
      <c r="CO302" s="1742"/>
      <c r="CP302" s="1742"/>
    </row>
    <row r="303" spans="1:94" ht="15" customHeight="1" x14ac:dyDescent="0.2">
      <c r="A303" s="1856"/>
      <c r="B303" s="1856"/>
      <c r="C303" s="660" t="s">
        <v>2141</v>
      </c>
      <c r="D303" s="936"/>
      <c r="E303" s="1831"/>
      <c r="F303" s="1225"/>
      <c r="G303" s="1767">
        <v>0</v>
      </c>
      <c r="H303" s="1767">
        <v>0</v>
      </c>
      <c r="I303" s="1767">
        <v>0</v>
      </c>
      <c r="J303" s="1767">
        <v>0</v>
      </c>
      <c r="K303" s="1767">
        <v>0</v>
      </c>
      <c r="L303" s="1767">
        <v>0</v>
      </c>
      <c r="M303" s="1767">
        <v>0</v>
      </c>
      <c r="N303" s="1767">
        <v>0</v>
      </c>
      <c r="O303" s="1767">
        <v>0</v>
      </c>
      <c r="P303" s="1767">
        <v>0</v>
      </c>
      <c r="Q303" s="1767">
        <v>0</v>
      </c>
      <c r="R303" s="1767">
        <v>0</v>
      </c>
      <c r="S303" s="1767">
        <v>0</v>
      </c>
      <c r="T303" s="1767">
        <v>0</v>
      </c>
      <c r="U303" s="1767">
        <v>0</v>
      </c>
      <c r="V303" s="1767">
        <v>0</v>
      </c>
      <c r="W303" s="1767">
        <v>0</v>
      </c>
      <c r="X303" s="1767">
        <v>0</v>
      </c>
      <c r="Y303" s="1767">
        <v>0</v>
      </c>
      <c r="Z303" s="1767">
        <v>0</v>
      </c>
      <c r="AA303" s="1767">
        <v>0</v>
      </c>
      <c r="AB303" s="1767">
        <v>0</v>
      </c>
      <c r="AC303" s="1767">
        <v>0</v>
      </c>
      <c r="AD303" s="1767">
        <v>0</v>
      </c>
      <c r="AE303" s="1767">
        <v>0</v>
      </c>
      <c r="AF303" s="1767">
        <v>0</v>
      </c>
      <c r="AG303" s="1767">
        <v>0</v>
      </c>
      <c r="AH303" s="1767">
        <v>0</v>
      </c>
      <c r="AI303" s="1767">
        <v>0</v>
      </c>
      <c r="AJ303" s="1767">
        <v>0</v>
      </c>
      <c r="AK303" s="1767">
        <v>0</v>
      </c>
      <c r="AL303" s="1767">
        <v>0</v>
      </c>
      <c r="AM303" s="1767">
        <v>0</v>
      </c>
      <c r="AN303" s="1767">
        <v>0</v>
      </c>
      <c r="AO303" s="1767">
        <v>0</v>
      </c>
      <c r="AP303" s="1767">
        <v>0</v>
      </c>
      <c r="AQ303" s="1767">
        <v>0</v>
      </c>
      <c r="AR303" s="1767">
        <v>0</v>
      </c>
      <c r="AS303" s="1767">
        <v>0</v>
      </c>
      <c r="AT303" s="1767">
        <v>0</v>
      </c>
      <c r="AU303" s="1767">
        <v>0</v>
      </c>
      <c r="AV303" s="1767">
        <v>0</v>
      </c>
      <c r="AW303" s="1767">
        <v>0</v>
      </c>
      <c r="AX303" s="1767">
        <v>0</v>
      </c>
      <c r="AY303" s="1767">
        <v>0</v>
      </c>
      <c r="AZ303" s="1767">
        <v>0</v>
      </c>
      <c r="BA303" s="1767">
        <v>0</v>
      </c>
      <c r="BB303" s="1767">
        <v>0</v>
      </c>
      <c r="BC303" s="1767">
        <v>0</v>
      </c>
      <c r="BD303" s="1767">
        <v>0</v>
      </c>
      <c r="BE303" s="1767">
        <v>0</v>
      </c>
      <c r="BF303" s="1767">
        <v>0</v>
      </c>
      <c r="BG303" s="1767">
        <v>0</v>
      </c>
      <c r="BH303" s="1767">
        <v>0</v>
      </c>
      <c r="BI303" s="1767">
        <v>0</v>
      </c>
      <c r="BJ303" s="1767">
        <v>0</v>
      </c>
      <c r="BK303" s="1767">
        <v>0</v>
      </c>
      <c r="BL303" s="1767">
        <v>0</v>
      </c>
      <c r="BM303" s="1767">
        <v>0</v>
      </c>
      <c r="BN303" s="1767">
        <v>0</v>
      </c>
      <c r="BO303" s="1767">
        <v>0</v>
      </c>
      <c r="BP303" s="1767">
        <v>0</v>
      </c>
      <c r="BQ303" s="1767">
        <v>0</v>
      </c>
      <c r="BR303" s="1767">
        <v>0</v>
      </c>
      <c r="BS303" s="1767">
        <v>0</v>
      </c>
      <c r="BT303" s="1767">
        <v>0</v>
      </c>
      <c r="BU303" s="1767">
        <v>0</v>
      </c>
      <c r="BV303" s="1767">
        <v>0</v>
      </c>
      <c r="BW303" s="1767">
        <v>0</v>
      </c>
      <c r="BX303" s="1767">
        <v>0</v>
      </c>
      <c r="BY303" s="1767">
        <v>0</v>
      </c>
      <c r="BZ303" s="1767">
        <v>0</v>
      </c>
      <c r="CA303" s="1767">
        <v>0</v>
      </c>
      <c r="CB303" s="1767">
        <v>0</v>
      </c>
      <c r="CC303" s="1767">
        <v>0</v>
      </c>
      <c r="CD303" s="1767">
        <v>0</v>
      </c>
      <c r="CE303" s="1767">
        <v>0</v>
      </c>
      <c r="CF303" s="1767">
        <v>0</v>
      </c>
      <c r="CG303" s="1767">
        <v>0</v>
      </c>
      <c r="CH303" s="1767">
        <v>0</v>
      </c>
      <c r="CI303" s="1767">
        <v>0</v>
      </c>
      <c r="CJ303" s="1767">
        <v>0</v>
      </c>
      <c r="CK303" s="1767">
        <v>0</v>
      </c>
      <c r="CL303" s="1767">
        <v>0</v>
      </c>
      <c r="CM303" s="1767">
        <v>0</v>
      </c>
      <c r="CN303" s="1767">
        <v>0</v>
      </c>
      <c r="CO303" s="1767">
        <v>0</v>
      </c>
      <c r="CP303" s="1767">
        <v>0</v>
      </c>
    </row>
    <row r="304" spans="1:94" ht="15" customHeight="1" x14ac:dyDescent="0.2">
      <c r="A304" s="1856"/>
      <c r="B304" s="1856"/>
      <c r="C304" s="653" t="s">
        <v>618</v>
      </c>
      <c r="D304" s="936"/>
      <c r="E304" s="1831"/>
      <c r="F304" s="1225"/>
      <c r="G304" s="1767">
        <v>0</v>
      </c>
      <c r="H304" s="1767">
        <v>0</v>
      </c>
      <c r="I304" s="1767">
        <v>0</v>
      </c>
      <c r="J304" s="1767">
        <v>0</v>
      </c>
      <c r="K304" s="1767">
        <v>0</v>
      </c>
      <c r="L304" s="1767">
        <v>0</v>
      </c>
      <c r="M304" s="1767">
        <v>0</v>
      </c>
      <c r="N304" s="1767">
        <v>0</v>
      </c>
      <c r="O304" s="1767">
        <v>0</v>
      </c>
      <c r="P304" s="1767">
        <v>0</v>
      </c>
      <c r="Q304" s="1767">
        <v>0</v>
      </c>
      <c r="R304" s="1767">
        <v>0</v>
      </c>
      <c r="S304" s="1767">
        <v>0</v>
      </c>
      <c r="T304" s="1767">
        <v>0</v>
      </c>
      <c r="U304" s="1767">
        <v>0</v>
      </c>
      <c r="V304" s="1767">
        <v>0</v>
      </c>
      <c r="W304" s="1767">
        <v>0</v>
      </c>
      <c r="X304" s="1767">
        <v>0</v>
      </c>
      <c r="Y304" s="1767">
        <v>0</v>
      </c>
      <c r="Z304" s="1767">
        <v>0</v>
      </c>
      <c r="AA304" s="1767">
        <v>0</v>
      </c>
      <c r="AB304" s="1767">
        <v>0</v>
      </c>
      <c r="AC304" s="1767">
        <v>0</v>
      </c>
      <c r="AD304" s="1767">
        <v>0</v>
      </c>
      <c r="AE304" s="1767">
        <v>0</v>
      </c>
      <c r="AF304" s="1767">
        <v>0</v>
      </c>
      <c r="AG304" s="1767">
        <v>0</v>
      </c>
      <c r="AH304" s="1767">
        <v>0</v>
      </c>
      <c r="AI304" s="1767">
        <v>0</v>
      </c>
      <c r="AJ304" s="1767">
        <v>0</v>
      </c>
      <c r="AK304" s="1767">
        <v>0</v>
      </c>
      <c r="AL304" s="1767">
        <v>0</v>
      </c>
      <c r="AM304" s="1767">
        <v>0</v>
      </c>
      <c r="AN304" s="1767">
        <v>0</v>
      </c>
      <c r="AO304" s="1767">
        <v>0</v>
      </c>
      <c r="AP304" s="1767">
        <v>0</v>
      </c>
      <c r="AQ304" s="1767">
        <v>0</v>
      </c>
      <c r="AR304" s="1767">
        <v>0</v>
      </c>
      <c r="AS304" s="1767">
        <v>0</v>
      </c>
      <c r="AT304" s="1767">
        <v>0</v>
      </c>
      <c r="AU304" s="1767">
        <v>0</v>
      </c>
      <c r="AV304" s="1767">
        <v>0</v>
      </c>
      <c r="AW304" s="1767">
        <v>0</v>
      </c>
      <c r="AX304" s="1767">
        <v>0</v>
      </c>
      <c r="AY304" s="1767">
        <v>0</v>
      </c>
      <c r="AZ304" s="1767">
        <v>0</v>
      </c>
      <c r="BA304" s="1767">
        <v>0</v>
      </c>
      <c r="BB304" s="1767">
        <v>0</v>
      </c>
      <c r="BC304" s="1767">
        <v>0</v>
      </c>
      <c r="BD304" s="1767">
        <v>0</v>
      </c>
      <c r="BE304" s="1767">
        <v>0</v>
      </c>
      <c r="BF304" s="1767">
        <v>0</v>
      </c>
      <c r="BG304" s="1767">
        <v>0</v>
      </c>
      <c r="BH304" s="1767">
        <v>0</v>
      </c>
      <c r="BI304" s="1767">
        <v>0</v>
      </c>
      <c r="BJ304" s="1767">
        <v>0</v>
      </c>
      <c r="BK304" s="1767">
        <v>0</v>
      </c>
      <c r="BL304" s="1767">
        <v>0</v>
      </c>
      <c r="BM304" s="1767">
        <v>0</v>
      </c>
      <c r="BN304" s="1767">
        <v>0</v>
      </c>
      <c r="BO304" s="1767">
        <v>0</v>
      </c>
      <c r="BP304" s="1767">
        <v>0</v>
      </c>
      <c r="BQ304" s="1767">
        <v>0</v>
      </c>
      <c r="BR304" s="1767">
        <v>0</v>
      </c>
      <c r="BS304" s="1767">
        <v>0</v>
      </c>
      <c r="BT304" s="1767">
        <v>0</v>
      </c>
      <c r="BU304" s="1767">
        <v>0</v>
      </c>
      <c r="BV304" s="1767">
        <v>0</v>
      </c>
      <c r="BW304" s="1767">
        <v>0</v>
      </c>
      <c r="BX304" s="1767">
        <v>0</v>
      </c>
      <c r="BY304" s="1767">
        <v>0</v>
      </c>
      <c r="BZ304" s="1767">
        <v>0</v>
      </c>
      <c r="CA304" s="1767">
        <v>0</v>
      </c>
      <c r="CB304" s="1767">
        <v>0</v>
      </c>
      <c r="CC304" s="1767">
        <v>0</v>
      </c>
      <c r="CD304" s="1767">
        <v>0</v>
      </c>
      <c r="CE304" s="1767">
        <v>0</v>
      </c>
      <c r="CF304" s="1767">
        <v>0</v>
      </c>
      <c r="CG304" s="1767">
        <v>0</v>
      </c>
      <c r="CH304" s="1767">
        <v>0</v>
      </c>
      <c r="CI304" s="1767">
        <v>0</v>
      </c>
      <c r="CJ304" s="1767">
        <v>0</v>
      </c>
      <c r="CK304" s="1767">
        <v>0</v>
      </c>
      <c r="CL304" s="1767">
        <v>0</v>
      </c>
      <c r="CM304" s="1767">
        <v>0</v>
      </c>
      <c r="CN304" s="1767">
        <v>0</v>
      </c>
      <c r="CO304" s="1767">
        <v>0</v>
      </c>
      <c r="CP304" s="1767">
        <v>0</v>
      </c>
    </row>
    <row r="305" spans="1:94" ht="15" customHeight="1" x14ac:dyDescent="0.2">
      <c r="A305" s="1856"/>
      <c r="B305" s="1856"/>
      <c r="C305" s="652" t="s">
        <v>2142</v>
      </c>
      <c r="D305" s="936"/>
      <c r="E305" s="1831"/>
      <c r="F305" s="1225"/>
      <c r="G305" s="1767">
        <v>0</v>
      </c>
      <c r="H305" s="1767">
        <v>0</v>
      </c>
      <c r="I305" s="1767">
        <v>0</v>
      </c>
      <c r="J305" s="1767">
        <v>0</v>
      </c>
      <c r="K305" s="1767">
        <v>0</v>
      </c>
      <c r="L305" s="1767">
        <v>0</v>
      </c>
      <c r="M305" s="1767">
        <v>0</v>
      </c>
      <c r="N305" s="1767">
        <v>0</v>
      </c>
      <c r="O305" s="1767">
        <v>0</v>
      </c>
      <c r="P305" s="1767">
        <v>0</v>
      </c>
      <c r="Q305" s="1767">
        <v>0</v>
      </c>
      <c r="R305" s="1767">
        <v>0</v>
      </c>
      <c r="S305" s="1767">
        <v>0</v>
      </c>
      <c r="T305" s="1767">
        <v>0</v>
      </c>
      <c r="U305" s="1767">
        <v>0</v>
      </c>
      <c r="V305" s="1767">
        <v>0</v>
      </c>
      <c r="W305" s="1767">
        <v>0</v>
      </c>
      <c r="X305" s="1767">
        <v>0</v>
      </c>
      <c r="Y305" s="1767">
        <v>0</v>
      </c>
      <c r="Z305" s="1767">
        <v>0</v>
      </c>
      <c r="AA305" s="1767">
        <v>0</v>
      </c>
      <c r="AB305" s="1767">
        <v>0</v>
      </c>
      <c r="AC305" s="1767">
        <v>0</v>
      </c>
      <c r="AD305" s="1767">
        <v>0</v>
      </c>
      <c r="AE305" s="1767">
        <v>0</v>
      </c>
      <c r="AF305" s="1767">
        <v>0</v>
      </c>
      <c r="AG305" s="1767">
        <v>0</v>
      </c>
      <c r="AH305" s="1767">
        <v>0</v>
      </c>
      <c r="AI305" s="1767">
        <v>0</v>
      </c>
      <c r="AJ305" s="1767">
        <v>0</v>
      </c>
      <c r="AK305" s="1767">
        <v>0</v>
      </c>
      <c r="AL305" s="1767">
        <v>0</v>
      </c>
      <c r="AM305" s="1767">
        <v>0</v>
      </c>
      <c r="AN305" s="1767">
        <v>0</v>
      </c>
      <c r="AO305" s="1767">
        <v>0</v>
      </c>
      <c r="AP305" s="1767">
        <v>0</v>
      </c>
      <c r="AQ305" s="1767">
        <v>0</v>
      </c>
      <c r="AR305" s="1767">
        <v>0</v>
      </c>
      <c r="AS305" s="1767">
        <v>0</v>
      </c>
      <c r="AT305" s="1767">
        <v>0</v>
      </c>
      <c r="AU305" s="1767">
        <v>0</v>
      </c>
      <c r="AV305" s="1767">
        <v>0</v>
      </c>
      <c r="AW305" s="1767">
        <v>0</v>
      </c>
      <c r="AX305" s="1767">
        <v>0</v>
      </c>
      <c r="AY305" s="1767">
        <v>0</v>
      </c>
      <c r="AZ305" s="1767">
        <v>0</v>
      </c>
      <c r="BA305" s="1767">
        <v>0</v>
      </c>
      <c r="BB305" s="1767">
        <v>0</v>
      </c>
      <c r="BC305" s="1767">
        <v>0</v>
      </c>
      <c r="BD305" s="1767">
        <v>0</v>
      </c>
      <c r="BE305" s="1767">
        <v>0</v>
      </c>
      <c r="BF305" s="1767">
        <v>0</v>
      </c>
      <c r="BG305" s="1767">
        <v>0</v>
      </c>
      <c r="BH305" s="1767">
        <v>0</v>
      </c>
      <c r="BI305" s="1767">
        <v>0</v>
      </c>
      <c r="BJ305" s="1767">
        <v>0</v>
      </c>
      <c r="BK305" s="1767">
        <v>0</v>
      </c>
      <c r="BL305" s="1767">
        <v>0</v>
      </c>
      <c r="BM305" s="1767">
        <v>0</v>
      </c>
      <c r="BN305" s="1767">
        <v>0</v>
      </c>
      <c r="BO305" s="1767">
        <v>0</v>
      </c>
      <c r="BP305" s="1767">
        <v>0</v>
      </c>
      <c r="BQ305" s="1767">
        <v>0</v>
      </c>
      <c r="BR305" s="1767">
        <v>0</v>
      </c>
      <c r="BS305" s="1767">
        <v>0</v>
      </c>
      <c r="BT305" s="1767">
        <v>0</v>
      </c>
      <c r="BU305" s="1767">
        <v>0</v>
      </c>
      <c r="BV305" s="1767">
        <v>0</v>
      </c>
      <c r="BW305" s="1767">
        <v>0</v>
      </c>
      <c r="BX305" s="1767">
        <v>0</v>
      </c>
      <c r="BY305" s="1767">
        <v>0</v>
      </c>
      <c r="BZ305" s="1767">
        <v>0</v>
      </c>
      <c r="CA305" s="1767">
        <v>0</v>
      </c>
      <c r="CB305" s="1767">
        <v>0</v>
      </c>
      <c r="CC305" s="1767">
        <v>0</v>
      </c>
      <c r="CD305" s="1767">
        <v>0</v>
      </c>
      <c r="CE305" s="1767">
        <v>0</v>
      </c>
      <c r="CF305" s="1767">
        <v>0</v>
      </c>
      <c r="CG305" s="1767">
        <v>0</v>
      </c>
      <c r="CH305" s="1767">
        <v>0</v>
      </c>
      <c r="CI305" s="1767">
        <v>0</v>
      </c>
      <c r="CJ305" s="1767">
        <v>0</v>
      </c>
      <c r="CK305" s="1767">
        <v>0</v>
      </c>
      <c r="CL305" s="1767">
        <v>0</v>
      </c>
      <c r="CM305" s="1767">
        <v>0</v>
      </c>
      <c r="CN305" s="1767">
        <v>0</v>
      </c>
      <c r="CO305" s="1767">
        <v>0</v>
      </c>
      <c r="CP305" s="1767">
        <v>0</v>
      </c>
    </row>
    <row r="306" spans="1:94" ht="15" customHeight="1" x14ac:dyDescent="0.2">
      <c r="A306" s="1856"/>
      <c r="B306" s="1856"/>
      <c r="C306" s="653" t="s">
        <v>2143</v>
      </c>
      <c r="D306" s="936"/>
      <c r="E306" s="1831"/>
      <c r="F306" s="1225"/>
      <c r="G306" s="1767">
        <v>0</v>
      </c>
      <c r="H306" s="1767">
        <v>0</v>
      </c>
      <c r="I306" s="1767">
        <v>0</v>
      </c>
      <c r="J306" s="1767">
        <v>0</v>
      </c>
      <c r="K306" s="1767">
        <v>0</v>
      </c>
      <c r="L306" s="1767">
        <v>0</v>
      </c>
      <c r="M306" s="1767">
        <v>0</v>
      </c>
      <c r="N306" s="1767">
        <v>0</v>
      </c>
      <c r="O306" s="1767">
        <v>0</v>
      </c>
      <c r="P306" s="1767">
        <v>0</v>
      </c>
      <c r="Q306" s="1767">
        <v>0</v>
      </c>
      <c r="R306" s="1767">
        <v>0</v>
      </c>
      <c r="S306" s="1767">
        <v>0</v>
      </c>
      <c r="T306" s="1767">
        <v>0</v>
      </c>
      <c r="U306" s="1767">
        <v>0</v>
      </c>
      <c r="V306" s="1767">
        <v>0</v>
      </c>
      <c r="W306" s="1767">
        <v>0</v>
      </c>
      <c r="X306" s="1767">
        <v>0</v>
      </c>
      <c r="Y306" s="1767">
        <v>0</v>
      </c>
      <c r="Z306" s="1767">
        <v>0</v>
      </c>
      <c r="AA306" s="1767">
        <v>0</v>
      </c>
      <c r="AB306" s="1767">
        <v>0</v>
      </c>
      <c r="AC306" s="1767">
        <v>0</v>
      </c>
      <c r="AD306" s="1767">
        <v>0</v>
      </c>
      <c r="AE306" s="1767">
        <v>0</v>
      </c>
      <c r="AF306" s="1767">
        <v>0</v>
      </c>
      <c r="AG306" s="1767">
        <v>0</v>
      </c>
      <c r="AH306" s="1767">
        <v>0</v>
      </c>
      <c r="AI306" s="1767">
        <v>0</v>
      </c>
      <c r="AJ306" s="1767">
        <v>0</v>
      </c>
      <c r="AK306" s="1767">
        <v>0</v>
      </c>
      <c r="AL306" s="1767">
        <v>0</v>
      </c>
      <c r="AM306" s="1767">
        <v>0</v>
      </c>
      <c r="AN306" s="1767">
        <v>0</v>
      </c>
      <c r="AO306" s="1767">
        <v>0</v>
      </c>
      <c r="AP306" s="1767">
        <v>0</v>
      </c>
      <c r="AQ306" s="1767">
        <v>0</v>
      </c>
      <c r="AR306" s="1767">
        <v>0</v>
      </c>
      <c r="AS306" s="1767">
        <v>0</v>
      </c>
      <c r="AT306" s="1767">
        <v>0</v>
      </c>
      <c r="AU306" s="1767">
        <v>0</v>
      </c>
      <c r="AV306" s="1767">
        <v>0</v>
      </c>
      <c r="AW306" s="1767">
        <v>0</v>
      </c>
      <c r="AX306" s="1767">
        <v>0</v>
      </c>
      <c r="AY306" s="1767">
        <v>0</v>
      </c>
      <c r="AZ306" s="1767">
        <v>0</v>
      </c>
      <c r="BA306" s="1767">
        <v>0</v>
      </c>
      <c r="BB306" s="1767">
        <v>0</v>
      </c>
      <c r="BC306" s="1767">
        <v>0</v>
      </c>
      <c r="BD306" s="1767">
        <v>0</v>
      </c>
      <c r="BE306" s="1767">
        <v>0</v>
      </c>
      <c r="BF306" s="1767">
        <v>0</v>
      </c>
      <c r="BG306" s="1767">
        <v>0</v>
      </c>
      <c r="BH306" s="1767">
        <v>0</v>
      </c>
      <c r="BI306" s="1767">
        <v>0</v>
      </c>
      <c r="BJ306" s="1767">
        <v>0</v>
      </c>
      <c r="BK306" s="1767">
        <v>0</v>
      </c>
      <c r="BL306" s="1767">
        <v>0</v>
      </c>
      <c r="BM306" s="1767">
        <v>0</v>
      </c>
      <c r="BN306" s="1767">
        <v>0</v>
      </c>
      <c r="BO306" s="1767">
        <v>0</v>
      </c>
      <c r="BP306" s="1767">
        <v>0</v>
      </c>
      <c r="BQ306" s="1767">
        <v>0</v>
      </c>
      <c r="BR306" s="1767">
        <v>0</v>
      </c>
      <c r="BS306" s="1767">
        <v>0</v>
      </c>
      <c r="BT306" s="1767">
        <v>0</v>
      </c>
      <c r="BU306" s="1767">
        <v>0</v>
      </c>
      <c r="BV306" s="1767">
        <v>0</v>
      </c>
      <c r="BW306" s="1767">
        <v>0</v>
      </c>
      <c r="BX306" s="1767">
        <v>0</v>
      </c>
      <c r="BY306" s="1767">
        <v>0</v>
      </c>
      <c r="BZ306" s="1767">
        <v>0</v>
      </c>
      <c r="CA306" s="1767">
        <v>0</v>
      </c>
      <c r="CB306" s="1767">
        <v>0</v>
      </c>
      <c r="CC306" s="1767">
        <v>0</v>
      </c>
      <c r="CD306" s="1767">
        <v>0</v>
      </c>
      <c r="CE306" s="1767">
        <v>0</v>
      </c>
      <c r="CF306" s="1767">
        <v>0</v>
      </c>
      <c r="CG306" s="1767">
        <v>0</v>
      </c>
      <c r="CH306" s="1767">
        <v>0</v>
      </c>
      <c r="CI306" s="1767">
        <v>0</v>
      </c>
      <c r="CJ306" s="1767">
        <v>0</v>
      </c>
      <c r="CK306" s="1767">
        <v>0</v>
      </c>
      <c r="CL306" s="1767">
        <v>0</v>
      </c>
      <c r="CM306" s="1767">
        <v>0</v>
      </c>
      <c r="CN306" s="1767">
        <v>0</v>
      </c>
      <c r="CO306" s="1767">
        <v>0</v>
      </c>
      <c r="CP306" s="1767">
        <v>0</v>
      </c>
    </row>
    <row r="307" spans="1:94" ht="15" customHeight="1" x14ac:dyDescent="0.2">
      <c r="A307" s="1856"/>
      <c r="B307" s="1856"/>
      <c r="C307" s="653" t="s">
        <v>2144</v>
      </c>
      <c r="D307" s="936"/>
      <c r="E307" s="1831"/>
      <c r="F307" s="1225"/>
      <c r="G307" s="1767">
        <v>0</v>
      </c>
      <c r="H307" s="1767">
        <v>0</v>
      </c>
      <c r="I307" s="1767">
        <v>0</v>
      </c>
      <c r="J307" s="1767">
        <v>0</v>
      </c>
      <c r="K307" s="1767">
        <v>0</v>
      </c>
      <c r="L307" s="1767">
        <v>0</v>
      </c>
      <c r="M307" s="1767">
        <v>0</v>
      </c>
      <c r="N307" s="1767">
        <v>0</v>
      </c>
      <c r="O307" s="1767">
        <v>0</v>
      </c>
      <c r="P307" s="1767">
        <v>0</v>
      </c>
      <c r="Q307" s="1767">
        <v>0</v>
      </c>
      <c r="R307" s="1767">
        <v>0</v>
      </c>
      <c r="S307" s="1767">
        <v>0</v>
      </c>
      <c r="T307" s="1767">
        <v>0</v>
      </c>
      <c r="U307" s="1767">
        <v>0</v>
      </c>
      <c r="V307" s="1767">
        <v>0</v>
      </c>
      <c r="W307" s="1767">
        <v>0</v>
      </c>
      <c r="X307" s="1767">
        <v>0</v>
      </c>
      <c r="Y307" s="1767">
        <v>0</v>
      </c>
      <c r="Z307" s="1767">
        <v>0</v>
      </c>
      <c r="AA307" s="1767">
        <v>0</v>
      </c>
      <c r="AB307" s="1767">
        <v>0</v>
      </c>
      <c r="AC307" s="1767">
        <v>0</v>
      </c>
      <c r="AD307" s="1767">
        <v>0</v>
      </c>
      <c r="AE307" s="1767">
        <v>0</v>
      </c>
      <c r="AF307" s="1767">
        <v>0</v>
      </c>
      <c r="AG307" s="1767">
        <v>0</v>
      </c>
      <c r="AH307" s="1767">
        <v>0</v>
      </c>
      <c r="AI307" s="1767">
        <v>0</v>
      </c>
      <c r="AJ307" s="1767">
        <v>0</v>
      </c>
      <c r="AK307" s="1767">
        <v>0</v>
      </c>
      <c r="AL307" s="1767">
        <v>0</v>
      </c>
      <c r="AM307" s="1767">
        <v>0</v>
      </c>
      <c r="AN307" s="1767">
        <v>0</v>
      </c>
      <c r="AO307" s="1767">
        <v>0</v>
      </c>
      <c r="AP307" s="1767">
        <v>0</v>
      </c>
      <c r="AQ307" s="1767">
        <v>0</v>
      </c>
      <c r="AR307" s="1767">
        <v>0</v>
      </c>
      <c r="AS307" s="1767">
        <v>0</v>
      </c>
      <c r="AT307" s="1767">
        <v>0</v>
      </c>
      <c r="AU307" s="1767">
        <v>0</v>
      </c>
      <c r="AV307" s="1767">
        <v>0</v>
      </c>
      <c r="AW307" s="1767">
        <v>0</v>
      </c>
      <c r="AX307" s="1767">
        <v>0</v>
      </c>
      <c r="AY307" s="1767">
        <v>0</v>
      </c>
      <c r="AZ307" s="1767">
        <v>0</v>
      </c>
      <c r="BA307" s="1767">
        <v>0</v>
      </c>
      <c r="BB307" s="1767">
        <v>0</v>
      </c>
      <c r="BC307" s="1767">
        <v>0</v>
      </c>
      <c r="BD307" s="1767">
        <v>0</v>
      </c>
      <c r="BE307" s="1767">
        <v>0</v>
      </c>
      <c r="BF307" s="1767">
        <v>0</v>
      </c>
      <c r="BG307" s="1767">
        <v>0</v>
      </c>
      <c r="BH307" s="1767">
        <v>0</v>
      </c>
      <c r="BI307" s="1767">
        <v>0</v>
      </c>
      <c r="BJ307" s="1767">
        <v>0</v>
      </c>
      <c r="BK307" s="1767">
        <v>0</v>
      </c>
      <c r="BL307" s="1767">
        <v>0</v>
      </c>
      <c r="BM307" s="1767">
        <v>0</v>
      </c>
      <c r="BN307" s="1767">
        <v>0</v>
      </c>
      <c r="BO307" s="1767">
        <v>0</v>
      </c>
      <c r="BP307" s="1767">
        <v>0</v>
      </c>
      <c r="BQ307" s="1767">
        <v>0</v>
      </c>
      <c r="BR307" s="1767">
        <v>0</v>
      </c>
      <c r="BS307" s="1767">
        <v>0</v>
      </c>
      <c r="BT307" s="1767">
        <v>0</v>
      </c>
      <c r="BU307" s="1767">
        <v>0</v>
      </c>
      <c r="BV307" s="1767">
        <v>0</v>
      </c>
      <c r="BW307" s="1767">
        <v>0</v>
      </c>
      <c r="BX307" s="1767">
        <v>0</v>
      </c>
      <c r="BY307" s="1767">
        <v>0</v>
      </c>
      <c r="BZ307" s="1767">
        <v>0</v>
      </c>
      <c r="CA307" s="1767">
        <v>0</v>
      </c>
      <c r="CB307" s="1767">
        <v>0</v>
      </c>
      <c r="CC307" s="1767">
        <v>0</v>
      </c>
      <c r="CD307" s="1767">
        <v>0</v>
      </c>
      <c r="CE307" s="1767">
        <v>0</v>
      </c>
      <c r="CF307" s="1767">
        <v>0</v>
      </c>
      <c r="CG307" s="1767">
        <v>0</v>
      </c>
      <c r="CH307" s="1767">
        <v>0</v>
      </c>
      <c r="CI307" s="1767">
        <v>0</v>
      </c>
      <c r="CJ307" s="1767">
        <v>0</v>
      </c>
      <c r="CK307" s="1767">
        <v>0</v>
      </c>
      <c r="CL307" s="1767">
        <v>0</v>
      </c>
      <c r="CM307" s="1767">
        <v>0</v>
      </c>
      <c r="CN307" s="1767">
        <v>0</v>
      </c>
      <c r="CO307" s="1767">
        <v>0</v>
      </c>
      <c r="CP307" s="1767">
        <v>0</v>
      </c>
    </row>
    <row r="308" spans="1:94" ht="15" customHeight="1" x14ac:dyDescent="0.2">
      <c r="A308" s="1856"/>
      <c r="B308" s="1856"/>
      <c r="C308" s="653" t="s">
        <v>2145</v>
      </c>
      <c r="D308" s="936"/>
      <c r="E308" s="1831"/>
      <c r="F308" s="1225"/>
      <c r="G308" s="1767">
        <v>0</v>
      </c>
      <c r="H308" s="1767">
        <v>0</v>
      </c>
      <c r="I308" s="1767">
        <v>0</v>
      </c>
      <c r="J308" s="1767">
        <v>0</v>
      </c>
      <c r="K308" s="1767">
        <v>0</v>
      </c>
      <c r="L308" s="1767">
        <v>0</v>
      </c>
      <c r="M308" s="1767">
        <v>0</v>
      </c>
      <c r="N308" s="1767">
        <v>0</v>
      </c>
      <c r="O308" s="1767">
        <v>0</v>
      </c>
      <c r="P308" s="1767">
        <v>0</v>
      </c>
      <c r="Q308" s="1767">
        <v>0</v>
      </c>
      <c r="R308" s="1767">
        <v>0</v>
      </c>
      <c r="S308" s="1767">
        <v>0</v>
      </c>
      <c r="T308" s="1767">
        <v>0</v>
      </c>
      <c r="U308" s="1767">
        <v>0</v>
      </c>
      <c r="V308" s="1767">
        <v>0</v>
      </c>
      <c r="W308" s="1767">
        <v>0</v>
      </c>
      <c r="X308" s="1767">
        <v>0</v>
      </c>
      <c r="Y308" s="1767">
        <v>0</v>
      </c>
      <c r="Z308" s="1767">
        <v>0</v>
      </c>
      <c r="AA308" s="1767">
        <v>0</v>
      </c>
      <c r="AB308" s="1767">
        <v>0</v>
      </c>
      <c r="AC308" s="1767">
        <v>0</v>
      </c>
      <c r="AD308" s="1767">
        <v>0</v>
      </c>
      <c r="AE308" s="1767">
        <v>0</v>
      </c>
      <c r="AF308" s="1767">
        <v>0</v>
      </c>
      <c r="AG308" s="1767">
        <v>0</v>
      </c>
      <c r="AH308" s="1767">
        <v>0</v>
      </c>
      <c r="AI308" s="1767">
        <v>0</v>
      </c>
      <c r="AJ308" s="1767">
        <v>0</v>
      </c>
      <c r="AK308" s="1767">
        <v>0</v>
      </c>
      <c r="AL308" s="1767">
        <v>0</v>
      </c>
      <c r="AM308" s="1767">
        <v>0</v>
      </c>
      <c r="AN308" s="1767">
        <v>0</v>
      </c>
      <c r="AO308" s="1767">
        <v>0</v>
      </c>
      <c r="AP308" s="1767">
        <v>0</v>
      </c>
      <c r="AQ308" s="1767">
        <v>0</v>
      </c>
      <c r="AR308" s="1767">
        <v>0</v>
      </c>
      <c r="AS308" s="1767">
        <v>0</v>
      </c>
      <c r="AT308" s="1767">
        <v>0</v>
      </c>
      <c r="AU308" s="1767">
        <v>0</v>
      </c>
      <c r="AV308" s="1767">
        <v>0</v>
      </c>
      <c r="AW308" s="1767">
        <v>0</v>
      </c>
      <c r="AX308" s="1767">
        <v>0</v>
      </c>
      <c r="AY308" s="1767">
        <v>0</v>
      </c>
      <c r="AZ308" s="1767">
        <v>0</v>
      </c>
      <c r="BA308" s="1767">
        <v>0</v>
      </c>
      <c r="BB308" s="1767">
        <v>0</v>
      </c>
      <c r="BC308" s="1767">
        <v>0</v>
      </c>
      <c r="BD308" s="1767">
        <v>0</v>
      </c>
      <c r="BE308" s="1767">
        <v>0</v>
      </c>
      <c r="BF308" s="1767">
        <v>0</v>
      </c>
      <c r="BG308" s="1767">
        <v>0</v>
      </c>
      <c r="BH308" s="1767">
        <v>0</v>
      </c>
      <c r="BI308" s="1767">
        <v>0</v>
      </c>
      <c r="BJ308" s="1767">
        <v>0</v>
      </c>
      <c r="BK308" s="1767">
        <v>0</v>
      </c>
      <c r="BL308" s="1767">
        <v>0</v>
      </c>
      <c r="BM308" s="1767">
        <v>0</v>
      </c>
      <c r="BN308" s="1767">
        <v>0</v>
      </c>
      <c r="BO308" s="1767">
        <v>0</v>
      </c>
      <c r="BP308" s="1767">
        <v>0</v>
      </c>
      <c r="BQ308" s="1767">
        <v>0</v>
      </c>
      <c r="BR308" s="1767">
        <v>0</v>
      </c>
      <c r="BS308" s="1767">
        <v>0</v>
      </c>
      <c r="BT308" s="1767">
        <v>0</v>
      </c>
      <c r="BU308" s="1767">
        <v>0</v>
      </c>
      <c r="BV308" s="1767">
        <v>0</v>
      </c>
      <c r="BW308" s="1767">
        <v>0</v>
      </c>
      <c r="BX308" s="1767">
        <v>0</v>
      </c>
      <c r="BY308" s="1767">
        <v>0</v>
      </c>
      <c r="BZ308" s="1767">
        <v>0</v>
      </c>
      <c r="CA308" s="1767">
        <v>0</v>
      </c>
      <c r="CB308" s="1767">
        <v>0</v>
      </c>
      <c r="CC308" s="1767">
        <v>0</v>
      </c>
      <c r="CD308" s="1767">
        <v>0</v>
      </c>
      <c r="CE308" s="1767">
        <v>0</v>
      </c>
      <c r="CF308" s="1767">
        <v>0</v>
      </c>
      <c r="CG308" s="1767">
        <v>0</v>
      </c>
      <c r="CH308" s="1767">
        <v>0</v>
      </c>
      <c r="CI308" s="1767">
        <v>0</v>
      </c>
      <c r="CJ308" s="1767">
        <v>0</v>
      </c>
      <c r="CK308" s="1767">
        <v>0</v>
      </c>
      <c r="CL308" s="1767">
        <v>0</v>
      </c>
      <c r="CM308" s="1767">
        <v>0</v>
      </c>
      <c r="CN308" s="1767">
        <v>0</v>
      </c>
      <c r="CO308" s="1767">
        <v>0</v>
      </c>
      <c r="CP308" s="1767">
        <v>0</v>
      </c>
    </row>
    <row r="309" spans="1:94" ht="15" customHeight="1" x14ac:dyDescent="0.2">
      <c r="A309" s="1856"/>
      <c r="B309" s="1856"/>
      <c r="C309" s="653" t="s">
        <v>2146</v>
      </c>
      <c r="D309" s="936"/>
      <c r="E309" s="1831"/>
      <c r="F309" s="1225"/>
      <c r="G309" s="1767">
        <v>0</v>
      </c>
      <c r="H309" s="1767">
        <v>0</v>
      </c>
      <c r="I309" s="1767">
        <v>0</v>
      </c>
      <c r="J309" s="1767">
        <v>0</v>
      </c>
      <c r="K309" s="1767">
        <v>0</v>
      </c>
      <c r="L309" s="1767">
        <v>0</v>
      </c>
      <c r="M309" s="1767">
        <v>0</v>
      </c>
      <c r="N309" s="1767">
        <v>0</v>
      </c>
      <c r="O309" s="1767">
        <v>0</v>
      </c>
      <c r="P309" s="1767">
        <v>0</v>
      </c>
      <c r="Q309" s="1767">
        <v>0</v>
      </c>
      <c r="R309" s="1767">
        <v>0</v>
      </c>
      <c r="S309" s="1767">
        <v>0</v>
      </c>
      <c r="T309" s="1767">
        <v>0</v>
      </c>
      <c r="U309" s="1767">
        <v>0</v>
      </c>
      <c r="V309" s="1767">
        <v>0</v>
      </c>
      <c r="W309" s="1767">
        <v>0</v>
      </c>
      <c r="X309" s="1767">
        <v>0</v>
      </c>
      <c r="Y309" s="1767">
        <v>0</v>
      </c>
      <c r="Z309" s="1767">
        <v>0</v>
      </c>
      <c r="AA309" s="1767">
        <v>0</v>
      </c>
      <c r="AB309" s="1767">
        <v>0</v>
      </c>
      <c r="AC309" s="1767">
        <v>0</v>
      </c>
      <c r="AD309" s="1767">
        <v>0</v>
      </c>
      <c r="AE309" s="1767">
        <v>0</v>
      </c>
      <c r="AF309" s="1767">
        <v>0</v>
      </c>
      <c r="AG309" s="1767">
        <v>0</v>
      </c>
      <c r="AH309" s="1767">
        <v>0</v>
      </c>
      <c r="AI309" s="1767">
        <v>0</v>
      </c>
      <c r="AJ309" s="1767">
        <v>0</v>
      </c>
      <c r="AK309" s="1767">
        <v>0</v>
      </c>
      <c r="AL309" s="1767">
        <v>0</v>
      </c>
      <c r="AM309" s="1767">
        <v>0</v>
      </c>
      <c r="AN309" s="1767">
        <v>0</v>
      </c>
      <c r="AO309" s="1767">
        <v>0</v>
      </c>
      <c r="AP309" s="1767">
        <v>0</v>
      </c>
      <c r="AQ309" s="1767">
        <v>0</v>
      </c>
      <c r="AR309" s="1767">
        <v>0</v>
      </c>
      <c r="AS309" s="1767">
        <v>0</v>
      </c>
      <c r="AT309" s="1767">
        <v>0</v>
      </c>
      <c r="AU309" s="1767">
        <v>0</v>
      </c>
      <c r="AV309" s="1767">
        <v>0</v>
      </c>
      <c r="AW309" s="1767">
        <v>0</v>
      </c>
      <c r="AX309" s="1767">
        <v>0</v>
      </c>
      <c r="AY309" s="1767">
        <v>0</v>
      </c>
      <c r="AZ309" s="1767">
        <v>0</v>
      </c>
      <c r="BA309" s="1767">
        <v>0</v>
      </c>
      <c r="BB309" s="1767">
        <v>0</v>
      </c>
      <c r="BC309" s="1767">
        <v>0</v>
      </c>
      <c r="BD309" s="1767">
        <v>0</v>
      </c>
      <c r="BE309" s="1767">
        <v>0</v>
      </c>
      <c r="BF309" s="1767">
        <v>0</v>
      </c>
      <c r="BG309" s="1767">
        <v>0</v>
      </c>
      <c r="BH309" s="1767">
        <v>0</v>
      </c>
      <c r="BI309" s="1767">
        <v>0</v>
      </c>
      <c r="BJ309" s="1767">
        <v>0</v>
      </c>
      <c r="BK309" s="1767">
        <v>0</v>
      </c>
      <c r="BL309" s="1767">
        <v>0</v>
      </c>
      <c r="BM309" s="1767">
        <v>0</v>
      </c>
      <c r="BN309" s="1767">
        <v>0</v>
      </c>
      <c r="BO309" s="1767">
        <v>0</v>
      </c>
      <c r="BP309" s="1767">
        <v>0</v>
      </c>
      <c r="BQ309" s="1767">
        <v>0</v>
      </c>
      <c r="BR309" s="1767">
        <v>0</v>
      </c>
      <c r="BS309" s="1767">
        <v>0</v>
      </c>
      <c r="BT309" s="1767">
        <v>0</v>
      </c>
      <c r="BU309" s="1767">
        <v>0</v>
      </c>
      <c r="BV309" s="1767">
        <v>0</v>
      </c>
      <c r="BW309" s="1767">
        <v>0</v>
      </c>
      <c r="BX309" s="1767">
        <v>0</v>
      </c>
      <c r="BY309" s="1767">
        <v>0</v>
      </c>
      <c r="BZ309" s="1767">
        <v>0</v>
      </c>
      <c r="CA309" s="1767">
        <v>0</v>
      </c>
      <c r="CB309" s="1767">
        <v>0</v>
      </c>
      <c r="CC309" s="1767">
        <v>0</v>
      </c>
      <c r="CD309" s="1767">
        <v>0</v>
      </c>
      <c r="CE309" s="1767">
        <v>0</v>
      </c>
      <c r="CF309" s="1767">
        <v>0</v>
      </c>
      <c r="CG309" s="1767">
        <v>0</v>
      </c>
      <c r="CH309" s="1767">
        <v>0</v>
      </c>
      <c r="CI309" s="1767">
        <v>0</v>
      </c>
      <c r="CJ309" s="1767">
        <v>0</v>
      </c>
      <c r="CK309" s="1767">
        <v>0</v>
      </c>
      <c r="CL309" s="1767">
        <v>0</v>
      </c>
      <c r="CM309" s="1767">
        <v>0</v>
      </c>
      <c r="CN309" s="1767">
        <v>0</v>
      </c>
      <c r="CO309" s="1767">
        <v>0</v>
      </c>
      <c r="CP309" s="1767">
        <v>0</v>
      </c>
    </row>
    <row r="310" spans="1:94" ht="15" customHeight="1" thickBot="1" x14ac:dyDescent="0.25">
      <c r="A310" s="1856"/>
      <c r="B310" s="1856"/>
      <c r="C310" s="800" t="s">
        <v>2147</v>
      </c>
      <c r="D310" s="949"/>
      <c r="E310" s="1831"/>
      <c r="F310" s="1225"/>
      <c r="G310" s="1767">
        <v>0</v>
      </c>
      <c r="H310" s="1767">
        <v>0</v>
      </c>
      <c r="I310" s="1767">
        <v>0</v>
      </c>
      <c r="J310" s="1767">
        <v>0</v>
      </c>
      <c r="K310" s="1767">
        <v>0</v>
      </c>
      <c r="L310" s="1767">
        <v>0</v>
      </c>
      <c r="M310" s="1767">
        <v>0</v>
      </c>
      <c r="N310" s="1767">
        <v>0</v>
      </c>
      <c r="O310" s="1767">
        <v>0</v>
      </c>
      <c r="P310" s="1767">
        <v>0</v>
      </c>
      <c r="Q310" s="1767">
        <v>0</v>
      </c>
      <c r="R310" s="1767">
        <v>0</v>
      </c>
      <c r="S310" s="1767">
        <v>0</v>
      </c>
      <c r="T310" s="1767">
        <v>0</v>
      </c>
      <c r="U310" s="1767">
        <v>0</v>
      </c>
      <c r="V310" s="1767">
        <v>0</v>
      </c>
      <c r="W310" s="1767">
        <v>0</v>
      </c>
      <c r="X310" s="1767">
        <v>0</v>
      </c>
      <c r="Y310" s="1767">
        <v>0</v>
      </c>
      <c r="Z310" s="1767">
        <v>0</v>
      </c>
      <c r="AA310" s="1767">
        <v>0</v>
      </c>
      <c r="AB310" s="1767">
        <v>0</v>
      </c>
      <c r="AC310" s="1767">
        <v>0</v>
      </c>
      <c r="AD310" s="1767">
        <v>0</v>
      </c>
      <c r="AE310" s="1767">
        <v>0</v>
      </c>
      <c r="AF310" s="1767">
        <v>0</v>
      </c>
      <c r="AG310" s="1767">
        <v>0</v>
      </c>
      <c r="AH310" s="1767">
        <v>0</v>
      </c>
      <c r="AI310" s="1767">
        <v>0</v>
      </c>
      <c r="AJ310" s="1767">
        <v>0</v>
      </c>
      <c r="AK310" s="1767">
        <v>0</v>
      </c>
      <c r="AL310" s="1767">
        <v>0</v>
      </c>
      <c r="AM310" s="1767">
        <v>0</v>
      </c>
      <c r="AN310" s="1767">
        <v>0</v>
      </c>
      <c r="AO310" s="1767">
        <v>0</v>
      </c>
      <c r="AP310" s="1767">
        <v>0</v>
      </c>
      <c r="AQ310" s="1767">
        <v>0</v>
      </c>
      <c r="AR310" s="1767">
        <v>0</v>
      </c>
      <c r="AS310" s="1767">
        <v>0</v>
      </c>
      <c r="AT310" s="1767">
        <v>0</v>
      </c>
      <c r="AU310" s="1767">
        <v>0</v>
      </c>
      <c r="AV310" s="1767">
        <v>0</v>
      </c>
      <c r="AW310" s="1767">
        <v>0</v>
      </c>
      <c r="AX310" s="1767">
        <v>0</v>
      </c>
      <c r="AY310" s="1767">
        <v>0</v>
      </c>
      <c r="AZ310" s="1767">
        <v>0</v>
      </c>
      <c r="BA310" s="1767">
        <v>0</v>
      </c>
      <c r="BB310" s="1767">
        <v>0</v>
      </c>
      <c r="BC310" s="1767">
        <v>0</v>
      </c>
      <c r="BD310" s="1767">
        <v>0</v>
      </c>
      <c r="BE310" s="1767">
        <v>0</v>
      </c>
      <c r="BF310" s="1767">
        <v>0</v>
      </c>
      <c r="BG310" s="1767">
        <v>0</v>
      </c>
      <c r="BH310" s="1767">
        <v>0</v>
      </c>
      <c r="BI310" s="1767">
        <v>0</v>
      </c>
      <c r="BJ310" s="1767">
        <v>0</v>
      </c>
      <c r="BK310" s="1767">
        <v>0</v>
      </c>
      <c r="BL310" s="1767">
        <v>0</v>
      </c>
      <c r="BM310" s="1767">
        <v>0</v>
      </c>
      <c r="BN310" s="1767">
        <v>0</v>
      </c>
      <c r="BO310" s="1767">
        <v>0</v>
      </c>
      <c r="BP310" s="1767">
        <v>0</v>
      </c>
      <c r="BQ310" s="1767">
        <v>0</v>
      </c>
      <c r="BR310" s="1767">
        <v>0</v>
      </c>
      <c r="BS310" s="1767">
        <v>0</v>
      </c>
      <c r="BT310" s="1767">
        <v>0</v>
      </c>
      <c r="BU310" s="1767">
        <v>0</v>
      </c>
      <c r="BV310" s="1767">
        <v>0</v>
      </c>
      <c r="BW310" s="1767">
        <v>0</v>
      </c>
      <c r="BX310" s="1767">
        <v>0</v>
      </c>
      <c r="BY310" s="1767">
        <v>0</v>
      </c>
      <c r="BZ310" s="1767">
        <v>0</v>
      </c>
      <c r="CA310" s="1767">
        <v>0</v>
      </c>
      <c r="CB310" s="1767">
        <v>0</v>
      </c>
      <c r="CC310" s="1767">
        <v>0</v>
      </c>
      <c r="CD310" s="1767">
        <v>0</v>
      </c>
      <c r="CE310" s="1767">
        <v>0</v>
      </c>
      <c r="CF310" s="1767">
        <v>0</v>
      </c>
      <c r="CG310" s="1767">
        <v>0</v>
      </c>
      <c r="CH310" s="1767">
        <v>0</v>
      </c>
      <c r="CI310" s="1767">
        <v>0</v>
      </c>
      <c r="CJ310" s="1767">
        <v>0</v>
      </c>
      <c r="CK310" s="1767">
        <v>0</v>
      </c>
      <c r="CL310" s="1767">
        <v>0</v>
      </c>
      <c r="CM310" s="1767">
        <v>0</v>
      </c>
      <c r="CN310" s="1767">
        <v>0</v>
      </c>
      <c r="CO310" s="1767">
        <v>0</v>
      </c>
      <c r="CP310" s="1767">
        <v>0</v>
      </c>
    </row>
    <row r="311" spans="1:94" ht="21" customHeight="1" thickBot="1" x14ac:dyDescent="0.25">
      <c r="A311" s="1849" t="s">
        <v>37</v>
      </c>
      <c r="B311" s="1846" t="s">
        <v>14</v>
      </c>
      <c r="C311" s="1789" t="s">
        <v>613</v>
      </c>
      <c r="D311" s="974"/>
      <c r="E311" s="1830" t="s">
        <v>2065</v>
      </c>
      <c r="F311" s="1225"/>
      <c r="G311" s="1742"/>
      <c r="H311" s="1742"/>
      <c r="I311" s="1742"/>
      <c r="J311" s="1742"/>
      <c r="K311" s="1742"/>
      <c r="L311" s="1742"/>
      <c r="M311" s="1742"/>
      <c r="N311" s="1742"/>
      <c r="O311" s="1742"/>
      <c r="P311" s="1742"/>
      <c r="Q311" s="1742"/>
      <c r="R311" s="1742"/>
      <c r="S311" s="1742"/>
      <c r="T311" s="1742"/>
      <c r="U311" s="1742"/>
      <c r="V311" s="1742"/>
      <c r="W311" s="1742"/>
      <c r="X311" s="1742"/>
      <c r="Y311" s="1742"/>
      <c r="Z311" s="1742"/>
      <c r="AA311" s="1742"/>
      <c r="AB311" s="1742"/>
      <c r="AC311" s="1742"/>
      <c r="AD311" s="1742"/>
      <c r="AE311" s="1742"/>
      <c r="AF311" s="1742"/>
      <c r="AG311" s="1742"/>
      <c r="AH311" s="1742"/>
      <c r="AI311" s="1742"/>
      <c r="AJ311" s="1742"/>
      <c r="AK311" s="1742"/>
      <c r="AL311" s="1742"/>
      <c r="AM311" s="1742"/>
      <c r="AN311" s="1742"/>
      <c r="AO311" s="1742"/>
      <c r="AP311" s="1742"/>
      <c r="AQ311" s="1742"/>
      <c r="AR311" s="1742"/>
      <c r="AS311" s="1742"/>
      <c r="AT311" s="1742"/>
      <c r="AU311" s="1742"/>
      <c r="AV311" s="1742"/>
      <c r="AW311" s="1742"/>
      <c r="AX311" s="1742"/>
      <c r="AY311" s="1742"/>
      <c r="AZ311" s="1742"/>
      <c r="BA311" s="1742"/>
      <c r="BB311" s="1742"/>
      <c r="BC311" s="1742"/>
      <c r="BD311" s="1742"/>
      <c r="BE311" s="1742"/>
      <c r="BF311" s="1742"/>
      <c r="BG311" s="1742"/>
      <c r="BH311" s="1742"/>
      <c r="BI311" s="1742"/>
      <c r="BJ311" s="1742"/>
      <c r="BK311" s="1742"/>
      <c r="BL311" s="1742"/>
      <c r="BM311" s="1742"/>
      <c r="BN311" s="1742"/>
      <c r="BO311" s="1742"/>
      <c r="BP311" s="1742"/>
      <c r="BQ311" s="1742"/>
      <c r="BR311" s="1742"/>
      <c r="BS311" s="1742"/>
      <c r="BT311" s="1742"/>
      <c r="BU311" s="1742"/>
      <c r="BV311" s="1742"/>
      <c r="BW311" s="1742"/>
      <c r="BX311" s="1742"/>
      <c r="BY311" s="1742"/>
      <c r="BZ311" s="1742"/>
      <c r="CA311" s="1742"/>
      <c r="CB311" s="1742"/>
      <c r="CC311" s="1742"/>
      <c r="CD311" s="1742"/>
      <c r="CE311" s="1742"/>
      <c r="CF311" s="1742"/>
      <c r="CG311" s="1742"/>
      <c r="CH311" s="1742"/>
      <c r="CI311" s="1742"/>
      <c r="CJ311" s="1742"/>
      <c r="CK311" s="1742"/>
      <c r="CL311" s="1742"/>
      <c r="CM311" s="1742"/>
      <c r="CN311" s="1742"/>
      <c r="CO311" s="1742"/>
      <c r="CP311" s="1742"/>
    </row>
    <row r="312" spans="1:94" ht="15" customHeight="1" x14ac:dyDescent="0.2">
      <c r="A312" s="1847"/>
      <c r="B312" s="1856"/>
      <c r="C312" s="660" t="s">
        <v>1759</v>
      </c>
      <c r="D312" s="936"/>
      <c r="E312" s="1862"/>
      <c r="F312" s="1225"/>
      <c r="G312" s="1767">
        <v>0</v>
      </c>
      <c r="H312" s="1767">
        <v>0</v>
      </c>
      <c r="I312" s="1767">
        <v>0</v>
      </c>
      <c r="J312" s="1767">
        <v>0</v>
      </c>
      <c r="K312" s="1767">
        <v>0</v>
      </c>
      <c r="L312" s="1767">
        <v>0</v>
      </c>
      <c r="M312" s="1767">
        <v>0</v>
      </c>
      <c r="N312" s="1767">
        <v>0</v>
      </c>
      <c r="O312" s="1767">
        <v>0</v>
      </c>
      <c r="P312" s="1767">
        <v>0</v>
      </c>
      <c r="Q312" s="1767">
        <v>0</v>
      </c>
      <c r="R312" s="1767">
        <v>0</v>
      </c>
      <c r="S312" s="1767">
        <v>0</v>
      </c>
      <c r="T312" s="1767">
        <v>0</v>
      </c>
      <c r="U312" s="1767">
        <v>0</v>
      </c>
      <c r="V312" s="1767">
        <v>0</v>
      </c>
      <c r="W312" s="1767">
        <v>0</v>
      </c>
      <c r="X312" s="1767">
        <v>0</v>
      </c>
      <c r="Y312" s="1767">
        <v>0</v>
      </c>
      <c r="Z312" s="1767">
        <v>0</v>
      </c>
      <c r="AA312" s="1767">
        <v>0</v>
      </c>
      <c r="AB312" s="1767">
        <v>0</v>
      </c>
      <c r="AC312" s="1767">
        <v>0</v>
      </c>
      <c r="AD312" s="1767">
        <v>0</v>
      </c>
      <c r="AE312" s="1767">
        <v>0</v>
      </c>
      <c r="AF312" s="1767">
        <v>0</v>
      </c>
      <c r="AG312" s="1767">
        <v>0</v>
      </c>
      <c r="AH312" s="1767">
        <v>0</v>
      </c>
      <c r="AI312" s="1767">
        <v>0</v>
      </c>
      <c r="AJ312" s="1767">
        <v>0</v>
      </c>
      <c r="AK312" s="1767">
        <v>0</v>
      </c>
      <c r="AL312" s="1767">
        <v>0</v>
      </c>
      <c r="AM312" s="1767">
        <v>0</v>
      </c>
      <c r="AN312" s="1767">
        <v>0</v>
      </c>
      <c r="AO312" s="1767">
        <v>0</v>
      </c>
      <c r="AP312" s="1767">
        <v>0</v>
      </c>
      <c r="AQ312" s="1767">
        <v>0</v>
      </c>
      <c r="AR312" s="1767">
        <v>0</v>
      </c>
      <c r="AS312" s="1767">
        <v>0</v>
      </c>
      <c r="AT312" s="1767">
        <v>0</v>
      </c>
      <c r="AU312" s="1767">
        <v>0</v>
      </c>
      <c r="AV312" s="1767">
        <v>0</v>
      </c>
      <c r="AW312" s="1767">
        <v>0</v>
      </c>
      <c r="AX312" s="1767">
        <v>0</v>
      </c>
      <c r="AY312" s="1767">
        <v>0</v>
      </c>
      <c r="AZ312" s="1767">
        <v>0</v>
      </c>
      <c r="BA312" s="1767">
        <v>0</v>
      </c>
      <c r="BB312" s="1767">
        <v>0</v>
      </c>
      <c r="BC312" s="1767">
        <v>0</v>
      </c>
      <c r="BD312" s="1767">
        <v>0</v>
      </c>
      <c r="BE312" s="1767">
        <v>0</v>
      </c>
      <c r="BF312" s="1767">
        <v>0</v>
      </c>
      <c r="BG312" s="1767">
        <v>0</v>
      </c>
      <c r="BH312" s="1767">
        <v>0</v>
      </c>
      <c r="BI312" s="1767">
        <v>0</v>
      </c>
      <c r="BJ312" s="1767">
        <v>0</v>
      </c>
      <c r="BK312" s="1767">
        <v>0</v>
      </c>
      <c r="BL312" s="1767">
        <v>0</v>
      </c>
      <c r="BM312" s="1767">
        <v>0</v>
      </c>
      <c r="BN312" s="1767">
        <v>0</v>
      </c>
      <c r="BO312" s="1767">
        <v>0</v>
      </c>
      <c r="BP312" s="1767">
        <v>0</v>
      </c>
      <c r="BQ312" s="1767">
        <v>0</v>
      </c>
      <c r="BR312" s="1767">
        <v>0</v>
      </c>
      <c r="BS312" s="1767">
        <v>0</v>
      </c>
      <c r="BT312" s="1767">
        <v>0</v>
      </c>
      <c r="BU312" s="1767">
        <v>0</v>
      </c>
      <c r="BV312" s="1767">
        <v>0</v>
      </c>
      <c r="BW312" s="1767">
        <v>0</v>
      </c>
      <c r="BX312" s="1767">
        <v>0</v>
      </c>
      <c r="BY312" s="1767">
        <v>0</v>
      </c>
      <c r="BZ312" s="1767">
        <v>0</v>
      </c>
      <c r="CA312" s="1767">
        <v>0</v>
      </c>
      <c r="CB312" s="1767">
        <v>0</v>
      </c>
      <c r="CC312" s="1767">
        <v>0</v>
      </c>
      <c r="CD312" s="1767">
        <v>0</v>
      </c>
      <c r="CE312" s="1767">
        <v>0</v>
      </c>
      <c r="CF312" s="1767">
        <v>0</v>
      </c>
      <c r="CG312" s="1767">
        <v>0</v>
      </c>
      <c r="CH312" s="1767">
        <v>0</v>
      </c>
      <c r="CI312" s="1767">
        <v>0</v>
      </c>
      <c r="CJ312" s="1767">
        <v>0</v>
      </c>
      <c r="CK312" s="1767">
        <v>0</v>
      </c>
      <c r="CL312" s="1767">
        <v>0</v>
      </c>
      <c r="CM312" s="1767">
        <v>0</v>
      </c>
      <c r="CN312" s="1767">
        <v>0</v>
      </c>
      <c r="CO312" s="1767">
        <v>0</v>
      </c>
      <c r="CP312" s="1767">
        <v>0</v>
      </c>
    </row>
    <row r="313" spans="1:94" ht="15" customHeight="1" x14ac:dyDescent="0.2">
      <c r="A313" s="1847"/>
      <c r="B313" s="1856"/>
      <c r="C313" s="653" t="s">
        <v>615</v>
      </c>
      <c r="D313" s="936"/>
      <c r="E313" s="1862"/>
      <c r="F313" s="1225"/>
      <c r="G313" s="1767">
        <v>0</v>
      </c>
      <c r="H313" s="1767">
        <v>0</v>
      </c>
      <c r="I313" s="1767">
        <v>0</v>
      </c>
      <c r="J313" s="1767">
        <v>0</v>
      </c>
      <c r="K313" s="1767">
        <v>0</v>
      </c>
      <c r="L313" s="1767">
        <v>0</v>
      </c>
      <c r="M313" s="1767">
        <v>0</v>
      </c>
      <c r="N313" s="1767">
        <v>0</v>
      </c>
      <c r="O313" s="1767">
        <v>0</v>
      </c>
      <c r="P313" s="1767">
        <v>0</v>
      </c>
      <c r="Q313" s="1767">
        <v>0</v>
      </c>
      <c r="R313" s="1767">
        <v>0</v>
      </c>
      <c r="S313" s="1767">
        <v>0</v>
      </c>
      <c r="T313" s="1767">
        <v>0</v>
      </c>
      <c r="U313" s="1767">
        <v>0</v>
      </c>
      <c r="V313" s="1767">
        <v>0</v>
      </c>
      <c r="W313" s="1767">
        <v>0</v>
      </c>
      <c r="X313" s="1767">
        <v>0</v>
      </c>
      <c r="Y313" s="1767">
        <v>0</v>
      </c>
      <c r="Z313" s="1767">
        <v>0</v>
      </c>
      <c r="AA313" s="1767">
        <v>0</v>
      </c>
      <c r="AB313" s="1767">
        <v>0</v>
      </c>
      <c r="AC313" s="1767">
        <v>0</v>
      </c>
      <c r="AD313" s="1767">
        <v>0</v>
      </c>
      <c r="AE313" s="1767">
        <v>0</v>
      </c>
      <c r="AF313" s="1767">
        <v>0</v>
      </c>
      <c r="AG313" s="1767">
        <v>0</v>
      </c>
      <c r="AH313" s="1767">
        <v>0</v>
      </c>
      <c r="AI313" s="1767">
        <v>0</v>
      </c>
      <c r="AJ313" s="1767">
        <v>0</v>
      </c>
      <c r="AK313" s="1767">
        <v>0</v>
      </c>
      <c r="AL313" s="1767">
        <v>0</v>
      </c>
      <c r="AM313" s="1767">
        <v>0</v>
      </c>
      <c r="AN313" s="1767">
        <v>0</v>
      </c>
      <c r="AO313" s="1767">
        <v>0</v>
      </c>
      <c r="AP313" s="1767">
        <v>0</v>
      </c>
      <c r="AQ313" s="1767">
        <v>0</v>
      </c>
      <c r="AR313" s="1767">
        <v>0</v>
      </c>
      <c r="AS313" s="1767">
        <v>0</v>
      </c>
      <c r="AT313" s="1767">
        <v>0</v>
      </c>
      <c r="AU313" s="1767">
        <v>0</v>
      </c>
      <c r="AV313" s="1767">
        <v>0</v>
      </c>
      <c r="AW313" s="1767">
        <v>0</v>
      </c>
      <c r="AX313" s="1767">
        <v>0</v>
      </c>
      <c r="AY313" s="1767">
        <v>0</v>
      </c>
      <c r="AZ313" s="1767">
        <v>0</v>
      </c>
      <c r="BA313" s="1767">
        <v>0</v>
      </c>
      <c r="BB313" s="1767">
        <v>0</v>
      </c>
      <c r="BC313" s="1767">
        <v>0</v>
      </c>
      <c r="BD313" s="1767">
        <v>0</v>
      </c>
      <c r="BE313" s="1767">
        <v>0</v>
      </c>
      <c r="BF313" s="1767">
        <v>0</v>
      </c>
      <c r="BG313" s="1767">
        <v>0</v>
      </c>
      <c r="BH313" s="1767">
        <v>0</v>
      </c>
      <c r="BI313" s="1767">
        <v>0</v>
      </c>
      <c r="BJ313" s="1767">
        <v>0</v>
      </c>
      <c r="BK313" s="1767">
        <v>0</v>
      </c>
      <c r="BL313" s="1767">
        <v>0</v>
      </c>
      <c r="BM313" s="1767">
        <v>0</v>
      </c>
      <c r="BN313" s="1767">
        <v>0</v>
      </c>
      <c r="BO313" s="1767">
        <v>0</v>
      </c>
      <c r="BP313" s="1767">
        <v>0</v>
      </c>
      <c r="BQ313" s="1767">
        <v>0</v>
      </c>
      <c r="BR313" s="1767">
        <v>0</v>
      </c>
      <c r="BS313" s="1767">
        <v>0</v>
      </c>
      <c r="BT313" s="1767">
        <v>0</v>
      </c>
      <c r="BU313" s="1767">
        <v>0</v>
      </c>
      <c r="BV313" s="1767">
        <v>0</v>
      </c>
      <c r="BW313" s="1767">
        <v>0</v>
      </c>
      <c r="BX313" s="1767">
        <v>0</v>
      </c>
      <c r="BY313" s="1767">
        <v>0</v>
      </c>
      <c r="BZ313" s="1767">
        <v>0</v>
      </c>
      <c r="CA313" s="1767">
        <v>0</v>
      </c>
      <c r="CB313" s="1767">
        <v>0</v>
      </c>
      <c r="CC313" s="1767">
        <v>0</v>
      </c>
      <c r="CD313" s="1767">
        <v>0</v>
      </c>
      <c r="CE313" s="1767">
        <v>0</v>
      </c>
      <c r="CF313" s="1767">
        <v>0</v>
      </c>
      <c r="CG313" s="1767">
        <v>0</v>
      </c>
      <c r="CH313" s="1767">
        <v>0</v>
      </c>
      <c r="CI313" s="1767">
        <v>0</v>
      </c>
      <c r="CJ313" s="1767">
        <v>0</v>
      </c>
      <c r="CK313" s="1767">
        <v>0</v>
      </c>
      <c r="CL313" s="1767">
        <v>0</v>
      </c>
      <c r="CM313" s="1767">
        <v>0</v>
      </c>
      <c r="CN313" s="1767">
        <v>0</v>
      </c>
      <c r="CO313" s="1767">
        <v>0</v>
      </c>
      <c r="CP313" s="1767">
        <v>0</v>
      </c>
    </row>
    <row r="314" spans="1:94" ht="15" customHeight="1" thickBot="1" x14ac:dyDescent="0.25">
      <c r="A314" s="1848"/>
      <c r="B314" s="1857"/>
      <c r="C314" s="654" t="s">
        <v>616</v>
      </c>
      <c r="D314" s="950"/>
      <c r="E314" s="1863"/>
      <c r="F314" s="1225"/>
      <c r="G314" s="1767">
        <v>0</v>
      </c>
      <c r="H314" s="1767">
        <v>0</v>
      </c>
      <c r="I314" s="1767">
        <v>0</v>
      </c>
      <c r="J314" s="1767">
        <v>0</v>
      </c>
      <c r="K314" s="1767">
        <v>0</v>
      </c>
      <c r="L314" s="1767">
        <v>0</v>
      </c>
      <c r="M314" s="1767">
        <v>0</v>
      </c>
      <c r="N314" s="1767">
        <v>0</v>
      </c>
      <c r="O314" s="1767">
        <v>0</v>
      </c>
      <c r="P314" s="1767">
        <v>0</v>
      </c>
      <c r="Q314" s="1767">
        <v>0</v>
      </c>
      <c r="R314" s="1767">
        <v>0</v>
      </c>
      <c r="S314" s="1767">
        <v>0</v>
      </c>
      <c r="T314" s="1767">
        <v>0</v>
      </c>
      <c r="U314" s="1767">
        <v>0</v>
      </c>
      <c r="V314" s="1767">
        <v>0</v>
      </c>
      <c r="W314" s="1767">
        <v>0</v>
      </c>
      <c r="X314" s="1767">
        <v>0</v>
      </c>
      <c r="Y314" s="1767">
        <v>0</v>
      </c>
      <c r="Z314" s="1767">
        <v>0</v>
      </c>
      <c r="AA314" s="1767">
        <v>0</v>
      </c>
      <c r="AB314" s="1767">
        <v>0</v>
      </c>
      <c r="AC314" s="1767">
        <v>0</v>
      </c>
      <c r="AD314" s="1767">
        <v>0</v>
      </c>
      <c r="AE314" s="1767">
        <v>0</v>
      </c>
      <c r="AF314" s="1767">
        <v>0</v>
      </c>
      <c r="AG314" s="1767">
        <v>0</v>
      </c>
      <c r="AH314" s="1767">
        <v>0</v>
      </c>
      <c r="AI314" s="1767">
        <v>0</v>
      </c>
      <c r="AJ314" s="1767">
        <v>0</v>
      </c>
      <c r="AK314" s="1767">
        <v>0</v>
      </c>
      <c r="AL314" s="1767">
        <v>0</v>
      </c>
      <c r="AM314" s="1767">
        <v>0</v>
      </c>
      <c r="AN314" s="1767">
        <v>0</v>
      </c>
      <c r="AO314" s="1767">
        <v>0</v>
      </c>
      <c r="AP314" s="1767">
        <v>0</v>
      </c>
      <c r="AQ314" s="1767">
        <v>0</v>
      </c>
      <c r="AR314" s="1767">
        <v>0</v>
      </c>
      <c r="AS314" s="1767">
        <v>0</v>
      </c>
      <c r="AT314" s="1767">
        <v>0</v>
      </c>
      <c r="AU314" s="1767">
        <v>0</v>
      </c>
      <c r="AV314" s="1767">
        <v>0</v>
      </c>
      <c r="AW314" s="1767">
        <v>0</v>
      </c>
      <c r="AX314" s="1767">
        <v>0</v>
      </c>
      <c r="AY314" s="1767">
        <v>0</v>
      </c>
      <c r="AZ314" s="1767">
        <v>0</v>
      </c>
      <c r="BA314" s="1767">
        <v>0</v>
      </c>
      <c r="BB314" s="1767">
        <v>0</v>
      </c>
      <c r="BC314" s="1767">
        <v>0</v>
      </c>
      <c r="BD314" s="1767">
        <v>0</v>
      </c>
      <c r="BE314" s="1767">
        <v>0</v>
      </c>
      <c r="BF314" s="1767">
        <v>0</v>
      </c>
      <c r="BG314" s="1767">
        <v>0</v>
      </c>
      <c r="BH314" s="1767">
        <v>0</v>
      </c>
      <c r="BI314" s="1767">
        <v>0</v>
      </c>
      <c r="BJ314" s="1767">
        <v>0</v>
      </c>
      <c r="BK314" s="1767">
        <v>0</v>
      </c>
      <c r="BL314" s="1767">
        <v>0</v>
      </c>
      <c r="BM314" s="1767">
        <v>0</v>
      </c>
      <c r="BN314" s="1767">
        <v>0</v>
      </c>
      <c r="BO314" s="1767">
        <v>0</v>
      </c>
      <c r="BP314" s="1767">
        <v>0</v>
      </c>
      <c r="BQ314" s="1767">
        <v>0</v>
      </c>
      <c r="BR314" s="1767">
        <v>0</v>
      </c>
      <c r="BS314" s="1767">
        <v>0</v>
      </c>
      <c r="BT314" s="1767">
        <v>0</v>
      </c>
      <c r="BU314" s="1767">
        <v>0</v>
      </c>
      <c r="BV314" s="1767">
        <v>0</v>
      </c>
      <c r="BW314" s="1767">
        <v>0</v>
      </c>
      <c r="BX314" s="1767">
        <v>0</v>
      </c>
      <c r="BY314" s="1767">
        <v>0</v>
      </c>
      <c r="BZ314" s="1767">
        <v>0</v>
      </c>
      <c r="CA314" s="1767">
        <v>0</v>
      </c>
      <c r="CB314" s="1767">
        <v>0</v>
      </c>
      <c r="CC314" s="1767">
        <v>0</v>
      </c>
      <c r="CD314" s="1767">
        <v>0</v>
      </c>
      <c r="CE314" s="1767">
        <v>0</v>
      </c>
      <c r="CF314" s="1767">
        <v>0</v>
      </c>
      <c r="CG314" s="1767">
        <v>0</v>
      </c>
      <c r="CH314" s="1767">
        <v>0</v>
      </c>
      <c r="CI314" s="1767">
        <v>0</v>
      </c>
      <c r="CJ314" s="1767">
        <v>0</v>
      </c>
      <c r="CK314" s="1767">
        <v>0</v>
      </c>
      <c r="CL314" s="1767">
        <v>0</v>
      </c>
      <c r="CM314" s="1767">
        <v>0</v>
      </c>
      <c r="CN314" s="1767">
        <v>0</v>
      </c>
      <c r="CO314" s="1767">
        <v>0</v>
      </c>
      <c r="CP314" s="1767">
        <v>0</v>
      </c>
    </row>
    <row r="315" spans="1:94" ht="30" customHeight="1" thickBot="1" x14ac:dyDescent="0.25">
      <c r="A315" s="1889" t="s">
        <v>18</v>
      </c>
      <c r="B315" s="1856" t="s">
        <v>1986</v>
      </c>
      <c r="C315" s="1778" t="s">
        <v>1987</v>
      </c>
      <c r="D315" s="956"/>
      <c r="E315" s="1881" t="s">
        <v>1825</v>
      </c>
      <c r="F315" s="1225"/>
      <c r="G315" s="1742"/>
      <c r="H315" s="1770"/>
      <c r="I315" s="1770"/>
      <c r="J315" s="1770"/>
      <c r="K315" s="1770"/>
      <c r="L315" s="1770"/>
      <c r="M315" s="1770"/>
      <c r="N315" s="1770"/>
      <c r="O315" s="1770"/>
      <c r="P315" s="1770"/>
      <c r="Q315" s="1770"/>
      <c r="R315" s="1770"/>
      <c r="S315" s="1770"/>
      <c r="T315" s="1770"/>
      <c r="U315" s="1770"/>
      <c r="V315" s="1770"/>
      <c r="W315" s="1770"/>
      <c r="X315" s="1770"/>
      <c r="Y315" s="1770"/>
      <c r="Z315" s="1770"/>
      <c r="AA315" s="1770"/>
      <c r="AB315" s="1770"/>
      <c r="AC315" s="1770"/>
      <c r="AD315" s="1770"/>
      <c r="AE315" s="1770"/>
      <c r="AF315" s="1770"/>
      <c r="AG315" s="1770"/>
      <c r="AH315" s="1770"/>
      <c r="AI315" s="1770"/>
      <c r="AJ315" s="1770"/>
      <c r="AK315" s="1770"/>
      <c r="AL315" s="1770"/>
      <c r="AM315" s="1770"/>
      <c r="AN315" s="1770"/>
      <c r="AO315" s="1770"/>
      <c r="AP315" s="1770"/>
      <c r="AQ315" s="1770"/>
      <c r="AR315" s="1770"/>
      <c r="AS315" s="1770"/>
      <c r="AT315" s="1770"/>
      <c r="AU315" s="1770"/>
      <c r="AV315" s="1770"/>
      <c r="AW315" s="1770"/>
      <c r="AX315" s="1770"/>
      <c r="AY315" s="1770"/>
      <c r="AZ315" s="1770"/>
      <c r="BA315" s="1770"/>
      <c r="BB315" s="1770"/>
      <c r="BC315" s="1770"/>
      <c r="BD315" s="1770"/>
      <c r="BE315" s="1770"/>
      <c r="BF315" s="1770"/>
      <c r="BG315" s="1770"/>
      <c r="BH315" s="1770"/>
      <c r="BI315" s="1770"/>
      <c r="BJ315" s="1770"/>
      <c r="BK315" s="1770"/>
      <c r="BL315" s="1770"/>
      <c r="BM315" s="1770"/>
      <c r="BN315" s="1770"/>
      <c r="BO315" s="1770"/>
      <c r="BP315" s="1770"/>
      <c r="BQ315" s="1770"/>
      <c r="BR315" s="1770"/>
      <c r="BS315" s="1770"/>
      <c r="BT315" s="1770"/>
      <c r="BU315" s="1770"/>
      <c r="BV315" s="1770"/>
      <c r="BW315" s="1770"/>
      <c r="BX315" s="1770"/>
      <c r="BY315" s="1770"/>
      <c r="BZ315" s="1770"/>
      <c r="CA315" s="1770"/>
      <c r="CB315" s="1770"/>
      <c r="CC315" s="1770"/>
      <c r="CD315" s="1770"/>
      <c r="CE315" s="1770"/>
      <c r="CF315" s="1770"/>
      <c r="CG315" s="1770"/>
      <c r="CH315" s="1770"/>
      <c r="CI315" s="1770"/>
      <c r="CJ315" s="1770"/>
      <c r="CK315" s="1770"/>
      <c r="CL315" s="1770"/>
      <c r="CM315" s="1770"/>
      <c r="CN315" s="1770"/>
      <c r="CO315" s="1770"/>
      <c r="CP315" s="1770"/>
    </row>
    <row r="316" spans="1:94" ht="15" customHeight="1" x14ac:dyDescent="0.2">
      <c r="A316" s="1847"/>
      <c r="B316" s="1856"/>
      <c r="C316" s="652" t="s">
        <v>1759</v>
      </c>
      <c r="D316" s="936"/>
      <c r="E316" s="1881"/>
      <c r="F316" s="1225"/>
      <c r="G316" s="1767">
        <v>0</v>
      </c>
      <c r="H316" s="1771">
        <v>0</v>
      </c>
      <c r="I316" s="1771">
        <v>0</v>
      </c>
      <c r="J316" s="1771">
        <v>0</v>
      </c>
      <c r="K316" s="1771">
        <v>0</v>
      </c>
      <c r="L316" s="1771">
        <v>0</v>
      </c>
      <c r="M316" s="1771">
        <v>0</v>
      </c>
      <c r="N316" s="1771">
        <v>0</v>
      </c>
      <c r="O316" s="1771">
        <v>0</v>
      </c>
      <c r="P316" s="1771">
        <v>0</v>
      </c>
      <c r="Q316" s="1771">
        <v>0</v>
      </c>
      <c r="R316" s="1771">
        <v>0</v>
      </c>
      <c r="S316" s="1771">
        <v>0</v>
      </c>
      <c r="T316" s="1771">
        <v>0</v>
      </c>
      <c r="U316" s="1771">
        <v>0</v>
      </c>
      <c r="V316" s="1771">
        <v>0</v>
      </c>
      <c r="W316" s="1771">
        <v>0</v>
      </c>
      <c r="X316" s="1771">
        <v>0</v>
      </c>
      <c r="Y316" s="1771">
        <v>0</v>
      </c>
      <c r="Z316" s="1771">
        <v>0</v>
      </c>
      <c r="AA316" s="1771">
        <v>0</v>
      </c>
      <c r="AB316" s="1771">
        <v>0</v>
      </c>
      <c r="AC316" s="1771">
        <v>0</v>
      </c>
      <c r="AD316" s="1771">
        <v>0</v>
      </c>
      <c r="AE316" s="1771">
        <v>0</v>
      </c>
      <c r="AF316" s="1771">
        <v>0</v>
      </c>
      <c r="AG316" s="1771">
        <v>0</v>
      </c>
      <c r="AH316" s="1771">
        <v>0</v>
      </c>
      <c r="AI316" s="1771">
        <v>0</v>
      </c>
      <c r="AJ316" s="1771">
        <v>0</v>
      </c>
      <c r="AK316" s="1771">
        <v>0</v>
      </c>
      <c r="AL316" s="1771">
        <v>0</v>
      </c>
      <c r="AM316" s="1771">
        <v>0</v>
      </c>
      <c r="AN316" s="1771">
        <v>0</v>
      </c>
      <c r="AO316" s="1771">
        <v>0</v>
      </c>
      <c r="AP316" s="1771">
        <v>0</v>
      </c>
      <c r="AQ316" s="1771">
        <v>0</v>
      </c>
      <c r="AR316" s="1771">
        <v>0</v>
      </c>
      <c r="AS316" s="1771">
        <v>0</v>
      </c>
      <c r="AT316" s="1771">
        <v>0</v>
      </c>
      <c r="AU316" s="1771">
        <v>0</v>
      </c>
      <c r="AV316" s="1771">
        <v>0</v>
      </c>
      <c r="AW316" s="1771">
        <v>0</v>
      </c>
      <c r="AX316" s="1771">
        <v>0</v>
      </c>
      <c r="AY316" s="1771">
        <v>0</v>
      </c>
      <c r="AZ316" s="1771">
        <v>0</v>
      </c>
      <c r="BA316" s="1771">
        <v>0</v>
      </c>
      <c r="BB316" s="1771">
        <v>0</v>
      </c>
      <c r="BC316" s="1771">
        <v>0</v>
      </c>
      <c r="BD316" s="1771">
        <v>0</v>
      </c>
      <c r="BE316" s="1771">
        <v>0</v>
      </c>
      <c r="BF316" s="1771">
        <v>0</v>
      </c>
      <c r="BG316" s="1771">
        <v>0</v>
      </c>
      <c r="BH316" s="1771">
        <v>0</v>
      </c>
      <c r="BI316" s="1771">
        <v>0</v>
      </c>
      <c r="BJ316" s="1771">
        <v>0</v>
      </c>
      <c r="BK316" s="1771">
        <v>0</v>
      </c>
      <c r="BL316" s="1771">
        <v>0</v>
      </c>
      <c r="BM316" s="1771">
        <v>0</v>
      </c>
      <c r="BN316" s="1771">
        <v>0</v>
      </c>
      <c r="BO316" s="1771">
        <v>0</v>
      </c>
      <c r="BP316" s="1771">
        <v>0</v>
      </c>
      <c r="BQ316" s="1771">
        <v>0</v>
      </c>
      <c r="BR316" s="1771">
        <v>0</v>
      </c>
      <c r="BS316" s="1771">
        <v>0</v>
      </c>
      <c r="BT316" s="1771">
        <v>0</v>
      </c>
      <c r="BU316" s="1771">
        <v>0</v>
      </c>
      <c r="BV316" s="1771">
        <v>0</v>
      </c>
      <c r="BW316" s="1771">
        <v>0</v>
      </c>
      <c r="BX316" s="1771">
        <v>0</v>
      </c>
      <c r="BY316" s="1771">
        <v>0</v>
      </c>
      <c r="BZ316" s="1771">
        <v>0</v>
      </c>
      <c r="CA316" s="1771">
        <v>0</v>
      </c>
      <c r="CB316" s="1771">
        <v>0</v>
      </c>
      <c r="CC316" s="1771">
        <v>0</v>
      </c>
      <c r="CD316" s="1771">
        <v>0</v>
      </c>
      <c r="CE316" s="1771">
        <v>0</v>
      </c>
      <c r="CF316" s="1771">
        <v>0</v>
      </c>
      <c r="CG316" s="1771">
        <v>0</v>
      </c>
      <c r="CH316" s="1771">
        <v>0</v>
      </c>
      <c r="CI316" s="1771">
        <v>0</v>
      </c>
      <c r="CJ316" s="1771">
        <v>0</v>
      </c>
      <c r="CK316" s="1771">
        <v>0</v>
      </c>
      <c r="CL316" s="1771">
        <v>0</v>
      </c>
      <c r="CM316" s="1771">
        <v>0</v>
      </c>
      <c r="CN316" s="1771">
        <v>0</v>
      </c>
      <c r="CO316" s="1771">
        <v>0</v>
      </c>
      <c r="CP316" s="1771">
        <v>0</v>
      </c>
    </row>
    <row r="317" spans="1:94" ht="15" customHeight="1" x14ac:dyDescent="0.2">
      <c r="A317" s="1847"/>
      <c r="B317" s="1856"/>
      <c r="C317" s="653" t="s">
        <v>615</v>
      </c>
      <c r="D317" s="936"/>
      <c r="E317" s="1881"/>
      <c r="F317" s="1225"/>
      <c r="G317" s="1767">
        <v>0</v>
      </c>
      <c r="H317" s="1771">
        <v>0</v>
      </c>
      <c r="I317" s="1771">
        <v>0</v>
      </c>
      <c r="J317" s="1771">
        <v>0</v>
      </c>
      <c r="K317" s="1771">
        <v>0</v>
      </c>
      <c r="L317" s="1771">
        <v>0</v>
      </c>
      <c r="M317" s="1771">
        <v>0</v>
      </c>
      <c r="N317" s="1771">
        <v>0</v>
      </c>
      <c r="O317" s="1771">
        <v>0</v>
      </c>
      <c r="P317" s="1771">
        <v>0</v>
      </c>
      <c r="Q317" s="1771">
        <v>0</v>
      </c>
      <c r="R317" s="1771">
        <v>0</v>
      </c>
      <c r="S317" s="1771">
        <v>0</v>
      </c>
      <c r="T317" s="1771">
        <v>0</v>
      </c>
      <c r="U317" s="1771">
        <v>0</v>
      </c>
      <c r="V317" s="1771">
        <v>0</v>
      </c>
      <c r="W317" s="1771">
        <v>0</v>
      </c>
      <c r="X317" s="1771">
        <v>0</v>
      </c>
      <c r="Y317" s="1771">
        <v>0</v>
      </c>
      <c r="Z317" s="1771">
        <v>0</v>
      </c>
      <c r="AA317" s="1771">
        <v>0</v>
      </c>
      <c r="AB317" s="1771">
        <v>0</v>
      </c>
      <c r="AC317" s="1771">
        <v>0</v>
      </c>
      <c r="AD317" s="1771">
        <v>0</v>
      </c>
      <c r="AE317" s="1771">
        <v>0</v>
      </c>
      <c r="AF317" s="1771">
        <v>0</v>
      </c>
      <c r="AG317" s="1771">
        <v>0</v>
      </c>
      <c r="AH317" s="1771">
        <v>0</v>
      </c>
      <c r="AI317" s="1771">
        <v>0</v>
      </c>
      <c r="AJ317" s="1771">
        <v>0</v>
      </c>
      <c r="AK317" s="1771">
        <v>0</v>
      </c>
      <c r="AL317" s="1771">
        <v>0</v>
      </c>
      <c r="AM317" s="1771">
        <v>0</v>
      </c>
      <c r="AN317" s="1771">
        <v>0</v>
      </c>
      <c r="AO317" s="1771">
        <v>0</v>
      </c>
      <c r="AP317" s="1771">
        <v>0</v>
      </c>
      <c r="AQ317" s="1771">
        <v>0</v>
      </c>
      <c r="AR317" s="1771">
        <v>0</v>
      </c>
      <c r="AS317" s="1771">
        <v>0</v>
      </c>
      <c r="AT317" s="1771">
        <v>0</v>
      </c>
      <c r="AU317" s="1771">
        <v>0</v>
      </c>
      <c r="AV317" s="1771">
        <v>0</v>
      </c>
      <c r="AW317" s="1771">
        <v>0</v>
      </c>
      <c r="AX317" s="1771">
        <v>0</v>
      </c>
      <c r="AY317" s="1771">
        <v>0</v>
      </c>
      <c r="AZ317" s="1771">
        <v>0</v>
      </c>
      <c r="BA317" s="1771">
        <v>0</v>
      </c>
      <c r="BB317" s="1771">
        <v>0</v>
      </c>
      <c r="BC317" s="1771">
        <v>0</v>
      </c>
      <c r="BD317" s="1771">
        <v>0</v>
      </c>
      <c r="BE317" s="1771">
        <v>0</v>
      </c>
      <c r="BF317" s="1771">
        <v>0</v>
      </c>
      <c r="BG317" s="1771">
        <v>0</v>
      </c>
      <c r="BH317" s="1771">
        <v>0</v>
      </c>
      <c r="BI317" s="1771">
        <v>0</v>
      </c>
      <c r="BJ317" s="1771">
        <v>0</v>
      </c>
      <c r="BK317" s="1771">
        <v>0</v>
      </c>
      <c r="BL317" s="1771">
        <v>0</v>
      </c>
      <c r="BM317" s="1771">
        <v>0</v>
      </c>
      <c r="BN317" s="1771">
        <v>0</v>
      </c>
      <c r="BO317" s="1771">
        <v>0</v>
      </c>
      <c r="BP317" s="1771">
        <v>0</v>
      </c>
      <c r="BQ317" s="1771">
        <v>0</v>
      </c>
      <c r="BR317" s="1771">
        <v>0</v>
      </c>
      <c r="BS317" s="1771">
        <v>0</v>
      </c>
      <c r="BT317" s="1771">
        <v>0</v>
      </c>
      <c r="BU317" s="1771">
        <v>0</v>
      </c>
      <c r="BV317" s="1771">
        <v>0</v>
      </c>
      <c r="BW317" s="1771">
        <v>0</v>
      </c>
      <c r="BX317" s="1771">
        <v>0</v>
      </c>
      <c r="BY317" s="1771">
        <v>0</v>
      </c>
      <c r="BZ317" s="1771">
        <v>0</v>
      </c>
      <c r="CA317" s="1771">
        <v>0</v>
      </c>
      <c r="CB317" s="1771">
        <v>0</v>
      </c>
      <c r="CC317" s="1771">
        <v>0</v>
      </c>
      <c r="CD317" s="1771">
        <v>0</v>
      </c>
      <c r="CE317" s="1771">
        <v>0</v>
      </c>
      <c r="CF317" s="1771">
        <v>0</v>
      </c>
      <c r="CG317" s="1771">
        <v>0</v>
      </c>
      <c r="CH317" s="1771">
        <v>0</v>
      </c>
      <c r="CI317" s="1771">
        <v>0</v>
      </c>
      <c r="CJ317" s="1771">
        <v>0</v>
      </c>
      <c r="CK317" s="1771">
        <v>0</v>
      </c>
      <c r="CL317" s="1771">
        <v>0</v>
      </c>
      <c r="CM317" s="1771">
        <v>0</v>
      </c>
      <c r="CN317" s="1771">
        <v>0</v>
      </c>
      <c r="CO317" s="1771">
        <v>0</v>
      </c>
      <c r="CP317" s="1771">
        <v>0</v>
      </c>
    </row>
    <row r="318" spans="1:94" ht="15" customHeight="1" thickBot="1" x14ac:dyDescent="0.25">
      <c r="A318" s="1847"/>
      <c r="B318" s="1856"/>
      <c r="C318" s="800" t="s">
        <v>616</v>
      </c>
      <c r="D318" s="949"/>
      <c r="E318" s="1881"/>
      <c r="F318" s="1225"/>
      <c r="G318" s="1767">
        <v>0</v>
      </c>
      <c r="H318" s="1771">
        <v>0</v>
      </c>
      <c r="I318" s="1771">
        <v>0</v>
      </c>
      <c r="J318" s="1771">
        <v>0</v>
      </c>
      <c r="K318" s="1771">
        <v>0</v>
      </c>
      <c r="L318" s="1771">
        <v>0</v>
      </c>
      <c r="M318" s="1771">
        <v>0</v>
      </c>
      <c r="N318" s="1771">
        <v>0</v>
      </c>
      <c r="O318" s="1771">
        <v>0</v>
      </c>
      <c r="P318" s="1771">
        <v>0</v>
      </c>
      <c r="Q318" s="1771">
        <v>0</v>
      </c>
      <c r="R318" s="1771">
        <v>0</v>
      </c>
      <c r="S318" s="1771">
        <v>0</v>
      </c>
      <c r="T318" s="1771">
        <v>0</v>
      </c>
      <c r="U318" s="1771">
        <v>0</v>
      </c>
      <c r="V318" s="1771">
        <v>0</v>
      </c>
      <c r="W318" s="1771">
        <v>0</v>
      </c>
      <c r="X318" s="1771">
        <v>0</v>
      </c>
      <c r="Y318" s="1771">
        <v>0</v>
      </c>
      <c r="Z318" s="1771">
        <v>0</v>
      </c>
      <c r="AA318" s="1771">
        <v>0</v>
      </c>
      <c r="AB318" s="1771">
        <v>0</v>
      </c>
      <c r="AC318" s="1771">
        <v>0</v>
      </c>
      <c r="AD318" s="1771">
        <v>0</v>
      </c>
      <c r="AE318" s="1771">
        <v>0</v>
      </c>
      <c r="AF318" s="1771">
        <v>0</v>
      </c>
      <c r="AG318" s="1771">
        <v>0</v>
      </c>
      <c r="AH318" s="1771">
        <v>0</v>
      </c>
      <c r="AI318" s="1771">
        <v>0</v>
      </c>
      <c r="AJ318" s="1771">
        <v>0</v>
      </c>
      <c r="AK318" s="1771">
        <v>0</v>
      </c>
      <c r="AL318" s="1771">
        <v>0</v>
      </c>
      <c r="AM318" s="1771">
        <v>0</v>
      </c>
      <c r="AN318" s="1771">
        <v>0</v>
      </c>
      <c r="AO318" s="1771">
        <v>0</v>
      </c>
      <c r="AP318" s="1771">
        <v>0</v>
      </c>
      <c r="AQ318" s="1771">
        <v>0</v>
      </c>
      <c r="AR318" s="1771">
        <v>0</v>
      </c>
      <c r="AS318" s="1771">
        <v>0</v>
      </c>
      <c r="AT318" s="1771">
        <v>0</v>
      </c>
      <c r="AU318" s="1771">
        <v>0</v>
      </c>
      <c r="AV318" s="1771">
        <v>0</v>
      </c>
      <c r="AW318" s="1771">
        <v>0</v>
      </c>
      <c r="AX318" s="1771">
        <v>0</v>
      </c>
      <c r="AY318" s="1771">
        <v>0</v>
      </c>
      <c r="AZ318" s="1771">
        <v>0</v>
      </c>
      <c r="BA318" s="1771">
        <v>0</v>
      </c>
      <c r="BB318" s="1771">
        <v>0</v>
      </c>
      <c r="BC318" s="1771">
        <v>0</v>
      </c>
      <c r="BD318" s="1771">
        <v>0</v>
      </c>
      <c r="BE318" s="1771">
        <v>0</v>
      </c>
      <c r="BF318" s="1771">
        <v>0</v>
      </c>
      <c r="BG318" s="1771">
        <v>0</v>
      </c>
      <c r="BH318" s="1771">
        <v>0</v>
      </c>
      <c r="BI318" s="1771">
        <v>0</v>
      </c>
      <c r="BJ318" s="1771">
        <v>0</v>
      </c>
      <c r="BK318" s="1771">
        <v>0</v>
      </c>
      <c r="BL318" s="1771">
        <v>0</v>
      </c>
      <c r="BM318" s="1771">
        <v>0</v>
      </c>
      <c r="BN318" s="1771">
        <v>0</v>
      </c>
      <c r="BO318" s="1771">
        <v>0</v>
      </c>
      <c r="BP318" s="1771">
        <v>0</v>
      </c>
      <c r="BQ318" s="1771">
        <v>0</v>
      </c>
      <c r="BR318" s="1771">
        <v>0</v>
      </c>
      <c r="BS318" s="1771">
        <v>0</v>
      </c>
      <c r="BT318" s="1771">
        <v>0</v>
      </c>
      <c r="BU318" s="1771">
        <v>0</v>
      </c>
      <c r="BV318" s="1771">
        <v>0</v>
      </c>
      <c r="BW318" s="1771">
        <v>0</v>
      </c>
      <c r="BX318" s="1771">
        <v>0</v>
      </c>
      <c r="BY318" s="1771">
        <v>0</v>
      </c>
      <c r="BZ318" s="1771">
        <v>0</v>
      </c>
      <c r="CA318" s="1771">
        <v>0</v>
      </c>
      <c r="CB318" s="1771">
        <v>0</v>
      </c>
      <c r="CC318" s="1771">
        <v>0</v>
      </c>
      <c r="CD318" s="1771">
        <v>0</v>
      </c>
      <c r="CE318" s="1771">
        <v>0</v>
      </c>
      <c r="CF318" s="1771">
        <v>0</v>
      </c>
      <c r="CG318" s="1771">
        <v>0</v>
      </c>
      <c r="CH318" s="1771">
        <v>0</v>
      </c>
      <c r="CI318" s="1771">
        <v>0</v>
      </c>
      <c r="CJ318" s="1771">
        <v>0</v>
      </c>
      <c r="CK318" s="1771">
        <v>0</v>
      </c>
      <c r="CL318" s="1771">
        <v>0</v>
      </c>
      <c r="CM318" s="1771">
        <v>0</v>
      </c>
      <c r="CN318" s="1771">
        <v>0</v>
      </c>
      <c r="CO318" s="1771">
        <v>0</v>
      </c>
      <c r="CP318" s="1771">
        <v>0</v>
      </c>
    </row>
    <row r="319" spans="1:94" ht="21" customHeight="1" thickBot="1" x14ac:dyDescent="0.25">
      <c r="A319" s="1846" t="s">
        <v>1998</v>
      </c>
      <c r="B319" s="1846" t="s">
        <v>1997</v>
      </c>
      <c r="C319" s="1790" t="s">
        <v>1988</v>
      </c>
      <c r="D319" s="974"/>
      <c r="E319" s="1910" t="s">
        <v>2053</v>
      </c>
      <c r="F319" s="1225"/>
      <c r="G319" s="1742"/>
      <c r="H319" s="1770"/>
      <c r="I319" s="1770"/>
      <c r="J319" s="1770"/>
      <c r="K319" s="1770"/>
      <c r="L319" s="1770"/>
      <c r="M319" s="1770"/>
      <c r="N319" s="1770"/>
      <c r="O319" s="1770"/>
      <c r="P319" s="1770"/>
      <c r="Q319" s="1770"/>
      <c r="R319" s="1770"/>
      <c r="S319" s="1770"/>
      <c r="T319" s="1770"/>
      <c r="U319" s="1770"/>
      <c r="V319" s="1770"/>
      <c r="W319" s="1770"/>
      <c r="X319" s="1770"/>
      <c r="Y319" s="1770"/>
      <c r="Z319" s="1770"/>
      <c r="AA319" s="1770"/>
      <c r="AB319" s="1770"/>
      <c r="AC319" s="1770"/>
      <c r="AD319" s="1770"/>
      <c r="AE319" s="1770"/>
      <c r="AF319" s="1770"/>
      <c r="AG319" s="1770"/>
      <c r="AH319" s="1770"/>
      <c r="AI319" s="1770"/>
      <c r="AJ319" s="1770"/>
      <c r="AK319" s="1770"/>
      <c r="AL319" s="1770"/>
      <c r="AM319" s="1770"/>
      <c r="AN319" s="1770"/>
      <c r="AO319" s="1770"/>
      <c r="AP319" s="1770"/>
      <c r="AQ319" s="1770"/>
      <c r="AR319" s="1770"/>
      <c r="AS319" s="1770"/>
      <c r="AT319" s="1770"/>
      <c r="AU319" s="1770"/>
      <c r="AV319" s="1770"/>
      <c r="AW319" s="1770"/>
      <c r="AX319" s="1770"/>
      <c r="AY319" s="1770"/>
      <c r="AZ319" s="1770"/>
      <c r="BA319" s="1770"/>
      <c r="BB319" s="1770"/>
      <c r="BC319" s="1770"/>
      <c r="BD319" s="1770"/>
      <c r="BE319" s="1770"/>
      <c r="BF319" s="1770"/>
      <c r="BG319" s="1770"/>
      <c r="BH319" s="1770"/>
      <c r="BI319" s="1770"/>
      <c r="BJ319" s="1770"/>
      <c r="BK319" s="1770"/>
      <c r="BL319" s="1770"/>
      <c r="BM319" s="1770"/>
      <c r="BN319" s="1770"/>
      <c r="BO319" s="1770"/>
      <c r="BP319" s="1770"/>
      <c r="BQ319" s="1770"/>
      <c r="BR319" s="1770"/>
      <c r="BS319" s="1770"/>
      <c r="BT319" s="1770"/>
      <c r="BU319" s="1770"/>
      <c r="BV319" s="1770"/>
      <c r="BW319" s="1770"/>
      <c r="BX319" s="1770"/>
      <c r="BY319" s="1770"/>
      <c r="BZ319" s="1770"/>
      <c r="CA319" s="1770"/>
      <c r="CB319" s="1770"/>
      <c r="CC319" s="1770"/>
      <c r="CD319" s="1770"/>
      <c r="CE319" s="1770"/>
      <c r="CF319" s="1770"/>
      <c r="CG319" s="1770"/>
      <c r="CH319" s="1770"/>
      <c r="CI319" s="1770"/>
      <c r="CJ319" s="1770"/>
      <c r="CK319" s="1770"/>
      <c r="CL319" s="1770"/>
      <c r="CM319" s="1770"/>
      <c r="CN319" s="1770"/>
      <c r="CO319" s="1770"/>
      <c r="CP319" s="1770"/>
    </row>
    <row r="320" spans="1:94" ht="27" customHeight="1" x14ac:dyDescent="0.2">
      <c r="A320" s="1847"/>
      <c r="B320" s="1856"/>
      <c r="C320" s="878" t="s">
        <v>2341</v>
      </c>
      <c r="D320" s="936"/>
      <c r="E320" s="1881"/>
      <c r="F320" s="1225"/>
      <c r="G320" s="1767">
        <v>0</v>
      </c>
      <c r="H320" s="1771">
        <v>0</v>
      </c>
      <c r="I320" s="1771">
        <v>0</v>
      </c>
      <c r="J320" s="1771">
        <v>0</v>
      </c>
      <c r="K320" s="1771">
        <v>0</v>
      </c>
      <c r="L320" s="1771">
        <v>0</v>
      </c>
      <c r="M320" s="1771">
        <v>0</v>
      </c>
      <c r="N320" s="1771">
        <v>0</v>
      </c>
      <c r="O320" s="1771">
        <v>0</v>
      </c>
      <c r="P320" s="1771">
        <v>0</v>
      </c>
      <c r="Q320" s="1771">
        <v>0</v>
      </c>
      <c r="R320" s="1771">
        <v>0</v>
      </c>
      <c r="S320" s="1771">
        <v>0</v>
      </c>
      <c r="T320" s="1771">
        <v>0</v>
      </c>
      <c r="U320" s="1771">
        <v>0</v>
      </c>
      <c r="V320" s="1771">
        <v>0</v>
      </c>
      <c r="W320" s="1771">
        <v>0</v>
      </c>
      <c r="X320" s="1771">
        <v>0</v>
      </c>
      <c r="Y320" s="1771">
        <v>0</v>
      </c>
      <c r="Z320" s="1771">
        <v>0</v>
      </c>
      <c r="AA320" s="1771">
        <v>0</v>
      </c>
      <c r="AB320" s="1771">
        <v>0</v>
      </c>
      <c r="AC320" s="1771">
        <v>0</v>
      </c>
      <c r="AD320" s="1771">
        <v>0</v>
      </c>
      <c r="AE320" s="1771">
        <v>0</v>
      </c>
      <c r="AF320" s="1771">
        <v>0</v>
      </c>
      <c r="AG320" s="1771">
        <v>0</v>
      </c>
      <c r="AH320" s="1771">
        <v>0</v>
      </c>
      <c r="AI320" s="1771">
        <v>0</v>
      </c>
      <c r="AJ320" s="1771">
        <v>0</v>
      </c>
      <c r="AK320" s="1771">
        <v>0</v>
      </c>
      <c r="AL320" s="1771">
        <v>0</v>
      </c>
      <c r="AM320" s="1771">
        <v>0</v>
      </c>
      <c r="AN320" s="1771">
        <v>0</v>
      </c>
      <c r="AO320" s="1771">
        <v>0</v>
      </c>
      <c r="AP320" s="1771">
        <v>0</v>
      </c>
      <c r="AQ320" s="1771">
        <v>0</v>
      </c>
      <c r="AR320" s="1771">
        <v>0</v>
      </c>
      <c r="AS320" s="1771">
        <v>0</v>
      </c>
      <c r="AT320" s="1771">
        <v>0</v>
      </c>
      <c r="AU320" s="1771">
        <v>0</v>
      </c>
      <c r="AV320" s="1771">
        <v>0</v>
      </c>
      <c r="AW320" s="1771">
        <v>0</v>
      </c>
      <c r="AX320" s="1771">
        <v>0</v>
      </c>
      <c r="AY320" s="1771">
        <v>0</v>
      </c>
      <c r="AZ320" s="1771">
        <v>0</v>
      </c>
      <c r="BA320" s="1771">
        <v>0</v>
      </c>
      <c r="BB320" s="1771">
        <v>0</v>
      </c>
      <c r="BC320" s="1771">
        <v>0</v>
      </c>
      <c r="BD320" s="1771">
        <v>0</v>
      </c>
      <c r="BE320" s="1771">
        <v>0</v>
      </c>
      <c r="BF320" s="1771">
        <v>0</v>
      </c>
      <c r="BG320" s="1771">
        <v>0</v>
      </c>
      <c r="BH320" s="1771">
        <v>0</v>
      </c>
      <c r="BI320" s="1771">
        <v>0</v>
      </c>
      <c r="BJ320" s="1771">
        <v>0</v>
      </c>
      <c r="BK320" s="1771">
        <v>0</v>
      </c>
      <c r="BL320" s="1771">
        <v>0</v>
      </c>
      <c r="BM320" s="1771">
        <v>0</v>
      </c>
      <c r="BN320" s="1771">
        <v>0</v>
      </c>
      <c r="BO320" s="1771">
        <v>0</v>
      </c>
      <c r="BP320" s="1771">
        <v>0</v>
      </c>
      <c r="BQ320" s="1771">
        <v>0</v>
      </c>
      <c r="BR320" s="1771">
        <v>0</v>
      </c>
      <c r="BS320" s="1771">
        <v>0</v>
      </c>
      <c r="BT320" s="1771">
        <v>0</v>
      </c>
      <c r="BU320" s="1771">
        <v>0</v>
      </c>
      <c r="BV320" s="1771">
        <v>0</v>
      </c>
      <c r="BW320" s="1771">
        <v>0</v>
      </c>
      <c r="BX320" s="1771">
        <v>0</v>
      </c>
      <c r="BY320" s="1771">
        <v>0</v>
      </c>
      <c r="BZ320" s="1771">
        <v>0</v>
      </c>
      <c r="CA320" s="1771">
        <v>0</v>
      </c>
      <c r="CB320" s="1771">
        <v>0</v>
      </c>
      <c r="CC320" s="1771">
        <v>0</v>
      </c>
      <c r="CD320" s="1771">
        <v>0</v>
      </c>
      <c r="CE320" s="1771">
        <v>0</v>
      </c>
      <c r="CF320" s="1771">
        <v>0</v>
      </c>
      <c r="CG320" s="1771">
        <v>0</v>
      </c>
      <c r="CH320" s="1771">
        <v>0</v>
      </c>
      <c r="CI320" s="1771">
        <v>0</v>
      </c>
      <c r="CJ320" s="1771">
        <v>0</v>
      </c>
      <c r="CK320" s="1771">
        <v>0</v>
      </c>
      <c r="CL320" s="1771">
        <v>0</v>
      </c>
      <c r="CM320" s="1771">
        <v>0</v>
      </c>
      <c r="CN320" s="1771">
        <v>0</v>
      </c>
      <c r="CO320" s="1771">
        <v>0</v>
      </c>
      <c r="CP320" s="1771">
        <v>0</v>
      </c>
    </row>
    <row r="321" spans="1:94" ht="27" customHeight="1" x14ac:dyDescent="0.2">
      <c r="A321" s="1847"/>
      <c r="B321" s="1856"/>
      <c r="C321" s="879" t="s">
        <v>2061</v>
      </c>
      <c r="D321" s="936"/>
      <c r="E321" s="1881"/>
      <c r="F321" s="1225"/>
      <c r="G321" s="1767">
        <v>0</v>
      </c>
      <c r="H321" s="1771">
        <v>0</v>
      </c>
      <c r="I321" s="1771">
        <v>0</v>
      </c>
      <c r="J321" s="1771">
        <v>0</v>
      </c>
      <c r="K321" s="1771">
        <v>0</v>
      </c>
      <c r="L321" s="1771">
        <v>0</v>
      </c>
      <c r="M321" s="1771">
        <v>0</v>
      </c>
      <c r="N321" s="1771">
        <v>0</v>
      </c>
      <c r="O321" s="1771">
        <v>0</v>
      </c>
      <c r="P321" s="1771">
        <v>0</v>
      </c>
      <c r="Q321" s="1771">
        <v>0</v>
      </c>
      <c r="R321" s="1771">
        <v>0</v>
      </c>
      <c r="S321" s="1771">
        <v>0</v>
      </c>
      <c r="T321" s="1771">
        <v>0</v>
      </c>
      <c r="U321" s="1771">
        <v>0</v>
      </c>
      <c r="V321" s="1771">
        <v>0</v>
      </c>
      <c r="W321" s="1771">
        <v>0</v>
      </c>
      <c r="X321" s="1771">
        <v>0</v>
      </c>
      <c r="Y321" s="1771">
        <v>0</v>
      </c>
      <c r="Z321" s="1771">
        <v>0</v>
      </c>
      <c r="AA321" s="1771">
        <v>0</v>
      </c>
      <c r="AB321" s="1771">
        <v>0</v>
      </c>
      <c r="AC321" s="1771">
        <v>0</v>
      </c>
      <c r="AD321" s="1771">
        <v>0</v>
      </c>
      <c r="AE321" s="1771">
        <v>0</v>
      </c>
      <c r="AF321" s="1771">
        <v>0</v>
      </c>
      <c r="AG321" s="1771">
        <v>0</v>
      </c>
      <c r="AH321" s="1771">
        <v>0</v>
      </c>
      <c r="AI321" s="1771">
        <v>0</v>
      </c>
      <c r="AJ321" s="1771">
        <v>0</v>
      </c>
      <c r="AK321" s="1771">
        <v>0</v>
      </c>
      <c r="AL321" s="1771">
        <v>0</v>
      </c>
      <c r="AM321" s="1771">
        <v>0</v>
      </c>
      <c r="AN321" s="1771">
        <v>0</v>
      </c>
      <c r="AO321" s="1771">
        <v>0</v>
      </c>
      <c r="AP321" s="1771">
        <v>0</v>
      </c>
      <c r="AQ321" s="1771">
        <v>0</v>
      </c>
      <c r="AR321" s="1771">
        <v>0</v>
      </c>
      <c r="AS321" s="1771">
        <v>0</v>
      </c>
      <c r="AT321" s="1771">
        <v>0</v>
      </c>
      <c r="AU321" s="1771">
        <v>0</v>
      </c>
      <c r="AV321" s="1771">
        <v>0</v>
      </c>
      <c r="AW321" s="1771">
        <v>0</v>
      </c>
      <c r="AX321" s="1771">
        <v>0</v>
      </c>
      <c r="AY321" s="1771">
        <v>0</v>
      </c>
      <c r="AZ321" s="1771">
        <v>0</v>
      </c>
      <c r="BA321" s="1771">
        <v>0</v>
      </c>
      <c r="BB321" s="1771">
        <v>0</v>
      </c>
      <c r="BC321" s="1771">
        <v>0</v>
      </c>
      <c r="BD321" s="1771">
        <v>0</v>
      </c>
      <c r="BE321" s="1771">
        <v>0</v>
      </c>
      <c r="BF321" s="1771">
        <v>0</v>
      </c>
      <c r="BG321" s="1771">
        <v>0</v>
      </c>
      <c r="BH321" s="1771">
        <v>0</v>
      </c>
      <c r="BI321" s="1771">
        <v>0</v>
      </c>
      <c r="BJ321" s="1771">
        <v>0</v>
      </c>
      <c r="BK321" s="1771">
        <v>0</v>
      </c>
      <c r="BL321" s="1771">
        <v>0</v>
      </c>
      <c r="BM321" s="1771">
        <v>0</v>
      </c>
      <c r="BN321" s="1771">
        <v>0</v>
      </c>
      <c r="BO321" s="1771">
        <v>0</v>
      </c>
      <c r="BP321" s="1771">
        <v>0</v>
      </c>
      <c r="BQ321" s="1771">
        <v>0</v>
      </c>
      <c r="BR321" s="1771">
        <v>0</v>
      </c>
      <c r="BS321" s="1771">
        <v>0</v>
      </c>
      <c r="BT321" s="1771">
        <v>0</v>
      </c>
      <c r="BU321" s="1771">
        <v>0</v>
      </c>
      <c r="BV321" s="1771">
        <v>0</v>
      </c>
      <c r="BW321" s="1771">
        <v>0</v>
      </c>
      <c r="BX321" s="1771">
        <v>0</v>
      </c>
      <c r="BY321" s="1771">
        <v>0</v>
      </c>
      <c r="BZ321" s="1771">
        <v>0</v>
      </c>
      <c r="CA321" s="1771">
        <v>0</v>
      </c>
      <c r="CB321" s="1771">
        <v>0</v>
      </c>
      <c r="CC321" s="1771">
        <v>0</v>
      </c>
      <c r="CD321" s="1771">
        <v>0</v>
      </c>
      <c r="CE321" s="1771">
        <v>0</v>
      </c>
      <c r="CF321" s="1771">
        <v>0</v>
      </c>
      <c r="CG321" s="1771">
        <v>0</v>
      </c>
      <c r="CH321" s="1771">
        <v>0</v>
      </c>
      <c r="CI321" s="1771">
        <v>0</v>
      </c>
      <c r="CJ321" s="1771">
        <v>0</v>
      </c>
      <c r="CK321" s="1771">
        <v>0</v>
      </c>
      <c r="CL321" s="1771">
        <v>0</v>
      </c>
      <c r="CM321" s="1771">
        <v>0</v>
      </c>
      <c r="CN321" s="1771">
        <v>0</v>
      </c>
      <c r="CO321" s="1771">
        <v>0</v>
      </c>
      <c r="CP321" s="1771">
        <v>0</v>
      </c>
    </row>
    <row r="322" spans="1:94" ht="42" customHeight="1" x14ac:dyDescent="0.2">
      <c r="A322" s="1847"/>
      <c r="B322" s="1856"/>
      <c r="C322" s="879" t="s">
        <v>1989</v>
      </c>
      <c r="D322" s="936"/>
      <c r="E322" s="1881"/>
      <c r="F322" s="1225"/>
      <c r="G322" s="1767">
        <v>0</v>
      </c>
      <c r="H322" s="1771">
        <v>0</v>
      </c>
      <c r="I322" s="1771">
        <v>0</v>
      </c>
      <c r="J322" s="1771">
        <v>0</v>
      </c>
      <c r="K322" s="1771">
        <v>0</v>
      </c>
      <c r="L322" s="1771">
        <v>0</v>
      </c>
      <c r="M322" s="1771">
        <v>0</v>
      </c>
      <c r="N322" s="1771">
        <v>0</v>
      </c>
      <c r="O322" s="1771">
        <v>0</v>
      </c>
      <c r="P322" s="1771">
        <v>0</v>
      </c>
      <c r="Q322" s="1771">
        <v>0</v>
      </c>
      <c r="R322" s="1771">
        <v>0</v>
      </c>
      <c r="S322" s="1771">
        <v>0</v>
      </c>
      <c r="T322" s="1771">
        <v>0</v>
      </c>
      <c r="U322" s="1771">
        <v>0</v>
      </c>
      <c r="V322" s="1771">
        <v>0</v>
      </c>
      <c r="W322" s="1771">
        <v>0</v>
      </c>
      <c r="X322" s="1771">
        <v>0</v>
      </c>
      <c r="Y322" s="1771">
        <v>0</v>
      </c>
      <c r="Z322" s="1771">
        <v>0</v>
      </c>
      <c r="AA322" s="1771">
        <v>0</v>
      </c>
      <c r="AB322" s="1771">
        <v>0</v>
      </c>
      <c r="AC322" s="1771">
        <v>0</v>
      </c>
      <c r="AD322" s="1771">
        <v>0</v>
      </c>
      <c r="AE322" s="1771">
        <v>0</v>
      </c>
      <c r="AF322" s="1771">
        <v>0</v>
      </c>
      <c r="AG322" s="1771">
        <v>0</v>
      </c>
      <c r="AH322" s="1771">
        <v>0</v>
      </c>
      <c r="AI322" s="1771">
        <v>0</v>
      </c>
      <c r="AJ322" s="1771">
        <v>0</v>
      </c>
      <c r="AK322" s="1771">
        <v>0</v>
      </c>
      <c r="AL322" s="1771">
        <v>0</v>
      </c>
      <c r="AM322" s="1771">
        <v>0</v>
      </c>
      <c r="AN322" s="1771">
        <v>0</v>
      </c>
      <c r="AO322" s="1771">
        <v>0</v>
      </c>
      <c r="AP322" s="1771">
        <v>0</v>
      </c>
      <c r="AQ322" s="1771">
        <v>0</v>
      </c>
      <c r="AR322" s="1771">
        <v>0</v>
      </c>
      <c r="AS322" s="1771">
        <v>0</v>
      </c>
      <c r="AT322" s="1771">
        <v>0</v>
      </c>
      <c r="AU322" s="1771">
        <v>0</v>
      </c>
      <c r="AV322" s="1771">
        <v>0</v>
      </c>
      <c r="AW322" s="1771">
        <v>0</v>
      </c>
      <c r="AX322" s="1771">
        <v>0</v>
      </c>
      <c r="AY322" s="1771">
        <v>0</v>
      </c>
      <c r="AZ322" s="1771">
        <v>0</v>
      </c>
      <c r="BA322" s="1771">
        <v>0</v>
      </c>
      <c r="BB322" s="1771">
        <v>0</v>
      </c>
      <c r="BC322" s="1771">
        <v>0</v>
      </c>
      <c r="BD322" s="1771">
        <v>0</v>
      </c>
      <c r="BE322" s="1771">
        <v>0</v>
      </c>
      <c r="BF322" s="1771">
        <v>0</v>
      </c>
      <c r="BG322" s="1771">
        <v>0</v>
      </c>
      <c r="BH322" s="1771">
        <v>0</v>
      </c>
      <c r="BI322" s="1771">
        <v>0</v>
      </c>
      <c r="BJ322" s="1771">
        <v>0</v>
      </c>
      <c r="BK322" s="1771">
        <v>0</v>
      </c>
      <c r="BL322" s="1771">
        <v>0</v>
      </c>
      <c r="BM322" s="1771">
        <v>0</v>
      </c>
      <c r="BN322" s="1771">
        <v>0</v>
      </c>
      <c r="BO322" s="1771">
        <v>0</v>
      </c>
      <c r="BP322" s="1771">
        <v>0</v>
      </c>
      <c r="BQ322" s="1771">
        <v>0</v>
      </c>
      <c r="BR322" s="1771">
        <v>0</v>
      </c>
      <c r="BS322" s="1771">
        <v>0</v>
      </c>
      <c r="BT322" s="1771">
        <v>0</v>
      </c>
      <c r="BU322" s="1771">
        <v>0</v>
      </c>
      <c r="BV322" s="1771">
        <v>0</v>
      </c>
      <c r="BW322" s="1771">
        <v>0</v>
      </c>
      <c r="BX322" s="1771">
        <v>0</v>
      </c>
      <c r="BY322" s="1771">
        <v>0</v>
      </c>
      <c r="BZ322" s="1771">
        <v>0</v>
      </c>
      <c r="CA322" s="1771">
        <v>0</v>
      </c>
      <c r="CB322" s="1771">
        <v>0</v>
      </c>
      <c r="CC322" s="1771">
        <v>0</v>
      </c>
      <c r="CD322" s="1771">
        <v>0</v>
      </c>
      <c r="CE322" s="1771">
        <v>0</v>
      </c>
      <c r="CF322" s="1771">
        <v>0</v>
      </c>
      <c r="CG322" s="1771">
        <v>0</v>
      </c>
      <c r="CH322" s="1771">
        <v>0</v>
      </c>
      <c r="CI322" s="1771">
        <v>0</v>
      </c>
      <c r="CJ322" s="1771">
        <v>0</v>
      </c>
      <c r="CK322" s="1771">
        <v>0</v>
      </c>
      <c r="CL322" s="1771">
        <v>0</v>
      </c>
      <c r="CM322" s="1771">
        <v>0</v>
      </c>
      <c r="CN322" s="1771">
        <v>0</v>
      </c>
      <c r="CO322" s="1771">
        <v>0</v>
      </c>
      <c r="CP322" s="1771">
        <v>0</v>
      </c>
    </row>
    <row r="323" spans="1:94" ht="15" customHeight="1" thickBot="1" x14ac:dyDescent="0.25">
      <c r="A323" s="1848"/>
      <c r="B323" s="1857"/>
      <c r="C323" s="880" t="s">
        <v>1990</v>
      </c>
      <c r="D323" s="950"/>
      <c r="E323" s="1882"/>
      <c r="F323" s="1225"/>
      <c r="G323" s="1767">
        <v>0</v>
      </c>
      <c r="H323" s="1771">
        <v>0</v>
      </c>
      <c r="I323" s="1771">
        <v>0</v>
      </c>
      <c r="J323" s="1771">
        <v>0</v>
      </c>
      <c r="K323" s="1771">
        <v>0</v>
      </c>
      <c r="L323" s="1771">
        <v>0</v>
      </c>
      <c r="M323" s="1771">
        <v>0</v>
      </c>
      <c r="N323" s="1771">
        <v>0</v>
      </c>
      <c r="O323" s="1771">
        <v>0</v>
      </c>
      <c r="P323" s="1771">
        <v>0</v>
      </c>
      <c r="Q323" s="1771">
        <v>0</v>
      </c>
      <c r="R323" s="1771">
        <v>0</v>
      </c>
      <c r="S323" s="1771">
        <v>0</v>
      </c>
      <c r="T323" s="1771">
        <v>0</v>
      </c>
      <c r="U323" s="1771">
        <v>0</v>
      </c>
      <c r="V323" s="1771">
        <v>0</v>
      </c>
      <c r="W323" s="1771">
        <v>0</v>
      </c>
      <c r="X323" s="1771">
        <v>0</v>
      </c>
      <c r="Y323" s="1771">
        <v>0</v>
      </c>
      <c r="Z323" s="1771">
        <v>0</v>
      </c>
      <c r="AA323" s="1771">
        <v>0</v>
      </c>
      <c r="AB323" s="1771">
        <v>0</v>
      </c>
      <c r="AC323" s="1771">
        <v>0</v>
      </c>
      <c r="AD323" s="1771">
        <v>0</v>
      </c>
      <c r="AE323" s="1771">
        <v>0</v>
      </c>
      <c r="AF323" s="1771">
        <v>0</v>
      </c>
      <c r="AG323" s="1771">
        <v>0</v>
      </c>
      <c r="AH323" s="1771">
        <v>0</v>
      </c>
      <c r="AI323" s="1771">
        <v>0</v>
      </c>
      <c r="AJ323" s="1771">
        <v>0</v>
      </c>
      <c r="AK323" s="1771">
        <v>0</v>
      </c>
      <c r="AL323" s="1771">
        <v>0</v>
      </c>
      <c r="AM323" s="1771">
        <v>0</v>
      </c>
      <c r="AN323" s="1771">
        <v>0</v>
      </c>
      <c r="AO323" s="1771">
        <v>0</v>
      </c>
      <c r="AP323" s="1771">
        <v>0</v>
      </c>
      <c r="AQ323" s="1771">
        <v>0</v>
      </c>
      <c r="AR323" s="1771">
        <v>0</v>
      </c>
      <c r="AS323" s="1771">
        <v>0</v>
      </c>
      <c r="AT323" s="1771">
        <v>0</v>
      </c>
      <c r="AU323" s="1771">
        <v>0</v>
      </c>
      <c r="AV323" s="1771">
        <v>0</v>
      </c>
      <c r="AW323" s="1771">
        <v>0</v>
      </c>
      <c r="AX323" s="1771">
        <v>0</v>
      </c>
      <c r="AY323" s="1771">
        <v>0</v>
      </c>
      <c r="AZ323" s="1771">
        <v>0</v>
      </c>
      <c r="BA323" s="1771">
        <v>0</v>
      </c>
      <c r="BB323" s="1771">
        <v>0</v>
      </c>
      <c r="BC323" s="1771">
        <v>0</v>
      </c>
      <c r="BD323" s="1771">
        <v>0</v>
      </c>
      <c r="BE323" s="1771">
        <v>0</v>
      </c>
      <c r="BF323" s="1771">
        <v>0</v>
      </c>
      <c r="BG323" s="1771">
        <v>0</v>
      </c>
      <c r="BH323" s="1771">
        <v>0</v>
      </c>
      <c r="BI323" s="1771">
        <v>0</v>
      </c>
      <c r="BJ323" s="1771">
        <v>0</v>
      </c>
      <c r="BK323" s="1771">
        <v>0</v>
      </c>
      <c r="BL323" s="1771">
        <v>0</v>
      </c>
      <c r="BM323" s="1771">
        <v>0</v>
      </c>
      <c r="BN323" s="1771">
        <v>0</v>
      </c>
      <c r="BO323" s="1771">
        <v>0</v>
      </c>
      <c r="BP323" s="1771">
        <v>0</v>
      </c>
      <c r="BQ323" s="1771">
        <v>0</v>
      </c>
      <c r="BR323" s="1771">
        <v>0</v>
      </c>
      <c r="BS323" s="1771">
        <v>0</v>
      </c>
      <c r="BT323" s="1771">
        <v>0</v>
      </c>
      <c r="BU323" s="1771">
        <v>0</v>
      </c>
      <c r="BV323" s="1771">
        <v>0</v>
      </c>
      <c r="BW323" s="1771">
        <v>0</v>
      </c>
      <c r="BX323" s="1771">
        <v>0</v>
      </c>
      <c r="BY323" s="1771">
        <v>0</v>
      </c>
      <c r="BZ323" s="1771">
        <v>0</v>
      </c>
      <c r="CA323" s="1771">
        <v>0</v>
      </c>
      <c r="CB323" s="1771">
        <v>0</v>
      </c>
      <c r="CC323" s="1771">
        <v>0</v>
      </c>
      <c r="CD323" s="1771">
        <v>0</v>
      </c>
      <c r="CE323" s="1771">
        <v>0</v>
      </c>
      <c r="CF323" s="1771">
        <v>0</v>
      </c>
      <c r="CG323" s="1771">
        <v>0</v>
      </c>
      <c r="CH323" s="1771">
        <v>0</v>
      </c>
      <c r="CI323" s="1771">
        <v>0</v>
      </c>
      <c r="CJ323" s="1771">
        <v>0</v>
      </c>
      <c r="CK323" s="1771">
        <v>0</v>
      </c>
      <c r="CL323" s="1771">
        <v>0</v>
      </c>
      <c r="CM323" s="1771">
        <v>0</v>
      </c>
      <c r="CN323" s="1771">
        <v>0</v>
      </c>
      <c r="CO323" s="1771">
        <v>0</v>
      </c>
      <c r="CP323" s="1771">
        <v>0</v>
      </c>
    </row>
    <row r="324" spans="1:94" ht="57" customHeight="1" thickBot="1" x14ac:dyDescent="0.25">
      <c r="A324" s="1858" t="s">
        <v>1999</v>
      </c>
      <c r="B324" s="1834" t="s">
        <v>1991</v>
      </c>
      <c r="C324" s="1790" t="s">
        <v>2276</v>
      </c>
      <c r="D324" s="975"/>
      <c r="E324" s="1911" t="s">
        <v>2351</v>
      </c>
      <c r="F324" s="1225"/>
      <c r="G324" s="1770"/>
      <c r="H324" s="1770"/>
      <c r="I324" s="1770"/>
      <c r="J324" s="1770"/>
      <c r="K324" s="1770"/>
      <c r="L324" s="1770"/>
      <c r="M324" s="1770"/>
      <c r="N324" s="1770"/>
      <c r="O324" s="1770"/>
      <c r="P324" s="1770"/>
      <c r="Q324" s="1770"/>
      <c r="R324" s="1770"/>
      <c r="S324" s="1770"/>
      <c r="T324" s="1770"/>
      <c r="U324" s="1770"/>
      <c r="V324" s="1770"/>
      <c r="W324" s="1770"/>
      <c r="X324" s="1770"/>
      <c r="Y324" s="1770"/>
      <c r="Z324" s="1770"/>
      <c r="AA324" s="1770"/>
      <c r="AB324" s="1770"/>
      <c r="AC324" s="1770"/>
      <c r="AD324" s="1770"/>
      <c r="AE324" s="1770"/>
      <c r="AF324" s="1770"/>
      <c r="AG324" s="1770"/>
      <c r="AH324" s="1770"/>
      <c r="AI324" s="1770"/>
      <c r="AJ324" s="1770"/>
      <c r="AK324" s="1770"/>
      <c r="AL324" s="1770"/>
      <c r="AM324" s="1770"/>
      <c r="AN324" s="1770"/>
      <c r="AO324" s="1770"/>
      <c r="AP324" s="1770"/>
      <c r="AQ324" s="1770"/>
      <c r="AR324" s="1770"/>
      <c r="AS324" s="1770"/>
      <c r="AT324" s="1770"/>
      <c r="AU324" s="1770"/>
      <c r="AV324" s="1770"/>
      <c r="AW324" s="1770"/>
      <c r="AX324" s="1770"/>
      <c r="AY324" s="1770"/>
      <c r="AZ324" s="1770"/>
      <c r="BA324" s="1770"/>
      <c r="BB324" s="1770"/>
      <c r="BC324" s="1770"/>
      <c r="BD324" s="1770"/>
      <c r="BE324" s="1770"/>
      <c r="BF324" s="1770"/>
      <c r="BG324" s="1770"/>
      <c r="BH324" s="1770"/>
      <c r="BI324" s="1770"/>
      <c r="BJ324" s="1770"/>
      <c r="BK324" s="1770"/>
      <c r="BL324" s="1770"/>
      <c r="BM324" s="1770"/>
      <c r="BN324" s="1770"/>
      <c r="BO324" s="1770"/>
      <c r="BP324" s="1770"/>
      <c r="BQ324" s="1770"/>
      <c r="BR324" s="1770"/>
      <c r="BS324" s="1770"/>
      <c r="BT324" s="1770"/>
      <c r="BU324" s="1770"/>
      <c r="BV324" s="1770"/>
      <c r="BW324" s="1770"/>
      <c r="BX324" s="1770"/>
      <c r="BY324" s="1770"/>
      <c r="BZ324" s="1770"/>
      <c r="CA324" s="1770"/>
      <c r="CB324" s="1770"/>
      <c r="CC324" s="1770"/>
      <c r="CD324" s="1770"/>
      <c r="CE324" s="1770"/>
      <c r="CF324" s="1770"/>
      <c r="CG324" s="1770"/>
      <c r="CH324" s="1770"/>
      <c r="CI324" s="1770"/>
      <c r="CJ324" s="1770"/>
      <c r="CK324" s="1770"/>
      <c r="CL324" s="1770"/>
      <c r="CM324" s="1770"/>
      <c r="CN324" s="1770"/>
      <c r="CO324" s="1770"/>
      <c r="CP324" s="1770"/>
    </row>
    <row r="325" spans="1:94" ht="15" customHeight="1" x14ac:dyDescent="0.2">
      <c r="A325" s="1847"/>
      <c r="B325" s="1834"/>
      <c r="C325" s="662" t="s">
        <v>2062</v>
      </c>
      <c r="D325" s="936"/>
      <c r="E325" s="1881"/>
      <c r="F325" s="1225"/>
      <c r="G325" s="1767">
        <v>0</v>
      </c>
      <c r="H325" s="1771">
        <v>0</v>
      </c>
      <c r="I325" s="1771">
        <v>0</v>
      </c>
      <c r="J325" s="1771">
        <v>0</v>
      </c>
      <c r="K325" s="1771">
        <v>0</v>
      </c>
      <c r="L325" s="1771">
        <v>0</v>
      </c>
      <c r="M325" s="1771">
        <v>0</v>
      </c>
      <c r="N325" s="1771">
        <v>0</v>
      </c>
      <c r="O325" s="1771">
        <v>0</v>
      </c>
      <c r="P325" s="1771">
        <v>0</v>
      </c>
      <c r="Q325" s="1771">
        <v>0</v>
      </c>
      <c r="R325" s="1771">
        <v>0</v>
      </c>
      <c r="S325" s="1771">
        <v>0</v>
      </c>
      <c r="T325" s="1771">
        <v>0</v>
      </c>
      <c r="U325" s="1771">
        <v>0</v>
      </c>
      <c r="V325" s="1771">
        <v>0</v>
      </c>
      <c r="W325" s="1771">
        <v>0</v>
      </c>
      <c r="X325" s="1771">
        <v>0</v>
      </c>
      <c r="Y325" s="1771">
        <v>0</v>
      </c>
      <c r="Z325" s="1771">
        <v>0</v>
      </c>
      <c r="AA325" s="1771">
        <v>0</v>
      </c>
      <c r="AB325" s="1771">
        <v>0</v>
      </c>
      <c r="AC325" s="1771">
        <v>0</v>
      </c>
      <c r="AD325" s="1771">
        <v>0</v>
      </c>
      <c r="AE325" s="1771">
        <v>0</v>
      </c>
      <c r="AF325" s="1771">
        <v>0</v>
      </c>
      <c r="AG325" s="1771">
        <v>0</v>
      </c>
      <c r="AH325" s="1771">
        <v>0</v>
      </c>
      <c r="AI325" s="1771">
        <v>0</v>
      </c>
      <c r="AJ325" s="1771">
        <v>0</v>
      </c>
      <c r="AK325" s="1771">
        <v>0</v>
      </c>
      <c r="AL325" s="1771">
        <v>0</v>
      </c>
      <c r="AM325" s="1771">
        <v>0</v>
      </c>
      <c r="AN325" s="1771">
        <v>0</v>
      </c>
      <c r="AO325" s="1771">
        <v>0</v>
      </c>
      <c r="AP325" s="1771">
        <v>0</v>
      </c>
      <c r="AQ325" s="1771">
        <v>0</v>
      </c>
      <c r="AR325" s="1771">
        <v>0</v>
      </c>
      <c r="AS325" s="1771">
        <v>0</v>
      </c>
      <c r="AT325" s="1771">
        <v>0</v>
      </c>
      <c r="AU325" s="1771">
        <v>0</v>
      </c>
      <c r="AV325" s="1771">
        <v>0</v>
      </c>
      <c r="AW325" s="1771">
        <v>0</v>
      </c>
      <c r="AX325" s="1771">
        <v>0</v>
      </c>
      <c r="AY325" s="1771">
        <v>0</v>
      </c>
      <c r="AZ325" s="1771">
        <v>0</v>
      </c>
      <c r="BA325" s="1771">
        <v>0</v>
      </c>
      <c r="BB325" s="1771">
        <v>0</v>
      </c>
      <c r="BC325" s="1771">
        <v>0</v>
      </c>
      <c r="BD325" s="1771">
        <v>0</v>
      </c>
      <c r="BE325" s="1771">
        <v>0</v>
      </c>
      <c r="BF325" s="1771">
        <v>0</v>
      </c>
      <c r="BG325" s="1771">
        <v>0</v>
      </c>
      <c r="BH325" s="1771">
        <v>0</v>
      </c>
      <c r="BI325" s="1771">
        <v>0</v>
      </c>
      <c r="BJ325" s="1771">
        <v>0</v>
      </c>
      <c r="BK325" s="1771">
        <v>0</v>
      </c>
      <c r="BL325" s="1771">
        <v>0</v>
      </c>
      <c r="BM325" s="1771">
        <v>0</v>
      </c>
      <c r="BN325" s="1771">
        <v>0</v>
      </c>
      <c r="BO325" s="1771">
        <v>0</v>
      </c>
      <c r="BP325" s="1771">
        <v>0</v>
      </c>
      <c r="BQ325" s="1771">
        <v>0</v>
      </c>
      <c r="BR325" s="1771">
        <v>0</v>
      </c>
      <c r="BS325" s="1771">
        <v>0</v>
      </c>
      <c r="BT325" s="1771">
        <v>0</v>
      </c>
      <c r="BU325" s="1771">
        <v>0</v>
      </c>
      <c r="BV325" s="1771">
        <v>0</v>
      </c>
      <c r="BW325" s="1771">
        <v>0</v>
      </c>
      <c r="BX325" s="1771">
        <v>0</v>
      </c>
      <c r="BY325" s="1771">
        <v>0</v>
      </c>
      <c r="BZ325" s="1771">
        <v>0</v>
      </c>
      <c r="CA325" s="1771">
        <v>0</v>
      </c>
      <c r="CB325" s="1771">
        <v>0</v>
      </c>
      <c r="CC325" s="1771">
        <v>0</v>
      </c>
      <c r="CD325" s="1771">
        <v>0</v>
      </c>
      <c r="CE325" s="1771">
        <v>0</v>
      </c>
      <c r="CF325" s="1771">
        <v>0</v>
      </c>
      <c r="CG325" s="1771">
        <v>0</v>
      </c>
      <c r="CH325" s="1771">
        <v>0</v>
      </c>
      <c r="CI325" s="1771">
        <v>0</v>
      </c>
      <c r="CJ325" s="1771">
        <v>0</v>
      </c>
      <c r="CK325" s="1771">
        <v>0</v>
      </c>
      <c r="CL325" s="1771">
        <v>0</v>
      </c>
      <c r="CM325" s="1771">
        <v>0</v>
      </c>
      <c r="CN325" s="1771">
        <v>0</v>
      </c>
      <c r="CO325" s="1771">
        <v>0</v>
      </c>
      <c r="CP325" s="1771">
        <v>0</v>
      </c>
    </row>
    <row r="326" spans="1:94" ht="15" customHeight="1" x14ac:dyDescent="0.2">
      <c r="A326" s="1847"/>
      <c r="B326" s="1834"/>
      <c r="C326" s="663" t="s">
        <v>1992</v>
      </c>
      <c r="D326" s="936"/>
      <c r="E326" s="1881"/>
      <c r="F326" s="1225"/>
      <c r="G326" s="1767">
        <v>0</v>
      </c>
      <c r="H326" s="1771">
        <v>0</v>
      </c>
      <c r="I326" s="1771">
        <v>0</v>
      </c>
      <c r="J326" s="1771">
        <v>0</v>
      </c>
      <c r="K326" s="1771">
        <v>0</v>
      </c>
      <c r="L326" s="1771">
        <v>0</v>
      </c>
      <c r="M326" s="1771">
        <v>0</v>
      </c>
      <c r="N326" s="1771">
        <v>0</v>
      </c>
      <c r="O326" s="1771">
        <v>0</v>
      </c>
      <c r="P326" s="1771">
        <v>0</v>
      </c>
      <c r="Q326" s="1771">
        <v>0</v>
      </c>
      <c r="R326" s="1771">
        <v>0</v>
      </c>
      <c r="S326" s="1771">
        <v>0</v>
      </c>
      <c r="T326" s="1771">
        <v>0</v>
      </c>
      <c r="U326" s="1771">
        <v>0</v>
      </c>
      <c r="V326" s="1771">
        <v>0</v>
      </c>
      <c r="W326" s="1771">
        <v>0</v>
      </c>
      <c r="X326" s="1771">
        <v>0</v>
      </c>
      <c r="Y326" s="1771">
        <v>0</v>
      </c>
      <c r="Z326" s="1771">
        <v>0</v>
      </c>
      <c r="AA326" s="1771">
        <v>0</v>
      </c>
      <c r="AB326" s="1771">
        <v>0</v>
      </c>
      <c r="AC326" s="1771">
        <v>0</v>
      </c>
      <c r="AD326" s="1771">
        <v>0</v>
      </c>
      <c r="AE326" s="1771">
        <v>0</v>
      </c>
      <c r="AF326" s="1771">
        <v>0</v>
      </c>
      <c r="AG326" s="1771">
        <v>0</v>
      </c>
      <c r="AH326" s="1771">
        <v>0</v>
      </c>
      <c r="AI326" s="1771">
        <v>0</v>
      </c>
      <c r="AJ326" s="1771">
        <v>0</v>
      </c>
      <c r="AK326" s="1771">
        <v>0</v>
      </c>
      <c r="AL326" s="1771">
        <v>0</v>
      </c>
      <c r="AM326" s="1771">
        <v>0</v>
      </c>
      <c r="AN326" s="1771">
        <v>0</v>
      </c>
      <c r="AO326" s="1771">
        <v>0</v>
      </c>
      <c r="AP326" s="1771">
        <v>0</v>
      </c>
      <c r="AQ326" s="1771">
        <v>0</v>
      </c>
      <c r="AR326" s="1771">
        <v>0</v>
      </c>
      <c r="AS326" s="1771">
        <v>0</v>
      </c>
      <c r="AT326" s="1771">
        <v>0</v>
      </c>
      <c r="AU326" s="1771">
        <v>0</v>
      </c>
      <c r="AV326" s="1771">
        <v>0</v>
      </c>
      <c r="AW326" s="1771">
        <v>0</v>
      </c>
      <c r="AX326" s="1771">
        <v>0</v>
      </c>
      <c r="AY326" s="1771">
        <v>0</v>
      </c>
      <c r="AZ326" s="1771">
        <v>0</v>
      </c>
      <c r="BA326" s="1771">
        <v>0</v>
      </c>
      <c r="BB326" s="1771">
        <v>0</v>
      </c>
      <c r="BC326" s="1771">
        <v>0</v>
      </c>
      <c r="BD326" s="1771">
        <v>0</v>
      </c>
      <c r="BE326" s="1771">
        <v>0</v>
      </c>
      <c r="BF326" s="1771">
        <v>0</v>
      </c>
      <c r="BG326" s="1771">
        <v>0</v>
      </c>
      <c r="BH326" s="1771">
        <v>0</v>
      </c>
      <c r="BI326" s="1771">
        <v>0</v>
      </c>
      <c r="BJ326" s="1771">
        <v>0</v>
      </c>
      <c r="BK326" s="1771">
        <v>0</v>
      </c>
      <c r="BL326" s="1771">
        <v>0</v>
      </c>
      <c r="BM326" s="1771">
        <v>0</v>
      </c>
      <c r="BN326" s="1771">
        <v>0</v>
      </c>
      <c r="BO326" s="1771">
        <v>0</v>
      </c>
      <c r="BP326" s="1771">
        <v>0</v>
      </c>
      <c r="BQ326" s="1771">
        <v>0</v>
      </c>
      <c r="BR326" s="1771">
        <v>0</v>
      </c>
      <c r="BS326" s="1771">
        <v>0</v>
      </c>
      <c r="BT326" s="1771">
        <v>0</v>
      </c>
      <c r="BU326" s="1771">
        <v>0</v>
      </c>
      <c r="BV326" s="1771">
        <v>0</v>
      </c>
      <c r="BW326" s="1771">
        <v>0</v>
      </c>
      <c r="BX326" s="1771">
        <v>0</v>
      </c>
      <c r="BY326" s="1771">
        <v>0</v>
      </c>
      <c r="BZ326" s="1771">
        <v>0</v>
      </c>
      <c r="CA326" s="1771">
        <v>0</v>
      </c>
      <c r="CB326" s="1771">
        <v>0</v>
      </c>
      <c r="CC326" s="1771">
        <v>0</v>
      </c>
      <c r="CD326" s="1771">
        <v>0</v>
      </c>
      <c r="CE326" s="1771">
        <v>0</v>
      </c>
      <c r="CF326" s="1771">
        <v>0</v>
      </c>
      <c r="CG326" s="1771">
        <v>0</v>
      </c>
      <c r="CH326" s="1771">
        <v>0</v>
      </c>
      <c r="CI326" s="1771">
        <v>0</v>
      </c>
      <c r="CJ326" s="1771">
        <v>0</v>
      </c>
      <c r="CK326" s="1771">
        <v>0</v>
      </c>
      <c r="CL326" s="1771">
        <v>0</v>
      </c>
      <c r="CM326" s="1771">
        <v>0</v>
      </c>
      <c r="CN326" s="1771">
        <v>0</v>
      </c>
      <c r="CO326" s="1771">
        <v>0</v>
      </c>
      <c r="CP326" s="1771">
        <v>0</v>
      </c>
    </row>
    <row r="327" spans="1:94" ht="15" customHeight="1" x14ac:dyDescent="0.2">
      <c r="A327" s="1847"/>
      <c r="B327" s="1834"/>
      <c r="C327" s="663" t="s">
        <v>1993</v>
      </c>
      <c r="D327" s="936"/>
      <c r="E327" s="1881"/>
      <c r="F327" s="1225"/>
      <c r="G327" s="1767">
        <v>0</v>
      </c>
      <c r="H327" s="1771">
        <v>0</v>
      </c>
      <c r="I327" s="1771">
        <v>0</v>
      </c>
      <c r="J327" s="1771">
        <v>0</v>
      </c>
      <c r="K327" s="1771">
        <v>0</v>
      </c>
      <c r="L327" s="1771">
        <v>0</v>
      </c>
      <c r="M327" s="1771">
        <v>0</v>
      </c>
      <c r="N327" s="1771">
        <v>0</v>
      </c>
      <c r="O327" s="1771">
        <v>0</v>
      </c>
      <c r="P327" s="1771">
        <v>0</v>
      </c>
      <c r="Q327" s="1771">
        <v>0</v>
      </c>
      <c r="R327" s="1771">
        <v>0</v>
      </c>
      <c r="S327" s="1771">
        <v>0</v>
      </c>
      <c r="T327" s="1771">
        <v>0</v>
      </c>
      <c r="U327" s="1771">
        <v>0</v>
      </c>
      <c r="V327" s="1771">
        <v>0</v>
      </c>
      <c r="W327" s="1771">
        <v>0</v>
      </c>
      <c r="X327" s="1771">
        <v>0</v>
      </c>
      <c r="Y327" s="1771">
        <v>0</v>
      </c>
      <c r="Z327" s="1771">
        <v>0</v>
      </c>
      <c r="AA327" s="1771">
        <v>0</v>
      </c>
      <c r="AB327" s="1771">
        <v>0</v>
      </c>
      <c r="AC327" s="1771">
        <v>0</v>
      </c>
      <c r="AD327" s="1771">
        <v>0</v>
      </c>
      <c r="AE327" s="1771">
        <v>0</v>
      </c>
      <c r="AF327" s="1771">
        <v>0</v>
      </c>
      <c r="AG327" s="1771">
        <v>0</v>
      </c>
      <c r="AH327" s="1771">
        <v>0</v>
      </c>
      <c r="AI327" s="1771">
        <v>0</v>
      </c>
      <c r="AJ327" s="1771">
        <v>0</v>
      </c>
      <c r="AK327" s="1771">
        <v>0</v>
      </c>
      <c r="AL327" s="1771">
        <v>0</v>
      </c>
      <c r="AM327" s="1771">
        <v>0</v>
      </c>
      <c r="AN327" s="1771">
        <v>0</v>
      </c>
      <c r="AO327" s="1771">
        <v>0</v>
      </c>
      <c r="AP327" s="1771">
        <v>0</v>
      </c>
      <c r="AQ327" s="1771">
        <v>0</v>
      </c>
      <c r="AR327" s="1771">
        <v>0</v>
      </c>
      <c r="AS327" s="1771">
        <v>0</v>
      </c>
      <c r="AT327" s="1771">
        <v>0</v>
      </c>
      <c r="AU327" s="1771">
        <v>0</v>
      </c>
      <c r="AV327" s="1771">
        <v>0</v>
      </c>
      <c r="AW327" s="1771">
        <v>0</v>
      </c>
      <c r="AX327" s="1771">
        <v>0</v>
      </c>
      <c r="AY327" s="1771">
        <v>0</v>
      </c>
      <c r="AZ327" s="1771">
        <v>0</v>
      </c>
      <c r="BA327" s="1771">
        <v>0</v>
      </c>
      <c r="BB327" s="1771">
        <v>0</v>
      </c>
      <c r="BC327" s="1771">
        <v>0</v>
      </c>
      <c r="BD327" s="1771">
        <v>0</v>
      </c>
      <c r="BE327" s="1771">
        <v>0</v>
      </c>
      <c r="BF327" s="1771">
        <v>0</v>
      </c>
      <c r="BG327" s="1771">
        <v>0</v>
      </c>
      <c r="BH327" s="1771">
        <v>0</v>
      </c>
      <c r="BI327" s="1771">
        <v>0</v>
      </c>
      <c r="BJ327" s="1771">
        <v>0</v>
      </c>
      <c r="BK327" s="1771">
        <v>0</v>
      </c>
      <c r="BL327" s="1771">
        <v>0</v>
      </c>
      <c r="BM327" s="1771">
        <v>0</v>
      </c>
      <c r="BN327" s="1771">
        <v>0</v>
      </c>
      <c r="BO327" s="1771">
        <v>0</v>
      </c>
      <c r="BP327" s="1771">
        <v>0</v>
      </c>
      <c r="BQ327" s="1771">
        <v>0</v>
      </c>
      <c r="BR327" s="1771">
        <v>0</v>
      </c>
      <c r="BS327" s="1771">
        <v>0</v>
      </c>
      <c r="BT327" s="1771">
        <v>0</v>
      </c>
      <c r="BU327" s="1771">
        <v>0</v>
      </c>
      <c r="BV327" s="1771">
        <v>0</v>
      </c>
      <c r="BW327" s="1771">
        <v>0</v>
      </c>
      <c r="BX327" s="1771">
        <v>0</v>
      </c>
      <c r="BY327" s="1771">
        <v>0</v>
      </c>
      <c r="BZ327" s="1771">
        <v>0</v>
      </c>
      <c r="CA327" s="1771">
        <v>0</v>
      </c>
      <c r="CB327" s="1771">
        <v>0</v>
      </c>
      <c r="CC327" s="1771">
        <v>0</v>
      </c>
      <c r="CD327" s="1771">
        <v>0</v>
      </c>
      <c r="CE327" s="1771">
        <v>0</v>
      </c>
      <c r="CF327" s="1771">
        <v>0</v>
      </c>
      <c r="CG327" s="1771">
        <v>0</v>
      </c>
      <c r="CH327" s="1771">
        <v>0</v>
      </c>
      <c r="CI327" s="1771">
        <v>0</v>
      </c>
      <c r="CJ327" s="1771">
        <v>0</v>
      </c>
      <c r="CK327" s="1771">
        <v>0</v>
      </c>
      <c r="CL327" s="1771">
        <v>0</v>
      </c>
      <c r="CM327" s="1771">
        <v>0</v>
      </c>
      <c r="CN327" s="1771">
        <v>0</v>
      </c>
      <c r="CO327" s="1771">
        <v>0</v>
      </c>
      <c r="CP327" s="1771">
        <v>0</v>
      </c>
    </row>
    <row r="328" spans="1:94" ht="15" customHeight="1" x14ac:dyDescent="0.2">
      <c r="A328" s="1847"/>
      <c r="B328" s="1834"/>
      <c r="C328" s="663" t="s">
        <v>1994</v>
      </c>
      <c r="D328" s="936"/>
      <c r="E328" s="1881"/>
      <c r="F328" s="1225"/>
      <c r="G328" s="1767">
        <v>0</v>
      </c>
      <c r="H328" s="1771">
        <v>0</v>
      </c>
      <c r="I328" s="1771">
        <v>0</v>
      </c>
      <c r="J328" s="1771">
        <v>0</v>
      </c>
      <c r="K328" s="1771">
        <v>0</v>
      </c>
      <c r="L328" s="1771">
        <v>0</v>
      </c>
      <c r="M328" s="1771">
        <v>0</v>
      </c>
      <c r="N328" s="1771">
        <v>0</v>
      </c>
      <c r="O328" s="1771">
        <v>0</v>
      </c>
      <c r="P328" s="1771">
        <v>0</v>
      </c>
      <c r="Q328" s="1771">
        <v>0</v>
      </c>
      <c r="R328" s="1771">
        <v>0</v>
      </c>
      <c r="S328" s="1771">
        <v>0</v>
      </c>
      <c r="T328" s="1771">
        <v>0</v>
      </c>
      <c r="U328" s="1771">
        <v>0</v>
      </c>
      <c r="V328" s="1771">
        <v>0</v>
      </c>
      <c r="W328" s="1771">
        <v>0</v>
      </c>
      <c r="X328" s="1771">
        <v>0</v>
      </c>
      <c r="Y328" s="1771">
        <v>0</v>
      </c>
      <c r="Z328" s="1771">
        <v>0</v>
      </c>
      <c r="AA328" s="1771">
        <v>0</v>
      </c>
      <c r="AB328" s="1771">
        <v>0</v>
      </c>
      <c r="AC328" s="1771">
        <v>0</v>
      </c>
      <c r="AD328" s="1771">
        <v>0</v>
      </c>
      <c r="AE328" s="1771">
        <v>0</v>
      </c>
      <c r="AF328" s="1771">
        <v>0</v>
      </c>
      <c r="AG328" s="1771">
        <v>0</v>
      </c>
      <c r="AH328" s="1771">
        <v>0</v>
      </c>
      <c r="AI328" s="1771">
        <v>0</v>
      </c>
      <c r="AJ328" s="1771">
        <v>0</v>
      </c>
      <c r="AK328" s="1771">
        <v>0</v>
      </c>
      <c r="AL328" s="1771">
        <v>0</v>
      </c>
      <c r="AM328" s="1771">
        <v>0</v>
      </c>
      <c r="AN328" s="1771">
        <v>0</v>
      </c>
      <c r="AO328" s="1771">
        <v>0</v>
      </c>
      <c r="AP328" s="1771">
        <v>0</v>
      </c>
      <c r="AQ328" s="1771">
        <v>0</v>
      </c>
      <c r="AR328" s="1771">
        <v>0</v>
      </c>
      <c r="AS328" s="1771">
        <v>0</v>
      </c>
      <c r="AT328" s="1771">
        <v>0</v>
      </c>
      <c r="AU328" s="1771">
        <v>0</v>
      </c>
      <c r="AV328" s="1771">
        <v>0</v>
      </c>
      <c r="AW328" s="1771">
        <v>0</v>
      </c>
      <c r="AX328" s="1771">
        <v>0</v>
      </c>
      <c r="AY328" s="1771">
        <v>0</v>
      </c>
      <c r="AZ328" s="1771">
        <v>0</v>
      </c>
      <c r="BA328" s="1771">
        <v>0</v>
      </c>
      <c r="BB328" s="1771">
        <v>0</v>
      </c>
      <c r="BC328" s="1771">
        <v>0</v>
      </c>
      <c r="BD328" s="1771">
        <v>0</v>
      </c>
      <c r="BE328" s="1771">
        <v>0</v>
      </c>
      <c r="BF328" s="1771">
        <v>0</v>
      </c>
      <c r="BG328" s="1771">
        <v>0</v>
      </c>
      <c r="BH328" s="1771">
        <v>0</v>
      </c>
      <c r="BI328" s="1771">
        <v>0</v>
      </c>
      <c r="BJ328" s="1771">
        <v>0</v>
      </c>
      <c r="BK328" s="1771">
        <v>0</v>
      </c>
      <c r="BL328" s="1771">
        <v>0</v>
      </c>
      <c r="BM328" s="1771">
        <v>0</v>
      </c>
      <c r="BN328" s="1771">
        <v>0</v>
      </c>
      <c r="BO328" s="1771">
        <v>0</v>
      </c>
      <c r="BP328" s="1771">
        <v>0</v>
      </c>
      <c r="BQ328" s="1771">
        <v>0</v>
      </c>
      <c r="BR328" s="1771">
        <v>0</v>
      </c>
      <c r="BS328" s="1771">
        <v>0</v>
      </c>
      <c r="BT328" s="1771">
        <v>0</v>
      </c>
      <c r="BU328" s="1771">
        <v>0</v>
      </c>
      <c r="BV328" s="1771">
        <v>0</v>
      </c>
      <c r="BW328" s="1771">
        <v>0</v>
      </c>
      <c r="BX328" s="1771">
        <v>0</v>
      </c>
      <c r="BY328" s="1771">
        <v>0</v>
      </c>
      <c r="BZ328" s="1771">
        <v>0</v>
      </c>
      <c r="CA328" s="1771">
        <v>0</v>
      </c>
      <c r="CB328" s="1771">
        <v>0</v>
      </c>
      <c r="CC328" s="1771">
        <v>0</v>
      </c>
      <c r="CD328" s="1771">
        <v>0</v>
      </c>
      <c r="CE328" s="1771">
        <v>0</v>
      </c>
      <c r="CF328" s="1771">
        <v>0</v>
      </c>
      <c r="CG328" s="1771">
        <v>0</v>
      </c>
      <c r="CH328" s="1771">
        <v>0</v>
      </c>
      <c r="CI328" s="1771">
        <v>0</v>
      </c>
      <c r="CJ328" s="1771">
        <v>0</v>
      </c>
      <c r="CK328" s="1771">
        <v>0</v>
      </c>
      <c r="CL328" s="1771">
        <v>0</v>
      </c>
      <c r="CM328" s="1771">
        <v>0</v>
      </c>
      <c r="CN328" s="1771">
        <v>0</v>
      </c>
      <c r="CO328" s="1771">
        <v>0</v>
      </c>
      <c r="CP328" s="1771">
        <v>0</v>
      </c>
    </row>
    <row r="329" spans="1:94" ht="15" customHeight="1" x14ac:dyDescent="0.2">
      <c r="A329" s="1847"/>
      <c r="B329" s="1834"/>
      <c r="C329" s="663" t="s">
        <v>1995</v>
      </c>
      <c r="D329" s="936"/>
      <c r="E329" s="1881"/>
      <c r="F329" s="1225"/>
      <c r="G329" s="1767">
        <v>0</v>
      </c>
      <c r="H329" s="1771">
        <v>0</v>
      </c>
      <c r="I329" s="1771">
        <v>0</v>
      </c>
      <c r="J329" s="1771">
        <v>0</v>
      </c>
      <c r="K329" s="1771">
        <v>0</v>
      </c>
      <c r="L329" s="1771">
        <v>0</v>
      </c>
      <c r="M329" s="1771">
        <v>0</v>
      </c>
      <c r="N329" s="1771">
        <v>0</v>
      </c>
      <c r="O329" s="1771">
        <v>0</v>
      </c>
      <c r="P329" s="1771">
        <v>0</v>
      </c>
      <c r="Q329" s="1771">
        <v>0</v>
      </c>
      <c r="R329" s="1771">
        <v>0</v>
      </c>
      <c r="S329" s="1771">
        <v>0</v>
      </c>
      <c r="T329" s="1771">
        <v>0</v>
      </c>
      <c r="U329" s="1771">
        <v>0</v>
      </c>
      <c r="V329" s="1771">
        <v>0</v>
      </c>
      <c r="W329" s="1771">
        <v>0</v>
      </c>
      <c r="X329" s="1771">
        <v>0</v>
      </c>
      <c r="Y329" s="1771">
        <v>0</v>
      </c>
      <c r="Z329" s="1771">
        <v>0</v>
      </c>
      <c r="AA329" s="1771">
        <v>0</v>
      </c>
      <c r="AB329" s="1771">
        <v>0</v>
      </c>
      <c r="AC329" s="1771">
        <v>0</v>
      </c>
      <c r="AD329" s="1771">
        <v>0</v>
      </c>
      <c r="AE329" s="1771">
        <v>0</v>
      </c>
      <c r="AF329" s="1771">
        <v>0</v>
      </c>
      <c r="AG329" s="1771">
        <v>0</v>
      </c>
      <c r="AH329" s="1771">
        <v>0</v>
      </c>
      <c r="AI329" s="1771">
        <v>0</v>
      </c>
      <c r="AJ329" s="1771">
        <v>0</v>
      </c>
      <c r="AK329" s="1771">
        <v>0</v>
      </c>
      <c r="AL329" s="1771">
        <v>0</v>
      </c>
      <c r="AM329" s="1771">
        <v>0</v>
      </c>
      <c r="AN329" s="1771">
        <v>0</v>
      </c>
      <c r="AO329" s="1771">
        <v>0</v>
      </c>
      <c r="AP329" s="1771">
        <v>0</v>
      </c>
      <c r="AQ329" s="1771">
        <v>0</v>
      </c>
      <c r="AR329" s="1771">
        <v>0</v>
      </c>
      <c r="AS329" s="1771">
        <v>0</v>
      </c>
      <c r="AT329" s="1771">
        <v>0</v>
      </c>
      <c r="AU329" s="1771">
        <v>0</v>
      </c>
      <c r="AV329" s="1771">
        <v>0</v>
      </c>
      <c r="AW329" s="1771">
        <v>0</v>
      </c>
      <c r="AX329" s="1771">
        <v>0</v>
      </c>
      <c r="AY329" s="1771">
        <v>0</v>
      </c>
      <c r="AZ329" s="1771">
        <v>0</v>
      </c>
      <c r="BA329" s="1771">
        <v>0</v>
      </c>
      <c r="BB329" s="1771">
        <v>0</v>
      </c>
      <c r="BC329" s="1771">
        <v>0</v>
      </c>
      <c r="BD329" s="1771">
        <v>0</v>
      </c>
      <c r="BE329" s="1771">
        <v>0</v>
      </c>
      <c r="BF329" s="1771">
        <v>0</v>
      </c>
      <c r="BG329" s="1771">
        <v>0</v>
      </c>
      <c r="BH329" s="1771">
        <v>0</v>
      </c>
      <c r="BI329" s="1771">
        <v>0</v>
      </c>
      <c r="BJ329" s="1771">
        <v>0</v>
      </c>
      <c r="BK329" s="1771">
        <v>0</v>
      </c>
      <c r="BL329" s="1771">
        <v>0</v>
      </c>
      <c r="BM329" s="1771">
        <v>0</v>
      </c>
      <c r="BN329" s="1771">
        <v>0</v>
      </c>
      <c r="BO329" s="1771">
        <v>0</v>
      </c>
      <c r="BP329" s="1771">
        <v>0</v>
      </c>
      <c r="BQ329" s="1771">
        <v>0</v>
      </c>
      <c r="BR329" s="1771">
        <v>0</v>
      </c>
      <c r="BS329" s="1771">
        <v>0</v>
      </c>
      <c r="BT329" s="1771">
        <v>0</v>
      </c>
      <c r="BU329" s="1771">
        <v>0</v>
      </c>
      <c r="BV329" s="1771">
        <v>0</v>
      </c>
      <c r="BW329" s="1771">
        <v>0</v>
      </c>
      <c r="BX329" s="1771">
        <v>0</v>
      </c>
      <c r="BY329" s="1771">
        <v>0</v>
      </c>
      <c r="BZ329" s="1771">
        <v>0</v>
      </c>
      <c r="CA329" s="1771">
        <v>0</v>
      </c>
      <c r="CB329" s="1771">
        <v>0</v>
      </c>
      <c r="CC329" s="1771">
        <v>0</v>
      </c>
      <c r="CD329" s="1771">
        <v>0</v>
      </c>
      <c r="CE329" s="1771">
        <v>0</v>
      </c>
      <c r="CF329" s="1771">
        <v>0</v>
      </c>
      <c r="CG329" s="1771">
        <v>0</v>
      </c>
      <c r="CH329" s="1771">
        <v>0</v>
      </c>
      <c r="CI329" s="1771">
        <v>0</v>
      </c>
      <c r="CJ329" s="1771">
        <v>0</v>
      </c>
      <c r="CK329" s="1771">
        <v>0</v>
      </c>
      <c r="CL329" s="1771">
        <v>0</v>
      </c>
      <c r="CM329" s="1771">
        <v>0</v>
      </c>
      <c r="CN329" s="1771">
        <v>0</v>
      </c>
      <c r="CO329" s="1771">
        <v>0</v>
      </c>
      <c r="CP329" s="1771">
        <v>0</v>
      </c>
    </row>
    <row r="330" spans="1:94" ht="15" customHeight="1" thickBot="1" x14ac:dyDescent="0.25">
      <c r="A330" s="1847"/>
      <c r="B330" s="1834"/>
      <c r="C330" s="851" t="s">
        <v>1996</v>
      </c>
      <c r="D330" s="949"/>
      <c r="E330" s="1881"/>
      <c r="F330" s="1225"/>
      <c r="G330" s="1767">
        <v>0</v>
      </c>
      <c r="H330" s="1772">
        <v>0</v>
      </c>
      <c r="I330" s="1772">
        <v>0</v>
      </c>
      <c r="J330" s="1772">
        <v>0</v>
      </c>
      <c r="K330" s="1772">
        <v>0</v>
      </c>
      <c r="L330" s="1772">
        <v>0</v>
      </c>
      <c r="M330" s="1772">
        <v>0</v>
      </c>
      <c r="N330" s="1772">
        <v>0</v>
      </c>
      <c r="O330" s="1772">
        <v>0</v>
      </c>
      <c r="P330" s="1772">
        <v>0</v>
      </c>
      <c r="Q330" s="1772">
        <v>0</v>
      </c>
      <c r="R330" s="1772">
        <v>0</v>
      </c>
      <c r="S330" s="1772">
        <v>0</v>
      </c>
      <c r="T330" s="1772">
        <v>0</v>
      </c>
      <c r="U330" s="1772">
        <v>0</v>
      </c>
      <c r="V330" s="1772">
        <v>0</v>
      </c>
      <c r="W330" s="1772">
        <v>0</v>
      </c>
      <c r="X330" s="1772">
        <v>0</v>
      </c>
      <c r="Y330" s="1772">
        <v>0</v>
      </c>
      <c r="Z330" s="1772">
        <v>0</v>
      </c>
      <c r="AA330" s="1772">
        <v>0</v>
      </c>
      <c r="AB330" s="1772">
        <v>0</v>
      </c>
      <c r="AC330" s="1772">
        <v>0</v>
      </c>
      <c r="AD330" s="1772">
        <v>0</v>
      </c>
      <c r="AE330" s="1772">
        <v>0</v>
      </c>
      <c r="AF330" s="1772">
        <v>0</v>
      </c>
      <c r="AG330" s="1772">
        <v>0</v>
      </c>
      <c r="AH330" s="1772">
        <v>0</v>
      </c>
      <c r="AI330" s="1772">
        <v>0</v>
      </c>
      <c r="AJ330" s="1772">
        <v>0</v>
      </c>
      <c r="AK330" s="1772">
        <v>0</v>
      </c>
      <c r="AL330" s="1772">
        <v>0</v>
      </c>
      <c r="AM330" s="1772">
        <v>0</v>
      </c>
      <c r="AN330" s="1772">
        <v>0</v>
      </c>
      <c r="AO330" s="1772">
        <v>0</v>
      </c>
      <c r="AP330" s="1772">
        <v>0</v>
      </c>
      <c r="AQ330" s="1772">
        <v>0</v>
      </c>
      <c r="AR330" s="1772">
        <v>0</v>
      </c>
      <c r="AS330" s="1772">
        <v>0</v>
      </c>
      <c r="AT330" s="1772">
        <v>0</v>
      </c>
      <c r="AU330" s="1772">
        <v>0</v>
      </c>
      <c r="AV330" s="1772">
        <v>0</v>
      </c>
      <c r="AW330" s="1772">
        <v>0</v>
      </c>
      <c r="AX330" s="1772">
        <v>0</v>
      </c>
      <c r="AY330" s="1772">
        <v>0</v>
      </c>
      <c r="AZ330" s="1772">
        <v>0</v>
      </c>
      <c r="BA330" s="1772">
        <v>0</v>
      </c>
      <c r="BB330" s="1772">
        <v>0</v>
      </c>
      <c r="BC330" s="1772">
        <v>0</v>
      </c>
      <c r="BD330" s="1772">
        <v>0</v>
      </c>
      <c r="BE330" s="1772">
        <v>0</v>
      </c>
      <c r="BF330" s="1772">
        <v>0</v>
      </c>
      <c r="BG330" s="1772">
        <v>0</v>
      </c>
      <c r="BH330" s="1772">
        <v>0</v>
      </c>
      <c r="BI330" s="1772">
        <v>0</v>
      </c>
      <c r="BJ330" s="1772">
        <v>0</v>
      </c>
      <c r="BK330" s="1772">
        <v>0</v>
      </c>
      <c r="BL330" s="1772">
        <v>0</v>
      </c>
      <c r="BM330" s="1772">
        <v>0</v>
      </c>
      <c r="BN330" s="1772">
        <v>0</v>
      </c>
      <c r="BO330" s="1772">
        <v>0</v>
      </c>
      <c r="BP330" s="1772">
        <v>0</v>
      </c>
      <c r="BQ330" s="1772">
        <v>0</v>
      </c>
      <c r="BR330" s="1772">
        <v>0</v>
      </c>
      <c r="BS330" s="1772">
        <v>0</v>
      </c>
      <c r="BT330" s="1772">
        <v>0</v>
      </c>
      <c r="BU330" s="1772">
        <v>0</v>
      </c>
      <c r="BV330" s="1772">
        <v>0</v>
      </c>
      <c r="BW330" s="1772">
        <v>0</v>
      </c>
      <c r="BX330" s="1772">
        <v>0</v>
      </c>
      <c r="BY330" s="1772">
        <v>0</v>
      </c>
      <c r="BZ330" s="1772">
        <v>0</v>
      </c>
      <c r="CA330" s="1772">
        <v>0</v>
      </c>
      <c r="CB330" s="1772">
        <v>0</v>
      </c>
      <c r="CC330" s="1772">
        <v>0</v>
      </c>
      <c r="CD330" s="1772">
        <v>0</v>
      </c>
      <c r="CE330" s="1772">
        <v>0</v>
      </c>
      <c r="CF330" s="1772">
        <v>0</v>
      </c>
      <c r="CG330" s="1772">
        <v>0</v>
      </c>
      <c r="CH330" s="1772">
        <v>0</v>
      </c>
      <c r="CI330" s="1772">
        <v>0</v>
      </c>
      <c r="CJ330" s="1772">
        <v>0</v>
      </c>
      <c r="CK330" s="1772">
        <v>0</v>
      </c>
      <c r="CL330" s="1772">
        <v>0</v>
      </c>
      <c r="CM330" s="1772">
        <v>0</v>
      </c>
      <c r="CN330" s="1772">
        <v>0</v>
      </c>
      <c r="CO330" s="1772">
        <v>0</v>
      </c>
      <c r="CP330" s="1772">
        <v>0</v>
      </c>
    </row>
    <row r="331" spans="1:94" ht="68.25" customHeight="1" thickBot="1" x14ac:dyDescent="0.25">
      <c r="A331" s="1850" t="s">
        <v>1985</v>
      </c>
      <c r="B331" s="1850" t="s">
        <v>2241</v>
      </c>
      <c r="C331" s="1776" t="s">
        <v>2540</v>
      </c>
      <c r="D331" s="1238"/>
      <c r="E331" s="1910"/>
      <c r="F331" s="1225"/>
      <c r="G331" s="1737"/>
      <c r="H331" s="1737"/>
      <c r="I331" s="1737"/>
      <c r="J331" s="1737"/>
      <c r="K331" s="1737"/>
      <c r="L331" s="1737"/>
      <c r="M331" s="1737"/>
      <c r="N331" s="1737"/>
      <c r="O331" s="1737"/>
      <c r="P331" s="1737"/>
      <c r="Q331" s="1737"/>
      <c r="R331" s="1737"/>
      <c r="S331" s="1737"/>
      <c r="T331" s="1737"/>
      <c r="U331" s="1737"/>
      <c r="V331" s="1737"/>
      <c r="W331" s="1737"/>
      <c r="X331" s="1737"/>
      <c r="Y331" s="1737"/>
      <c r="Z331" s="1737"/>
      <c r="AA331" s="1737"/>
      <c r="AB331" s="1737"/>
      <c r="AC331" s="1737"/>
      <c r="AD331" s="1737"/>
      <c r="AE331" s="1737"/>
      <c r="AF331" s="1737"/>
      <c r="AG331" s="1737"/>
      <c r="AH331" s="1737"/>
      <c r="AI331" s="1737"/>
      <c r="AJ331" s="1737"/>
      <c r="AK331" s="1737"/>
      <c r="AL331" s="1737"/>
      <c r="AM331" s="1737"/>
      <c r="AN331" s="1737"/>
      <c r="AO331" s="1737"/>
      <c r="AP331" s="1737"/>
      <c r="AQ331" s="1737"/>
      <c r="AR331" s="1737"/>
      <c r="AS331" s="1737"/>
      <c r="AT331" s="1737"/>
      <c r="AU331" s="1737"/>
      <c r="AV331" s="1737"/>
      <c r="AW331" s="1737"/>
      <c r="AX331" s="1737"/>
      <c r="AY331" s="1737"/>
      <c r="AZ331" s="1737"/>
      <c r="BA331" s="1737"/>
      <c r="BB331" s="1737"/>
      <c r="BC331" s="1737"/>
      <c r="BD331" s="1737"/>
      <c r="BE331" s="1737"/>
      <c r="BF331" s="1737"/>
      <c r="BG331" s="1737"/>
      <c r="BH331" s="1737"/>
      <c r="BI331" s="1737"/>
      <c r="BJ331" s="1737"/>
      <c r="BK331" s="1737"/>
      <c r="BL331" s="1737"/>
      <c r="BM331" s="1737"/>
      <c r="BN331" s="1737"/>
      <c r="BO331" s="1737"/>
      <c r="BP331" s="1737"/>
      <c r="BQ331" s="1737"/>
      <c r="BR331" s="1737"/>
      <c r="BS331" s="1737"/>
      <c r="BT331" s="1737"/>
      <c r="BU331" s="1737"/>
      <c r="BV331" s="1737"/>
      <c r="BW331" s="1737"/>
      <c r="BX331" s="1737"/>
      <c r="BY331" s="1737"/>
      <c r="BZ331" s="1737"/>
      <c r="CA331" s="1737"/>
      <c r="CB331" s="1737"/>
      <c r="CC331" s="1737"/>
      <c r="CD331" s="1737"/>
      <c r="CE331" s="1737"/>
      <c r="CF331" s="1737"/>
      <c r="CG331" s="1737"/>
      <c r="CH331" s="1737"/>
      <c r="CI331" s="1737"/>
      <c r="CJ331" s="1737"/>
      <c r="CK331" s="1737"/>
      <c r="CL331" s="1737"/>
      <c r="CM331" s="1737"/>
      <c r="CN331" s="1737"/>
      <c r="CO331" s="1737"/>
      <c r="CP331" s="1737"/>
    </row>
    <row r="332" spans="1:94" ht="15" customHeight="1" x14ac:dyDescent="0.2">
      <c r="A332" s="1851"/>
      <c r="B332" s="1851"/>
      <c r="C332" s="1282" t="s">
        <v>2373</v>
      </c>
      <c r="D332" s="1239"/>
      <c r="E332" s="1881"/>
      <c r="F332" s="1225"/>
      <c r="G332" s="1769">
        <v>0</v>
      </c>
      <c r="H332" s="1769">
        <v>0</v>
      </c>
      <c r="I332" s="1769">
        <v>0</v>
      </c>
      <c r="J332" s="1769">
        <v>0</v>
      </c>
      <c r="K332" s="1769">
        <v>0</v>
      </c>
      <c r="L332" s="1769">
        <v>0</v>
      </c>
      <c r="M332" s="1769">
        <v>0</v>
      </c>
      <c r="N332" s="1769">
        <v>0</v>
      </c>
      <c r="O332" s="1769">
        <v>0</v>
      </c>
      <c r="P332" s="1769">
        <v>0</v>
      </c>
      <c r="Q332" s="1769">
        <v>0</v>
      </c>
      <c r="R332" s="1769">
        <v>0</v>
      </c>
      <c r="S332" s="1769">
        <v>0</v>
      </c>
      <c r="T332" s="1769">
        <v>0</v>
      </c>
      <c r="U332" s="1769">
        <v>0</v>
      </c>
      <c r="V332" s="1769">
        <v>0</v>
      </c>
      <c r="W332" s="1769">
        <v>0</v>
      </c>
      <c r="X332" s="1769">
        <v>0</v>
      </c>
      <c r="Y332" s="1769">
        <v>0</v>
      </c>
      <c r="Z332" s="1769">
        <v>0</v>
      </c>
      <c r="AA332" s="1769">
        <v>0</v>
      </c>
      <c r="AB332" s="1769">
        <v>0</v>
      </c>
      <c r="AC332" s="1769">
        <v>0</v>
      </c>
      <c r="AD332" s="1769">
        <v>0</v>
      </c>
      <c r="AE332" s="1769">
        <v>0</v>
      </c>
      <c r="AF332" s="1769">
        <v>0</v>
      </c>
      <c r="AG332" s="1769">
        <v>0</v>
      </c>
      <c r="AH332" s="1769">
        <v>0</v>
      </c>
      <c r="AI332" s="1769">
        <v>0</v>
      </c>
      <c r="AJ332" s="1769">
        <v>0</v>
      </c>
      <c r="AK332" s="1769">
        <v>0</v>
      </c>
      <c r="AL332" s="1769">
        <v>0</v>
      </c>
      <c r="AM332" s="1769">
        <v>0</v>
      </c>
      <c r="AN332" s="1769">
        <v>0</v>
      </c>
      <c r="AO332" s="1769">
        <v>0</v>
      </c>
      <c r="AP332" s="1769">
        <v>0</v>
      </c>
      <c r="AQ332" s="1769">
        <v>0</v>
      </c>
      <c r="AR332" s="1769">
        <v>0</v>
      </c>
      <c r="AS332" s="1769">
        <v>0</v>
      </c>
      <c r="AT332" s="1769">
        <v>0</v>
      </c>
      <c r="AU332" s="1769">
        <v>0</v>
      </c>
      <c r="AV332" s="1769">
        <v>0</v>
      </c>
      <c r="AW332" s="1769">
        <v>0</v>
      </c>
      <c r="AX332" s="1769">
        <v>0</v>
      </c>
      <c r="AY332" s="1769">
        <v>0</v>
      </c>
      <c r="AZ332" s="1769">
        <v>0</v>
      </c>
      <c r="BA332" s="1769">
        <v>0</v>
      </c>
      <c r="BB332" s="1769">
        <v>0</v>
      </c>
      <c r="BC332" s="1769">
        <v>0</v>
      </c>
      <c r="BD332" s="1769">
        <v>0</v>
      </c>
      <c r="BE332" s="1769">
        <v>0</v>
      </c>
      <c r="BF332" s="1769">
        <v>0</v>
      </c>
      <c r="BG332" s="1769">
        <v>0</v>
      </c>
      <c r="BH332" s="1769">
        <v>0</v>
      </c>
      <c r="BI332" s="1769">
        <v>0</v>
      </c>
      <c r="BJ332" s="1769">
        <v>0</v>
      </c>
      <c r="BK332" s="1769">
        <v>0</v>
      </c>
      <c r="BL332" s="1769">
        <v>0</v>
      </c>
      <c r="BM332" s="1769">
        <v>0</v>
      </c>
      <c r="BN332" s="1769">
        <v>0</v>
      </c>
      <c r="BO332" s="1769">
        <v>0</v>
      </c>
      <c r="BP332" s="1769">
        <v>0</v>
      </c>
      <c r="BQ332" s="1769">
        <v>0</v>
      </c>
      <c r="BR332" s="1769">
        <v>0</v>
      </c>
      <c r="BS332" s="1769">
        <v>0</v>
      </c>
      <c r="BT332" s="1769">
        <v>0</v>
      </c>
      <c r="BU332" s="1769">
        <v>0</v>
      </c>
      <c r="BV332" s="1769">
        <v>0</v>
      </c>
      <c r="BW332" s="1769">
        <v>0</v>
      </c>
      <c r="BX332" s="1769">
        <v>0</v>
      </c>
      <c r="BY332" s="1769">
        <v>0</v>
      </c>
      <c r="BZ332" s="1769">
        <v>0</v>
      </c>
      <c r="CA332" s="1769">
        <v>0</v>
      </c>
      <c r="CB332" s="1769">
        <v>0</v>
      </c>
      <c r="CC332" s="1769">
        <v>0</v>
      </c>
      <c r="CD332" s="1769">
        <v>0</v>
      </c>
      <c r="CE332" s="1769">
        <v>0</v>
      </c>
      <c r="CF332" s="1769">
        <v>0</v>
      </c>
      <c r="CG332" s="1769">
        <v>0</v>
      </c>
      <c r="CH332" s="1769">
        <v>0</v>
      </c>
      <c r="CI332" s="1769">
        <v>0</v>
      </c>
      <c r="CJ332" s="1769">
        <v>0</v>
      </c>
      <c r="CK332" s="1769">
        <v>0</v>
      </c>
      <c r="CL332" s="1769">
        <v>0</v>
      </c>
      <c r="CM332" s="1769">
        <v>0</v>
      </c>
      <c r="CN332" s="1769">
        <v>0</v>
      </c>
      <c r="CO332" s="1769">
        <v>0</v>
      </c>
      <c r="CP332" s="1769">
        <v>0</v>
      </c>
    </row>
    <row r="333" spans="1:94" ht="15" customHeight="1" x14ac:dyDescent="0.2">
      <c r="A333" s="1851"/>
      <c r="B333" s="1851"/>
      <c r="C333" s="1283" t="s">
        <v>2374</v>
      </c>
      <c r="D333" s="1239"/>
      <c r="E333" s="1881"/>
      <c r="F333" s="1225"/>
      <c r="G333" s="1769">
        <v>0</v>
      </c>
      <c r="H333" s="1769">
        <v>0</v>
      </c>
      <c r="I333" s="1769">
        <v>0</v>
      </c>
      <c r="J333" s="1769">
        <v>0</v>
      </c>
      <c r="K333" s="1769">
        <v>0</v>
      </c>
      <c r="L333" s="1769">
        <v>0</v>
      </c>
      <c r="M333" s="1769">
        <v>0</v>
      </c>
      <c r="N333" s="1769">
        <v>0</v>
      </c>
      <c r="O333" s="1769">
        <v>0</v>
      </c>
      <c r="P333" s="1769">
        <v>0</v>
      </c>
      <c r="Q333" s="1769">
        <v>0</v>
      </c>
      <c r="R333" s="1769">
        <v>0</v>
      </c>
      <c r="S333" s="1769">
        <v>0</v>
      </c>
      <c r="T333" s="1769">
        <v>0</v>
      </c>
      <c r="U333" s="1769">
        <v>0</v>
      </c>
      <c r="V333" s="1769">
        <v>0</v>
      </c>
      <c r="W333" s="1769">
        <v>0</v>
      </c>
      <c r="X333" s="1769">
        <v>0</v>
      </c>
      <c r="Y333" s="1769">
        <v>0</v>
      </c>
      <c r="Z333" s="1769">
        <v>0</v>
      </c>
      <c r="AA333" s="1769">
        <v>0</v>
      </c>
      <c r="AB333" s="1769">
        <v>0</v>
      </c>
      <c r="AC333" s="1769">
        <v>0</v>
      </c>
      <c r="AD333" s="1769">
        <v>0</v>
      </c>
      <c r="AE333" s="1769">
        <v>0</v>
      </c>
      <c r="AF333" s="1769">
        <v>0</v>
      </c>
      <c r="AG333" s="1769">
        <v>0</v>
      </c>
      <c r="AH333" s="1769">
        <v>0</v>
      </c>
      <c r="AI333" s="1769">
        <v>0</v>
      </c>
      <c r="AJ333" s="1769">
        <v>0</v>
      </c>
      <c r="AK333" s="1769">
        <v>0</v>
      </c>
      <c r="AL333" s="1769">
        <v>0</v>
      </c>
      <c r="AM333" s="1769">
        <v>0</v>
      </c>
      <c r="AN333" s="1769">
        <v>0</v>
      </c>
      <c r="AO333" s="1769">
        <v>0</v>
      </c>
      <c r="AP333" s="1769">
        <v>0</v>
      </c>
      <c r="AQ333" s="1769">
        <v>0</v>
      </c>
      <c r="AR333" s="1769">
        <v>0</v>
      </c>
      <c r="AS333" s="1769">
        <v>0</v>
      </c>
      <c r="AT333" s="1769">
        <v>0</v>
      </c>
      <c r="AU333" s="1769">
        <v>0</v>
      </c>
      <c r="AV333" s="1769">
        <v>0</v>
      </c>
      <c r="AW333" s="1769">
        <v>0</v>
      </c>
      <c r="AX333" s="1769">
        <v>0</v>
      </c>
      <c r="AY333" s="1769">
        <v>0</v>
      </c>
      <c r="AZ333" s="1769">
        <v>0</v>
      </c>
      <c r="BA333" s="1769">
        <v>0</v>
      </c>
      <c r="BB333" s="1769">
        <v>0</v>
      </c>
      <c r="BC333" s="1769">
        <v>0</v>
      </c>
      <c r="BD333" s="1769">
        <v>0</v>
      </c>
      <c r="BE333" s="1769">
        <v>0</v>
      </c>
      <c r="BF333" s="1769">
        <v>0</v>
      </c>
      <c r="BG333" s="1769">
        <v>0</v>
      </c>
      <c r="BH333" s="1769">
        <v>0</v>
      </c>
      <c r="BI333" s="1769">
        <v>0</v>
      </c>
      <c r="BJ333" s="1769">
        <v>0</v>
      </c>
      <c r="BK333" s="1769">
        <v>0</v>
      </c>
      <c r="BL333" s="1769">
        <v>0</v>
      </c>
      <c r="BM333" s="1769">
        <v>0</v>
      </c>
      <c r="BN333" s="1769">
        <v>0</v>
      </c>
      <c r="BO333" s="1769">
        <v>0</v>
      </c>
      <c r="BP333" s="1769">
        <v>0</v>
      </c>
      <c r="BQ333" s="1769">
        <v>0</v>
      </c>
      <c r="BR333" s="1769">
        <v>0</v>
      </c>
      <c r="BS333" s="1769">
        <v>0</v>
      </c>
      <c r="BT333" s="1769">
        <v>0</v>
      </c>
      <c r="BU333" s="1769">
        <v>0</v>
      </c>
      <c r="BV333" s="1769">
        <v>0</v>
      </c>
      <c r="BW333" s="1769">
        <v>0</v>
      </c>
      <c r="BX333" s="1769">
        <v>0</v>
      </c>
      <c r="BY333" s="1769">
        <v>0</v>
      </c>
      <c r="BZ333" s="1769">
        <v>0</v>
      </c>
      <c r="CA333" s="1769">
        <v>0</v>
      </c>
      <c r="CB333" s="1769">
        <v>0</v>
      </c>
      <c r="CC333" s="1769">
        <v>0</v>
      </c>
      <c r="CD333" s="1769">
        <v>0</v>
      </c>
      <c r="CE333" s="1769">
        <v>0</v>
      </c>
      <c r="CF333" s="1769">
        <v>0</v>
      </c>
      <c r="CG333" s="1769">
        <v>0</v>
      </c>
      <c r="CH333" s="1769">
        <v>0</v>
      </c>
      <c r="CI333" s="1769">
        <v>0</v>
      </c>
      <c r="CJ333" s="1769">
        <v>0</v>
      </c>
      <c r="CK333" s="1769">
        <v>0</v>
      </c>
      <c r="CL333" s="1769">
        <v>0</v>
      </c>
      <c r="CM333" s="1769">
        <v>0</v>
      </c>
      <c r="CN333" s="1769">
        <v>0</v>
      </c>
      <c r="CO333" s="1769">
        <v>0</v>
      </c>
      <c r="CP333" s="1769">
        <v>0</v>
      </c>
    </row>
    <row r="334" spans="1:94" ht="15" customHeight="1" x14ac:dyDescent="0.2">
      <c r="A334" s="1851"/>
      <c r="B334" s="1851"/>
      <c r="C334" s="1283" t="s">
        <v>2375</v>
      </c>
      <c r="D334" s="1239"/>
      <c r="E334" s="1881"/>
      <c r="F334" s="1741"/>
      <c r="G334" s="1769">
        <v>0</v>
      </c>
      <c r="H334" s="1769">
        <v>0</v>
      </c>
      <c r="I334" s="1769">
        <v>0</v>
      </c>
      <c r="J334" s="1769">
        <v>0</v>
      </c>
      <c r="K334" s="1769">
        <v>0</v>
      </c>
      <c r="L334" s="1769">
        <v>0</v>
      </c>
      <c r="M334" s="1769">
        <v>0</v>
      </c>
      <c r="N334" s="1769">
        <v>0</v>
      </c>
      <c r="O334" s="1769">
        <v>0</v>
      </c>
      <c r="P334" s="1769">
        <v>0</v>
      </c>
      <c r="Q334" s="1769">
        <v>0</v>
      </c>
      <c r="R334" s="1769">
        <v>0</v>
      </c>
      <c r="S334" s="1769">
        <v>0</v>
      </c>
      <c r="T334" s="1769">
        <v>0</v>
      </c>
      <c r="U334" s="1769">
        <v>0</v>
      </c>
      <c r="V334" s="1769">
        <v>0</v>
      </c>
      <c r="W334" s="1769">
        <v>0</v>
      </c>
      <c r="X334" s="1769">
        <v>0</v>
      </c>
      <c r="Y334" s="1769">
        <v>0</v>
      </c>
      <c r="Z334" s="1769">
        <v>0</v>
      </c>
      <c r="AA334" s="1769">
        <v>0</v>
      </c>
      <c r="AB334" s="1769">
        <v>0</v>
      </c>
      <c r="AC334" s="1769">
        <v>0</v>
      </c>
      <c r="AD334" s="1769">
        <v>0</v>
      </c>
      <c r="AE334" s="1769">
        <v>0</v>
      </c>
      <c r="AF334" s="1769">
        <v>0</v>
      </c>
      <c r="AG334" s="1769">
        <v>0</v>
      </c>
      <c r="AH334" s="1769">
        <v>0</v>
      </c>
      <c r="AI334" s="1769">
        <v>0</v>
      </c>
      <c r="AJ334" s="1769">
        <v>0</v>
      </c>
      <c r="AK334" s="1769">
        <v>0</v>
      </c>
      <c r="AL334" s="1769">
        <v>0</v>
      </c>
      <c r="AM334" s="1769">
        <v>0</v>
      </c>
      <c r="AN334" s="1769">
        <v>0</v>
      </c>
      <c r="AO334" s="1769">
        <v>0</v>
      </c>
      <c r="AP334" s="1769">
        <v>0</v>
      </c>
      <c r="AQ334" s="1769">
        <v>0</v>
      </c>
      <c r="AR334" s="1769">
        <v>0</v>
      </c>
      <c r="AS334" s="1769">
        <v>0</v>
      </c>
      <c r="AT334" s="1769">
        <v>0</v>
      </c>
      <c r="AU334" s="1769">
        <v>0</v>
      </c>
      <c r="AV334" s="1769">
        <v>0</v>
      </c>
      <c r="AW334" s="1769">
        <v>0</v>
      </c>
      <c r="AX334" s="1769">
        <v>0</v>
      </c>
      <c r="AY334" s="1769">
        <v>0</v>
      </c>
      <c r="AZ334" s="1769">
        <v>0</v>
      </c>
      <c r="BA334" s="1769">
        <v>0</v>
      </c>
      <c r="BB334" s="1769">
        <v>0</v>
      </c>
      <c r="BC334" s="1769">
        <v>0</v>
      </c>
      <c r="BD334" s="1769">
        <v>0</v>
      </c>
      <c r="BE334" s="1769">
        <v>0</v>
      </c>
      <c r="BF334" s="1769">
        <v>0</v>
      </c>
      <c r="BG334" s="1769">
        <v>0</v>
      </c>
      <c r="BH334" s="1769">
        <v>0</v>
      </c>
      <c r="BI334" s="1769">
        <v>0</v>
      </c>
      <c r="BJ334" s="1769">
        <v>0</v>
      </c>
      <c r="BK334" s="1769">
        <v>0</v>
      </c>
      <c r="BL334" s="1769">
        <v>0</v>
      </c>
      <c r="BM334" s="1769">
        <v>0</v>
      </c>
      <c r="BN334" s="1769">
        <v>0</v>
      </c>
      <c r="BO334" s="1769">
        <v>0</v>
      </c>
      <c r="BP334" s="1769">
        <v>0</v>
      </c>
      <c r="BQ334" s="1769">
        <v>0</v>
      </c>
      <c r="BR334" s="1769">
        <v>0</v>
      </c>
      <c r="BS334" s="1769">
        <v>0</v>
      </c>
      <c r="BT334" s="1769">
        <v>0</v>
      </c>
      <c r="BU334" s="1769">
        <v>0</v>
      </c>
      <c r="BV334" s="1769">
        <v>0</v>
      </c>
      <c r="BW334" s="1769">
        <v>0</v>
      </c>
      <c r="BX334" s="1769">
        <v>0</v>
      </c>
      <c r="BY334" s="1769">
        <v>0</v>
      </c>
      <c r="BZ334" s="1769">
        <v>0</v>
      </c>
      <c r="CA334" s="1769">
        <v>0</v>
      </c>
      <c r="CB334" s="1769">
        <v>0</v>
      </c>
      <c r="CC334" s="1769">
        <v>0</v>
      </c>
      <c r="CD334" s="1769">
        <v>0</v>
      </c>
      <c r="CE334" s="1769">
        <v>0</v>
      </c>
      <c r="CF334" s="1769">
        <v>0</v>
      </c>
      <c r="CG334" s="1769">
        <v>0</v>
      </c>
      <c r="CH334" s="1769">
        <v>0</v>
      </c>
      <c r="CI334" s="1769">
        <v>0</v>
      </c>
      <c r="CJ334" s="1769">
        <v>0</v>
      </c>
      <c r="CK334" s="1769">
        <v>0</v>
      </c>
      <c r="CL334" s="1769">
        <v>0</v>
      </c>
      <c r="CM334" s="1769">
        <v>0</v>
      </c>
      <c r="CN334" s="1769">
        <v>0</v>
      </c>
      <c r="CO334" s="1769">
        <v>0</v>
      </c>
      <c r="CP334" s="1769">
        <v>0</v>
      </c>
    </row>
    <row r="335" spans="1:94" ht="27" customHeight="1" thickBot="1" x14ac:dyDescent="0.25">
      <c r="A335" s="1852"/>
      <c r="B335" s="1852"/>
      <c r="C335" s="963" t="s">
        <v>2376</v>
      </c>
      <c r="D335" s="1560"/>
      <c r="E335" s="1882"/>
      <c r="F335" s="1736"/>
      <c r="G335" s="1769">
        <v>0</v>
      </c>
      <c r="H335" s="1769">
        <v>0</v>
      </c>
      <c r="I335" s="1769">
        <v>0</v>
      </c>
      <c r="J335" s="1769">
        <v>0</v>
      </c>
      <c r="K335" s="1769">
        <v>0</v>
      </c>
      <c r="L335" s="1769">
        <v>0</v>
      </c>
      <c r="M335" s="1769">
        <v>0</v>
      </c>
      <c r="N335" s="1769">
        <v>0</v>
      </c>
      <c r="O335" s="1769">
        <v>0</v>
      </c>
      <c r="P335" s="1769">
        <v>0</v>
      </c>
      <c r="Q335" s="1769">
        <v>0</v>
      </c>
      <c r="R335" s="1769">
        <v>0</v>
      </c>
      <c r="S335" s="1769">
        <v>0</v>
      </c>
      <c r="T335" s="1769">
        <v>0</v>
      </c>
      <c r="U335" s="1769">
        <v>0</v>
      </c>
      <c r="V335" s="1769">
        <v>0</v>
      </c>
      <c r="W335" s="1769">
        <v>0</v>
      </c>
      <c r="X335" s="1769">
        <v>0</v>
      </c>
      <c r="Y335" s="1769">
        <v>0</v>
      </c>
      <c r="Z335" s="1769">
        <v>0</v>
      </c>
      <c r="AA335" s="1769">
        <v>0</v>
      </c>
      <c r="AB335" s="1769">
        <v>0</v>
      </c>
      <c r="AC335" s="1769">
        <v>0</v>
      </c>
      <c r="AD335" s="1769">
        <v>0</v>
      </c>
      <c r="AE335" s="1769">
        <v>0</v>
      </c>
      <c r="AF335" s="1769">
        <v>0</v>
      </c>
      <c r="AG335" s="1769">
        <v>0</v>
      </c>
      <c r="AH335" s="1769">
        <v>0</v>
      </c>
      <c r="AI335" s="1769">
        <v>0</v>
      </c>
      <c r="AJ335" s="1769">
        <v>0</v>
      </c>
      <c r="AK335" s="1769">
        <v>0</v>
      </c>
      <c r="AL335" s="1769">
        <v>0</v>
      </c>
      <c r="AM335" s="1769">
        <v>0</v>
      </c>
      <c r="AN335" s="1769">
        <v>0</v>
      </c>
      <c r="AO335" s="1769">
        <v>0</v>
      </c>
      <c r="AP335" s="1769">
        <v>0</v>
      </c>
      <c r="AQ335" s="1769">
        <v>0</v>
      </c>
      <c r="AR335" s="1769">
        <v>0</v>
      </c>
      <c r="AS335" s="1769">
        <v>0</v>
      </c>
      <c r="AT335" s="1769">
        <v>0</v>
      </c>
      <c r="AU335" s="1769">
        <v>0</v>
      </c>
      <c r="AV335" s="1769">
        <v>0</v>
      </c>
      <c r="AW335" s="1769">
        <v>0</v>
      </c>
      <c r="AX335" s="1769">
        <v>0</v>
      </c>
      <c r="AY335" s="1769">
        <v>0</v>
      </c>
      <c r="AZ335" s="1769">
        <v>0</v>
      </c>
      <c r="BA335" s="1769">
        <v>0</v>
      </c>
      <c r="BB335" s="1769">
        <v>0</v>
      </c>
      <c r="BC335" s="1769">
        <v>0</v>
      </c>
      <c r="BD335" s="1769">
        <v>0</v>
      </c>
      <c r="BE335" s="1769">
        <v>0</v>
      </c>
      <c r="BF335" s="1769">
        <v>0</v>
      </c>
      <c r="BG335" s="1769">
        <v>0</v>
      </c>
      <c r="BH335" s="1769">
        <v>0</v>
      </c>
      <c r="BI335" s="1769">
        <v>0</v>
      </c>
      <c r="BJ335" s="1769">
        <v>0</v>
      </c>
      <c r="BK335" s="1769">
        <v>0</v>
      </c>
      <c r="BL335" s="1769">
        <v>0</v>
      </c>
      <c r="BM335" s="1769">
        <v>0</v>
      </c>
      <c r="BN335" s="1769">
        <v>0</v>
      </c>
      <c r="BO335" s="1769">
        <v>0</v>
      </c>
      <c r="BP335" s="1769">
        <v>0</v>
      </c>
      <c r="BQ335" s="1769">
        <v>0</v>
      </c>
      <c r="BR335" s="1769">
        <v>0</v>
      </c>
      <c r="BS335" s="1769">
        <v>0</v>
      </c>
      <c r="BT335" s="1769">
        <v>0</v>
      </c>
      <c r="BU335" s="1769">
        <v>0</v>
      </c>
      <c r="BV335" s="1769">
        <v>0</v>
      </c>
      <c r="BW335" s="1769">
        <v>0</v>
      </c>
      <c r="BX335" s="1769">
        <v>0</v>
      </c>
      <c r="BY335" s="1769">
        <v>0</v>
      </c>
      <c r="BZ335" s="1769">
        <v>0</v>
      </c>
      <c r="CA335" s="1769">
        <v>0</v>
      </c>
      <c r="CB335" s="1769">
        <v>0</v>
      </c>
      <c r="CC335" s="1769">
        <v>0</v>
      </c>
      <c r="CD335" s="1769">
        <v>0</v>
      </c>
      <c r="CE335" s="1769">
        <v>0</v>
      </c>
      <c r="CF335" s="1769">
        <v>0</v>
      </c>
      <c r="CG335" s="1769">
        <v>0</v>
      </c>
      <c r="CH335" s="1769">
        <v>0</v>
      </c>
      <c r="CI335" s="1769">
        <v>0</v>
      </c>
      <c r="CJ335" s="1769">
        <v>0</v>
      </c>
      <c r="CK335" s="1769">
        <v>0</v>
      </c>
      <c r="CL335" s="1769">
        <v>0</v>
      </c>
      <c r="CM335" s="1769">
        <v>0</v>
      </c>
      <c r="CN335" s="1769">
        <v>0</v>
      </c>
      <c r="CO335" s="1769">
        <v>0</v>
      </c>
      <c r="CP335" s="1769">
        <v>0</v>
      </c>
    </row>
  </sheetData>
  <sheetProtection password="C4B9" sheet="1" objects="1" scenarios="1" formatCells="0" formatColumns="0" formatRows="0"/>
  <customSheetViews>
    <customSheetView guid="{B8E02330-2419-4DE6-AD01-7ACC7A5D18DD}" scale="90" topLeftCell="A96">
      <selection activeCell="C101" sqref="C101:C102"/>
      <rowBreaks count="16" manualBreakCount="16">
        <brk id="9" max="4" man="1"/>
        <brk id="26" max="4" man="1"/>
        <brk id="45" max="4" man="1"/>
        <brk id="82" max="4" man="1"/>
        <brk id="100" max="4" man="1"/>
        <brk id="124" max="4" man="1"/>
        <brk id="148" max="4" man="1"/>
        <brk id="166" max="4" man="1"/>
        <brk id="196" max="4" man="1"/>
        <brk id="220" max="4" man="1"/>
        <brk id="236" max="4" man="1"/>
        <brk id="267" max="4" man="1"/>
        <brk id="287" max="4" man="1"/>
        <brk id="306" max="4" man="1"/>
        <brk id="333" max="4" man="1"/>
        <brk id="363" max="4" man="1"/>
      </rowBreaks>
      <pageMargins left="0.25" right="0.25" top="0.75" bottom="0.75" header="0.3" footer="0.3"/>
      <printOptions headings="1"/>
      <pageSetup scale="85" orientation="landscape" r:id="rId1"/>
      <headerFooter alignWithMargins="0">
        <oddFooter>&amp;LWESPUS betaV1, by Dr. Paul Adamus</oddFooter>
      </headerFooter>
    </customSheetView>
  </customSheetViews>
  <mergeCells count="179">
    <mergeCell ref="A331:A335"/>
    <mergeCell ref="B331:B335"/>
    <mergeCell ref="E331:E335"/>
    <mergeCell ref="E324:E330"/>
    <mergeCell ref="E319:E323"/>
    <mergeCell ref="E315:E318"/>
    <mergeCell ref="B315:B318"/>
    <mergeCell ref="A319:A323"/>
    <mergeCell ref="B319:B323"/>
    <mergeCell ref="A324:A330"/>
    <mergeCell ref="B324:B330"/>
    <mergeCell ref="A315:A318"/>
    <mergeCell ref="A311:A314"/>
    <mergeCell ref="A302:A310"/>
    <mergeCell ref="A283:A287"/>
    <mergeCell ref="A295:A299"/>
    <mergeCell ref="A2:C2"/>
    <mergeCell ref="A3:C3"/>
    <mergeCell ref="A154:C154"/>
    <mergeCell ref="B134:B139"/>
    <mergeCell ref="B204:B207"/>
    <mergeCell ref="A187:A192"/>
    <mergeCell ref="B187:B192"/>
    <mergeCell ref="A180:A186"/>
    <mergeCell ref="A204:A207"/>
    <mergeCell ref="B180:B186"/>
    <mergeCell ref="B269:B273"/>
    <mergeCell ref="A269:A273"/>
    <mergeCell ref="A278:A282"/>
    <mergeCell ref="A288:A294"/>
    <mergeCell ref="A274:A277"/>
    <mergeCell ref="B311:B314"/>
    <mergeCell ref="B274:B277"/>
    <mergeCell ref="B302:B310"/>
    <mergeCell ref="B295:B299"/>
    <mergeCell ref="B57:B62"/>
    <mergeCell ref="B288:B294"/>
    <mergeCell ref="B278:B282"/>
    <mergeCell ref="A77:A83"/>
    <mergeCell ref="A110:A115"/>
    <mergeCell ref="B89:B94"/>
    <mergeCell ref="B283:B287"/>
    <mergeCell ref="A173:A179"/>
    <mergeCell ref="A161:A164"/>
    <mergeCell ref="B165:B171"/>
    <mergeCell ref="B173:B179"/>
    <mergeCell ref="A233:A238"/>
    <mergeCell ref="B216:B221"/>
    <mergeCell ref="A222:A225"/>
    <mergeCell ref="A216:A221"/>
    <mergeCell ref="A211:A215"/>
    <mergeCell ref="A262:A268"/>
    <mergeCell ref="B262:B268"/>
    <mergeCell ref="A258:A260"/>
    <mergeCell ref="A155:A160"/>
    <mergeCell ref="B161:B164"/>
    <mergeCell ref="A101:A106"/>
    <mergeCell ref="A199:A202"/>
    <mergeCell ref="B199:B202"/>
    <mergeCell ref="B142:B147"/>
    <mergeCell ref="E155:E160"/>
    <mergeCell ref="A127:A133"/>
    <mergeCell ref="A134:A139"/>
    <mergeCell ref="B127:B133"/>
    <mergeCell ref="B47:B52"/>
    <mergeCell ref="A12:A17"/>
    <mergeCell ref="B12:B17"/>
    <mergeCell ref="E134:E139"/>
    <mergeCell ref="B121:B126"/>
    <mergeCell ref="A121:A126"/>
    <mergeCell ref="E127:E133"/>
    <mergeCell ref="A73:A76"/>
    <mergeCell ref="A107:A109"/>
    <mergeCell ref="E18:E24"/>
    <mergeCell ref="E25:E33"/>
    <mergeCell ref="B25:B33"/>
    <mergeCell ref="E121:E126"/>
    <mergeCell ref="E12:E17"/>
    <mergeCell ref="E44:E46"/>
    <mergeCell ref="A18:A24"/>
    <mergeCell ref="B18:B24"/>
    <mergeCell ref="B44:B46"/>
    <mergeCell ref="A142:A147"/>
    <mergeCell ref="A148:A153"/>
    <mergeCell ref="B107:B109"/>
    <mergeCell ref="B73:B76"/>
    <mergeCell ref="B77:B83"/>
    <mergeCell ref="A89:A94"/>
    <mergeCell ref="B116:B120"/>
    <mergeCell ref="B101:B106"/>
    <mergeCell ref="B84:B88"/>
    <mergeCell ref="B69:B72"/>
    <mergeCell ref="A69:A72"/>
    <mergeCell ref="B193:B198"/>
    <mergeCell ref="A193:A198"/>
    <mergeCell ref="A41:A43"/>
    <mergeCell ref="E110:E115"/>
    <mergeCell ref="E95:E100"/>
    <mergeCell ref="E107:E109"/>
    <mergeCell ref="A95:A100"/>
    <mergeCell ref="A84:A88"/>
    <mergeCell ref="E187:E192"/>
    <mergeCell ref="E193:E198"/>
    <mergeCell ref="A53:A56"/>
    <mergeCell ref="B53:B56"/>
    <mergeCell ref="B110:B115"/>
    <mergeCell ref="B95:B100"/>
    <mergeCell ref="B155:B160"/>
    <mergeCell ref="A165:A171"/>
    <mergeCell ref="E161:E164"/>
    <mergeCell ref="E142:E147"/>
    <mergeCell ref="A47:A52"/>
    <mergeCell ref="E180:E186"/>
    <mergeCell ref="E165:E171"/>
    <mergeCell ref="B63:B68"/>
    <mergeCell ref="A116:A120"/>
    <mergeCell ref="E63:E68"/>
    <mergeCell ref="B258:B260"/>
    <mergeCell ref="E262:E268"/>
    <mergeCell ref="B227:B232"/>
    <mergeCell ref="A227:A232"/>
    <mergeCell ref="A247:A251"/>
    <mergeCell ref="E243:E246"/>
    <mergeCell ref="B247:B251"/>
    <mergeCell ref="A243:A246"/>
    <mergeCell ref="A239:A242"/>
    <mergeCell ref="E233:E238"/>
    <mergeCell ref="B233:B238"/>
    <mergeCell ref="B243:B246"/>
    <mergeCell ref="B239:B242"/>
    <mergeCell ref="E227:E232"/>
    <mergeCell ref="B211:B215"/>
    <mergeCell ref="E211:E215"/>
    <mergeCell ref="E216:E221"/>
    <mergeCell ref="B222:B225"/>
    <mergeCell ref="B252:B257"/>
    <mergeCell ref="A252:A257"/>
    <mergeCell ref="E311:E314"/>
    <mergeCell ref="E84:E88"/>
    <mergeCell ref="E283:E287"/>
    <mergeCell ref="E269:E273"/>
    <mergeCell ref="E274:E277"/>
    <mergeCell ref="E288:E294"/>
    <mergeCell ref="E278:E282"/>
    <mergeCell ref="E302:E310"/>
    <mergeCell ref="E295:E299"/>
    <mergeCell ref="E116:E120"/>
    <mergeCell ref="E258:E260"/>
    <mergeCell ref="E252:E257"/>
    <mergeCell ref="E101:E106"/>
    <mergeCell ref="E247:E251"/>
    <mergeCell ref="E173:E179"/>
    <mergeCell ref="E239:E242"/>
    <mergeCell ref="E222:E225"/>
    <mergeCell ref="E204:E207"/>
    <mergeCell ref="E199:E202"/>
    <mergeCell ref="E148:E153"/>
    <mergeCell ref="E89:E94"/>
    <mergeCell ref="A1:C1"/>
    <mergeCell ref="E2:E3"/>
    <mergeCell ref="E57:E62"/>
    <mergeCell ref="A25:A33"/>
    <mergeCell ref="A34:A40"/>
    <mergeCell ref="B5:B11"/>
    <mergeCell ref="E5:E11"/>
    <mergeCell ref="A5:A11"/>
    <mergeCell ref="E77:E83"/>
    <mergeCell ref="E34:E40"/>
    <mergeCell ref="A63:A68"/>
    <mergeCell ref="B34:B40"/>
    <mergeCell ref="E73:E76"/>
    <mergeCell ref="E69:E72"/>
    <mergeCell ref="E47:E52"/>
    <mergeCell ref="E53:E56"/>
    <mergeCell ref="E41:E43"/>
    <mergeCell ref="A44:A46"/>
    <mergeCell ref="A57:A62"/>
    <mergeCell ref="B148:B153"/>
    <mergeCell ref="B41:B43"/>
  </mergeCells>
  <phoneticPr fontId="12" type="noConversion"/>
  <conditionalFormatting sqref="C323 C281:C282 C319 B331 D331:D335 C226 C217 E208:E215 C199:C202 C173:C179 C95:C106 C63 B208:B211 C208:C213 C215">
    <cfRule type="cellIs" dxfId="128" priority="212" operator="equal">
      <formula>1</formula>
    </cfRule>
  </conditionalFormatting>
  <conditionalFormatting sqref="E227:E232 E243:E246 E239:E241 E222 E208:E210 E63:E67 E25:E33 E274:E277 E41:E57">
    <cfRule type="cellIs" dxfId="127" priority="146" stopIfTrue="1" operator="equal">
      <formula>1</formula>
    </cfRule>
  </conditionalFormatting>
  <conditionalFormatting sqref="G2:P2 CQ2:DD2">
    <cfRule type="cellIs" dxfId="126" priority="129" operator="notEqual">
      <formula>0</formula>
    </cfRule>
  </conditionalFormatting>
  <conditionalFormatting sqref="G5:G12 G18:G153 G155:G288 G295 G302 G311 G315 G319 G324 G331">
    <cfRule type="cellIs" dxfId="125" priority="115" operator="notEqual">
      <formula>0</formula>
    </cfRule>
  </conditionalFormatting>
  <conditionalFormatting sqref="H5:H12 H18:H335">
    <cfRule type="cellIs" dxfId="124" priority="114" operator="notEqual">
      <formula>0</formula>
    </cfRule>
  </conditionalFormatting>
  <conditionalFormatting sqref="I5:I12 I18:I335">
    <cfRule type="cellIs" dxfId="123" priority="113" operator="notEqual">
      <formula>0</formula>
    </cfRule>
  </conditionalFormatting>
  <conditionalFormatting sqref="J5:J12 J18:J335">
    <cfRule type="cellIs" dxfId="122" priority="112" operator="notEqual">
      <formula>0</formula>
    </cfRule>
  </conditionalFormatting>
  <conditionalFormatting sqref="K5:K12 K18:K335">
    <cfRule type="cellIs" dxfId="121" priority="111" operator="notEqual">
      <formula>0</formula>
    </cfRule>
  </conditionalFormatting>
  <conditionalFormatting sqref="L5:L12 L18:L335">
    <cfRule type="cellIs" dxfId="120" priority="110" operator="notEqual">
      <formula>0</formula>
    </cfRule>
  </conditionalFormatting>
  <conditionalFormatting sqref="M5:M12 M18:M335">
    <cfRule type="cellIs" dxfId="119" priority="109" operator="notEqual">
      <formula>0</formula>
    </cfRule>
  </conditionalFormatting>
  <conditionalFormatting sqref="N5:N12 N18:N335">
    <cfRule type="cellIs" dxfId="118" priority="108" operator="notEqual">
      <formula>0</formula>
    </cfRule>
  </conditionalFormatting>
  <conditionalFormatting sqref="O5:O12 O18:O335">
    <cfRule type="cellIs" dxfId="117" priority="107" operator="notEqual">
      <formula>0</formula>
    </cfRule>
  </conditionalFormatting>
  <conditionalFormatting sqref="P5:P12 P18:P335">
    <cfRule type="cellIs" dxfId="116" priority="106" operator="notEqual">
      <formula>0</formula>
    </cfRule>
  </conditionalFormatting>
  <conditionalFormatting sqref="Q2">
    <cfRule type="cellIs" dxfId="115" priority="105" operator="notEqual">
      <formula>0</formula>
    </cfRule>
  </conditionalFormatting>
  <conditionalFormatting sqref="Q5:Q12 Q18:Q335">
    <cfRule type="cellIs" dxfId="114" priority="104" operator="notEqual">
      <formula>0</formula>
    </cfRule>
  </conditionalFormatting>
  <conditionalFormatting sqref="R2:AA2">
    <cfRule type="cellIs" dxfId="113" priority="103" operator="notEqual">
      <formula>0</formula>
    </cfRule>
  </conditionalFormatting>
  <conditionalFormatting sqref="R5:R12 R18:R335">
    <cfRule type="cellIs" dxfId="112" priority="102" operator="notEqual">
      <formula>0</formula>
    </cfRule>
  </conditionalFormatting>
  <conditionalFormatting sqref="S5:S12 S18:S335">
    <cfRule type="cellIs" dxfId="111" priority="101" operator="notEqual">
      <formula>0</formula>
    </cfRule>
  </conditionalFormatting>
  <conditionalFormatting sqref="T5:T12 T18:T335">
    <cfRule type="cellIs" dxfId="110" priority="100" operator="notEqual">
      <formula>0</formula>
    </cfRule>
  </conditionalFormatting>
  <conditionalFormatting sqref="U5:U12 U18:U335">
    <cfRule type="cellIs" dxfId="109" priority="99" operator="notEqual">
      <formula>0</formula>
    </cfRule>
  </conditionalFormatting>
  <conditionalFormatting sqref="V5:V12 V18:V335">
    <cfRule type="cellIs" dxfId="108" priority="98" operator="notEqual">
      <formula>0</formula>
    </cfRule>
  </conditionalFormatting>
  <conditionalFormatting sqref="W5:W12 W18:W335">
    <cfRule type="cellIs" dxfId="107" priority="97" operator="notEqual">
      <formula>0</formula>
    </cfRule>
  </conditionalFormatting>
  <conditionalFormatting sqref="X5:X12 X18:X335">
    <cfRule type="cellIs" dxfId="106" priority="96" operator="notEqual">
      <formula>0</formula>
    </cfRule>
  </conditionalFormatting>
  <conditionalFormatting sqref="Y5:Y12 Y18:Y335">
    <cfRule type="cellIs" dxfId="105" priority="95" operator="notEqual">
      <formula>0</formula>
    </cfRule>
  </conditionalFormatting>
  <conditionalFormatting sqref="Z5:Z12 Z18:Z335">
    <cfRule type="cellIs" dxfId="104" priority="94" operator="notEqual">
      <formula>0</formula>
    </cfRule>
  </conditionalFormatting>
  <conditionalFormatting sqref="AA5:AA12 AA18:AA335">
    <cfRule type="cellIs" dxfId="103" priority="93" operator="notEqual">
      <formula>0</formula>
    </cfRule>
  </conditionalFormatting>
  <conditionalFormatting sqref="AB2">
    <cfRule type="cellIs" dxfId="102" priority="92" operator="notEqual">
      <formula>0</formula>
    </cfRule>
  </conditionalFormatting>
  <conditionalFormatting sqref="AB5:AB12 AB18:AB335">
    <cfRule type="cellIs" dxfId="101" priority="91" operator="notEqual">
      <formula>0</formula>
    </cfRule>
  </conditionalFormatting>
  <conditionalFormatting sqref="AC2:AL2">
    <cfRule type="cellIs" dxfId="100" priority="90" operator="notEqual">
      <formula>0</formula>
    </cfRule>
  </conditionalFormatting>
  <conditionalFormatting sqref="AC5:AC12 AC18:AC335">
    <cfRule type="cellIs" dxfId="99" priority="89" operator="notEqual">
      <formula>0</formula>
    </cfRule>
  </conditionalFormatting>
  <conditionalFormatting sqref="AD5:AD12 AD18:AD335">
    <cfRule type="cellIs" dxfId="98" priority="88" operator="notEqual">
      <formula>0</formula>
    </cfRule>
  </conditionalFormatting>
  <conditionalFormatting sqref="AE5:AE12 AE18:AE335">
    <cfRule type="cellIs" dxfId="97" priority="87" operator="notEqual">
      <formula>0</formula>
    </cfRule>
  </conditionalFormatting>
  <conditionalFormatting sqref="AF5:AF12 AF18:AF335">
    <cfRule type="cellIs" dxfId="96" priority="86" operator="notEqual">
      <formula>0</formula>
    </cfRule>
  </conditionalFormatting>
  <conditionalFormatting sqref="AG5:AG12 AG18:AG335">
    <cfRule type="cellIs" dxfId="95" priority="85" operator="notEqual">
      <formula>0</formula>
    </cfRule>
  </conditionalFormatting>
  <conditionalFormatting sqref="AH5:AH12 AH18:AH335">
    <cfRule type="cellIs" dxfId="94" priority="84" operator="notEqual">
      <formula>0</formula>
    </cfRule>
  </conditionalFormatting>
  <conditionalFormatting sqref="AI5:AI12 AI18:AI335">
    <cfRule type="cellIs" dxfId="93" priority="83" operator="notEqual">
      <formula>0</formula>
    </cfRule>
  </conditionalFormatting>
  <conditionalFormatting sqref="AJ5:AJ12 AJ18:AJ335">
    <cfRule type="cellIs" dxfId="92" priority="82" operator="notEqual">
      <formula>0</formula>
    </cfRule>
  </conditionalFormatting>
  <conditionalFormatting sqref="AK5:AK12 AK18:AK335">
    <cfRule type="cellIs" dxfId="91" priority="81" operator="notEqual">
      <formula>0</formula>
    </cfRule>
  </conditionalFormatting>
  <conditionalFormatting sqref="AL5:AL12 AL18:AL335">
    <cfRule type="cellIs" dxfId="90" priority="80" operator="notEqual">
      <formula>0</formula>
    </cfRule>
  </conditionalFormatting>
  <conditionalFormatting sqref="AM2">
    <cfRule type="cellIs" dxfId="89" priority="79" operator="notEqual">
      <formula>0</formula>
    </cfRule>
  </conditionalFormatting>
  <conditionalFormatting sqref="AM5:AM12 AM18:AM335">
    <cfRule type="cellIs" dxfId="88" priority="78" operator="notEqual">
      <formula>0</formula>
    </cfRule>
  </conditionalFormatting>
  <conditionalFormatting sqref="AN2:AW2">
    <cfRule type="cellIs" dxfId="87" priority="77" operator="notEqual">
      <formula>0</formula>
    </cfRule>
  </conditionalFormatting>
  <conditionalFormatting sqref="AN5:AN12 AN18:AN335">
    <cfRule type="cellIs" dxfId="86" priority="76" operator="notEqual">
      <formula>0</formula>
    </cfRule>
  </conditionalFormatting>
  <conditionalFormatting sqref="AO5:AO12 AO18:AO335">
    <cfRule type="cellIs" dxfId="85" priority="75" operator="notEqual">
      <formula>0</formula>
    </cfRule>
  </conditionalFormatting>
  <conditionalFormatting sqref="AP5:AP12 AP18:AP335">
    <cfRule type="cellIs" dxfId="84" priority="74" operator="notEqual">
      <formula>0</formula>
    </cfRule>
  </conditionalFormatting>
  <conditionalFormatting sqref="AQ5:AQ12 AQ18:AQ335">
    <cfRule type="cellIs" dxfId="83" priority="73" operator="notEqual">
      <formula>0</formula>
    </cfRule>
  </conditionalFormatting>
  <conditionalFormatting sqref="AR5:AR12 AR18:AR335">
    <cfRule type="cellIs" dxfId="82" priority="72" operator="notEqual">
      <formula>0</formula>
    </cfRule>
  </conditionalFormatting>
  <conditionalFormatting sqref="AS5:AS12 AS18:AS335">
    <cfRule type="cellIs" dxfId="81" priority="71" operator="notEqual">
      <formula>0</formula>
    </cfRule>
  </conditionalFormatting>
  <conditionalFormatting sqref="AT5:AT12 AT18:AT335">
    <cfRule type="cellIs" dxfId="80" priority="70" operator="notEqual">
      <formula>0</formula>
    </cfRule>
  </conditionalFormatting>
  <conditionalFormatting sqref="AU5:AU12 AU18:AU335">
    <cfRule type="cellIs" dxfId="79" priority="69" operator="notEqual">
      <formula>0</formula>
    </cfRule>
  </conditionalFormatting>
  <conditionalFormatting sqref="AV5:AV12 AV18:AV335">
    <cfRule type="cellIs" dxfId="78" priority="68" operator="notEqual">
      <formula>0</formula>
    </cfRule>
  </conditionalFormatting>
  <conditionalFormatting sqref="AW5:AW12 AW18:AW335">
    <cfRule type="cellIs" dxfId="77" priority="67" operator="notEqual">
      <formula>0</formula>
    </cfRule>
  </conditionalFormatting>
  <conditionalFormatting sqref="AX2">
    <cfRule type="cellIs" dxfId="76" priority="66" operator="notEqual">
      <formula>0</formula>
    </cfRule>
  </conditionalFormatting>
  <conditionalFormatting sqref="AX5:AX12 AX18:AX335">
    <cfRule type="cellIs" dxfId="75" priority="65" operator="notEqual">
      <formula>0</formula>
    </cfRule>
  </conditionalFormatting>
  <conditionalFormatting sqref="AY2:BH2">
    <cfRule type="cellIs" dxfId="74" priority="64" operator="notEqual">
      <formula>0</formula>
    </cfRule>
  </conditionalFormatting>
  <conditionalFormatting sqref="AY5:AY12 AY18:AY335">
    <cfRule type="cellIs" dxfId="73" priority="63" operator="notEqual">
      <formula>0</formula>
    </cfRule>
  </conditionalFormatting>
  <conditionalFormatting sqref="AZ5:AZ12 AZ18:AZ335">
    <cfRule type="cellIs" dxfId="72" priority="62" operator="notEqual">
      <formula>0</formula>
    </cfRule>
  </conditionalFormatting>
  <conditionalFormatting sqref="BA5:BA12 BA18:BA335">
    <cfRule type="cellIs" dxfId="71" priority="61" operator="notEqual">
      <formula>0</formula>
    </cfRule>
  </conditionalFormatting>
  <conditionalFormatting sqref="BB5:BB12 BB18:BB335">
    <cfRule type="cellIs" dxfId="70" priority="60" operator="notEqual">
      <formula>0</formula>
    </cfRule>
  </conditionalFormatting>
  <conditionalFormatting sqref="BC5:BC12 BC18:BC335">
    <cfRule type="cellIs" dxfId="69" priority="59" operator="notEqual">
      <formula>0</formula>
    </cfRule>
  </conditionalFormatting>
  <conditionalFormatting sqref="BD5:BD12 BD18:BD335">
    <cfRule type="cellIs" dxfId="68" priority="58" operator="notEqual">
      <formula>0</formula>
    </cfRule>
  </conditionalFormatting>
  <conditionalFormatting sqref="BE5:BE12 BE18:BE335">
    <cfRule type="cellIs" dxfId="67" priority="57" operator="notEqual">
      <formula>0</formula>
    </cfRule>
  </conditionalFormatting>
  <conditionalFormatting sqref="BF5:BF12 BF18:BF335">
    <cfRule type="cellIs" dxfId="66" priority="56" operator="notEqual">
      <formula>0</formula>
    </cfRule>
  </conditionalFormatting>
  <conditionalFormatting sqref="BG5:BG12 BG18:BG335">
    <cfRule type="cellIs" dxfId="65" priority="55" operator="notEqual">
      <formula>0</formula>
    </cfRule>
  </conditionalFormatting>
  <conditionalFormatting sqref="BH5:BH12 BH18:BH335">
    <cfRule type="cellIs" dxfId="64" priority="54" operator="notEqual">
      <formula>0</formula>
    </cfRule>
  </conditionalFormatting>
  <conditionalFormatting sqref="BI2">
    <cfRule type="cellIs" dxfId="63" priority="53" operator="notEqual">
      <formula>0</formula>
    </cfRule>
  </conditionalFormatting>
  <conditionalFormatting sqref="BI5:BI12 BI18:BI335">
    <cfRule type="cellIs" dxfId="62" priority="52" operator="notEqual">
      <formula>0</formula>
    </cfRule>
  </conditionalFormatting>
  <conditionalFormatting sqref="BJ2:BS2">
    <cfRule type="cellIs" dxfId="61" priority="51" operator="notEqual">
      <formula>0</formula>
    </cfRule>
  </conditionalFormatting>
  <conditionalFormatting sqref="BJ5:BJ12 BJ18:BJ335">
    <cfRule type="cellIs" dxfId="60" priority="50" operator="notEqual">
      <formula>0</formula>
    </cfRule>
  </conditionalFormatting>
  <conditionalFormatting sqref="BK5:BK12 BK18:BK335">
    <cfRule type="cellIs" dxfId="59" priority="49" operator="notEqual">
      <formula>0</formula>
    </cfRule>
  </conditionalFormatting>
  <conditionalFormatting sqref="BL5:BL12 BL18:BL335">
    <cfRule type="cellIs" dxfId="58" priority="48" operator="notEqual">
      <formula>0</formula>
    </cfRule>
  </conditionalFormatting>
  <conditionalFormatting sqref="BM5:BM12 BM18:BM335">
    <cfRule type="cellIs" dxfId="57" priority="47" operator="notEqual">
      <formula>0</formula>
    </cfRule>
  </conditionalFormatting>
  <conditionalFormatting sqref="BN5:BN12 BN18:BN335">
    <cfRule type="cellIs" dxfId="56" priority="46" operator="notEqual">
      <formula>0</formula>
    </cfRule>
  </conditionalFormatting>
  <conditionalFormatting sqref="BO5:BO12 BO18:BO335">
    <cfRule type="cellIs" dxfId="55" priority="45" operator="notEqual">
      <formula>0</formula>
    </cfRule>
  </conditionalFormatting>
  <conditionalFormatting sqref="BP5:BP12 BP18:BP335">
    <cfRule type="cellIs" dxfId="54" priority="44" operator="notEqual">
      <formula>0</formula>
    </cfRule>
  </conditionalFormatting>
  <conditionalFormatting sqref="BQ5:BQ12 BQ18:BQ335">
    <cfRule type="cellIs" dxfId="53" priority="43" operator="notEqual">
      <formula>0</formula>
    </cfRule>
  </conditionalFormatting>
  <conditionalFormatting sqref="BR5:BR12 BR18:BR335">
    <cfRule type="cellIs" dxfId="52" priority="42" operator="notEqual">
      <formula>0</formula>
    </cfRule>
  </conditionalFormatting>
  <conditionalFormatting sqref="BS5:BS12 BS18:BS335">
    <cfRule type="cellIs" dxfId="51" priority="41" operator="notEqual">
      <formula>0</formula>
    </cfRule>
  </conditionalFormatting>
  <conditionalFormatting sqref="BT2">
    <cfRule type="cellIs" dxfId="50" priority="40" operator="notEqual">
      <formula>0</formula>
    </cfRule>
  </conditionalFormatting>
  <conditionalFormatting sqref="BT5:BT12 BT18:BT335">
    <cfRule type="cellIs" dxfId="49" priority="39" operator="notEqual">
      <formula>0</formula>
    </cfRule>
  </conditionalFormatting>
  <conditionalFormatting sqref="BU2:CD2">
    <cfRule type="cellIs" dxfId="48" priority="38" operator="notEqual">
      <formula>0</formula>
    </cfRule>
  </conditionalFormatting>
  <conditionalFormatting sqref="BU5:BU12 BU18:BU335">
    <cfRule type="cellIs" dxfId="47" priority="37" operator="notEqual">
      <formula>0</formula>
    </cfRule>
  </conditionalFormatting>
  <conditionalFormatting sqref="BV5:BV12 BV18:BV335">
    <cfRule type="cellIs" dxfId="46" priority="36" operator="notEqual">
      <formula>0</formula>
    </cfRule>
  </conditionalFormatting>
  <conditionalFormatting sqref="BW5:BW12 BW18:BW335">
    <cfRule type="cellIs" dxfId="45" priority="35" operator="notEqual">
      <formula>0</formula>
    </cfRule>
  </conditionalFormatting>
  <conditionalFormatting sqref="BX5:BX12 BX18:BX335">
    <cfRule type="cellIs" dxfId="44" priority="34" operator="notEqual">
      <formula>0</formula>
    </cfRule>
  </conditionalFormatting>
  <conditionalFormatting sqref="BY5:BY12 BY18:BY335">
    <cfRule type="cellIs" dxfId="43" priority="33" operator="notEqual">
      <formula>0</formula>
    </cfRule>
  </conditionalFormatting>
  <conditionalFormatting sqref="BZ5:BZ12 BZ18:BZ335">
    <cfRule type="cellIs" dxfId="42" priority="32" operator="notEqual">
      <formula>0</formula>
    </cfRule>
  </conditionalFormatting>
  <conditionalFormatting sqref="CA5:CA12 CA18:CA335">
    <cfRule type="cellIs" dxfId="41" priority="31" operator="notEqual">
      <formula>0</formula>
    </cfRule>
  </conditionalFormatting>
  <conditionalFormatting sqref="CB5:CB12 CB18:CB335">
    <cfRule type="cellIs" dxfId="40" priority="30" operator="notEqual">
      <formula>0</formula>
    </cfRule>
  </conditionalFormatting>
  <conditionalFormatting sqref="CC5:CC12 CC18:CC335">
    <cfRule type="cellIs" dxfId="39" priority="29" operator="notEqual">
      <formula>0</formula>
    </cfRule>
  </conditionalFormatting>
  <conditionalFormatting sqref="CD5:CD12 CD18:CD335">
    <cfRule type="cellIs" dxfId="38" priority="28" operator="notEqual">
      <formula>0</formula>
    </cfRule>
  </conditionalFormatting>
  <conditionalFormatting sqref="CE2">
    <cfRule type="cellIs" dxfId="37" priority="27" operator="notEqual">
      <formula>0</formula>
    </cfRule>
  </conditionalFormatting>
  <conditionalFormatting sqref="CE5:CE12 CE18:CE335">
    <cfRule type="cellIs" dxfId="36" priority="26" operator="notEqual">
      <formula>0</formula>
    </cfRule>
  </conditionalFormatting>
  <conditionalFormatting sqref="CF2:CO2">
    <cfRule type="cellIs" dxfId="35" priority="25" operator="notEqual">
      <formula>0</formula>
    </cfRule>
  </conditionalFormatting>
  <conditionalFormatting sqref="CF5:CF12 CF18:CF335">
    <cfRule type="cellIs" dxfId="34" priority="24" operator="notEqual">
      <formula>0</formula>
    </cfRule>
  </conditionalFormatting>
  <conditionalFormatting sqref="CG5:CG12 CG18:CG335">
    <cfRule type="cellIs" dxfId="33" priority="23" operator="notEqual">
      <formula>0</formula>
    </cfRule>
  </conditionalFormatting>
  <conditionalFormatting sqref="CH5:CH12 CH18:CH335">
    <cfRule type="cellIs" dxfId="32" priority="22" operator="notEqual">
      <formula>0</formula>
    </cfRule>
  </conditionalFormatting>
  <conditionalFormatting sqref="CI5:CI12 CI18:CI335">
    <cfRule type="cellIs" dxfId="31" priority="21" operator="notEqual">
      <formula>0</formula>
    </cfRule>
  </conditionalFormatting>
  <conditionalFormatting sqref="CJ5:CJ12 CJ18:CJ335">
    <cfRule type="cellIs" dxfId="30" priority="20" operator="notEqual">
      <formula>0</formula>
    </cfRule>
  </conditionalFormatting>
  <conditionalFormatting sqref="CK5:CK12 CK18:CK335">
    <cfRule type="cellIs" dxfId="29" priority="19" operator="notEqual">
      <formula>0</formula>
    </cfRule>
  </conditionalFormatting>
  <conditionalFormatting sqref="CL5:CL12 CL18:CL335">
    <cfRule type="cellIs" dxfId="28" priority="18" operator="notEqual">
      <formula>0</formula>
    </cfRule>
  </conditionalFormatting>
  <conditionalFormatting sqref="CM5:CM12 CM18:CM335">
    <cfRule type="cellIs" dxfId="27" priority="17" operator="notEqual">
      <formula>0</formula>
    </cfRule>
  </conditionalFormatting>
  <conditionalFormatting sqref="CN5:CN12 CN18:CN335">
    <cfRule type="cellIs" dxfId="26" priority="16" operator="notEqual">
      <formula>0</formula>
    </cfRule>
  </conditionalFormatting>
  <conditionalFormatting sqref="CO5:CO12 CO18:CO335">
    <cfRule type="cellIs" dxfId="25" priority="15" operator="notEqual">
      <formula>0</formula>
    </cfRule>
  </conditionalFormatting>
  <conditionalFormatting sqref="CP2">
    <cfRule type="cellIs" dxfId="24" priority="14" operator="notEqual">
      <formula>0</formula>
    </cfRule>
  </conditionalFormatting>
  <conditionalFormatting sqref="CP5:CP12 CP18:CP335">
    <cfRule type="cellIs" dxfId="23" priority="13" operator="notEqual">
      <formula>0</formula>
    </cfRule>
  </conditionalFormatting>
  <conditionalFormatting sqref="G13:CP17">
    <cfRule type="cellIs" dxfId="22" priority="12" operator="notEqual">
      <formula>0</formula>
    </cfRule>
  </conditionalFormatting>
  <conditionalFormatting sqref="G154">
    <cfRule type="cellIs" dxfId="21" priority="11" operator="notEqual">
      <formula>0</formula>
    </cfRule>
  </conditionalFormatting>
  <conditionalFormatting sqref="G289:G294">
    <cfRule type="cellIs" dxfId="20" priority="10" operator="notEqual">
      <formula>0</formula>
    </cfRule>
  </conditionalFormatting>
  <conditionalFormatting sqref="G296:G301">
    <cfRule type="cellIs" dxfId="19" priority="9" operator="notEqual">
      <formula>0</formula>
    </cfRule>
  </conditionalFormatting>
  <conditionalFormatting sqref="G303:G310">
    <cfRule type="cellIs" dxfId="18" priority="8" operator="notEqual">
      <formula>0</formula>
    </cfRule>
  </conditionalFormatting>
  <conditionalFormatting sqref="G312:G314">
    <cfRule type="cellIs" dxfId="17" priority="7" operator="notEqual">
      <formula>0</formula>
    </cfRule>
  </conditionalFormatting>
  <conditionalFormatting sqref="G316:G318">
    <cfRule type="cellIs" dxfId="16" priority="6" operator="notEqual">
      <formula>0</formula>
    </cfRule>
  </conditionalFormatting>
  <conditionalFormatting sqref="G320:G323">
    <cfRule type="cellIs" dxfId="15" priority="5" operator="notEqual">
      <formula>0</formula>
    </cfRule>
  </conditionalFormatting>
  <conditionalFormatting sqref="G325:G330">
    <cfRule type="cellIs" dxfId="14" priority="4" operator="notEqual">
      <formula>0</formula>
    </cfRule>
  </conditionalFormatting>
  <conditionalFormatting sqref="G332:G335">
    <cfRule type="cellIs" dxfId="13" priority="1" operator="notEqual">
      <formula>0</formula>
    </cfRule>
  </conditionalFormatting>
  <dataValidations count="2">
    <dataValidation type="whole" allowBlank="1" showInputMessage="1" showErrorMessage="1" sqref="G7:CP8 G10:CP11 G13:CP17 G26:CP33 G36:CP37 G39:CP40 G42:CP43 G45:CP46 G48:CP52 G54:CP56 G58:CP62 G64:CP68 G70:CP72 G74:CP76 G78:CP83 G85:CP88 G90:CP94 G96:CP100 G102:CP106 G108:CP109 G111:CP115 G117:CP120 G122:CP126 G128:CP133 G135:CP141 G143:CP147 G149:CP154 G156:CP160 G162:CP164 G166:CP172 G174:CP179 G181:CP186 G188:CP192 G194:CP198 G200:CP203 G205:CP210 G212:CP214 G217:CP219 G223:CP226 G228:CP232 G234:CP238 G240:CP242 G244:CP246 G248:CP251 G253:CP257 G259:CP261 G263:CP268 G270:CP273 G275:CP277 G279:CP282 G284:CP287 G325:CP330 G289:CP294 G296:CP301 G303:CP310 G312:CP314 G316:CP318 G320:CP323 G332:CP335">
      <formula1>0</formula1>
      <formula2>1</formula2>
    </dataValidation>
    <dataValidation type="whole" allowBlank="1" showInputMessage="1" showErrorMessage="1" sqref="G19:CP24">
      <formula1>0</formula1>
      <formula2>5</formula2>
    </dataValidation>
  </dataValidations>
  <printOptions headings="1"/>
  <pageMargins left="0.25" right="0.25" top="0.75" bottom="0.75" header="0.3" footer="0.3"/>
  <pageSetup scale="64" orientation="landscape" r:id="rId2"/>
  <headerFooter alignWithMargins="0">
    <oddFooter>&amp;LFieldF form - Non-tidal&amp;CPage &amp;P of &amp;N</oddFooter>
  </headerFooter>
  <rowBreaks count="6" manualBreakCount="6">
    <brk id="62" max="4" man="1"/>
    <brk id="106" max="4" man="1"/>
    <brk id="141" max="4" man="1"/>
    <brk id="232" max="4" man="1"/>
    <brk id="246" max="4" man="1"/>
    <brk id="287"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S226"/>
  <sheetViews>
    <sheetView zoomScaleNormal="100" workbookViewId="0">
      <selection activeCell="C8" sqref="C8"/>
    </sheetView>
  </sheetViews>
  <sheetFormatPr defaultColWidth="9.33203125" defaultRowHeight="12.75" x14ac:dyDescent="0.2"/>
  <cols>
    <col min="1" max="1" width="5.83203125" style="11" customWidth="1"/>
    <col min="2" max="2" width="18.83203125" style="11" customWidth="1"/>
    <col min="3" max="3" width="69.83203125" style="123" customWidth="1"/>
    <col min="4" max="4" width="6.83203125" style="249" customWidth="1"/>
    <col min="5" max="5" width="9.33203125" style="249" customWidth="1"/>
    <col min="6" max="6" width="10" style="249" customWidth="1"/>
    <col min="7" max="7" width="13.6640625" style="250" customWidth="1"/>
    <col min="8" max="8" width="14.1640625" style="19" customWidth="1"/>
    <col min="9" max="9" width="67.83203125" style="11" customWidth="1"/>
    <col min="10" max="10" width="9.33203125" style="578"/>
    <col min="11" max="16384" width="9.33203125" style="200"/>
  </cols>
  <sheetData>
    <row r="1" spans="1:71" ht="60" customHeight="1" thickBot="1" x14ac:dyDescent="0.25">
      <c r="A1" s="2033" t="s">
        <v>1757</v>
      </c>
      <c r="B1" s="2210"/>
      <c r="C1" s="60" t="s">
        <v>622</v>
      </c>
      <c r="D1" s="497" t="s">
        <v>516</v>
      </c>
      <c r="E1" s="2183"/>
      <c r="F1" s="2184"/>
      <c r="G1" s="2184"/>
      <c r="H1" s="2184"/>
      <c r="I1" s="2185"/>
    </row>
    <row r="2" spans="1:71" s="1014" customFormat="1" ht="50.25" thickBot="1" x14ac:dyDescent="0.25">
      <c r="A2" s="1008" t="s">
        <v>78</v>
      </c>
      <c r="B2" s="1009" t="s">
        <v>701</v>
      </c>
      <c r="C2" s="1010" t="s">
        <v>866</v>
      </c>
      <c r="D2" s="1008"/>
      <c r="E2" s="1011"/>
      <c r="F2" s="1012"/>
      <c r="G2" s="1013" t="s">
        <v>710</v>
      </c>
      <c r="H2" s="1177" t="s">
        <v>2028</v>
      </c>
      <c r="I2" s="1009" t="s">
        <v>255</v>
      </c>
    </row>
    <row r="3" spans="1:71" s="1325" customFormat="1" ht="45" customHeight="1" thickBot="1" x14ac:dyDescent="0.25">
      <c r="A3" s="418" t="str">
        <f>OF!A7</f>
        <v>OF6</v>
      </c>
      <c r="B3" s="323" t="str">
        <f>OF!C7</f>
        <v>Distance to Nearest Annual Cropland or Developed Land</v>
      </c>
      <c r="C3" s="447" t="s">
        <v>406</v>
      </c>
      <c r="D3" s="324"/>
      <c r="E3" s="325"/>
      <c r="F3" s="325"/>
      <c r="G3" s="345" t="str">
        <f>IF((Dist2DevCrop=""),"",Dist2DevCrop)</f>
        <v/>
      </c>
      <c r="H3" s="487" t="s">
        <v>802</v>
      </c>
      <c r="I3" s="1423" t="s">
        <v>985</v>
      </c>
      <c r="J3" s="209"/>
      <c r="K3" s="1668"/>
      <c r="BL3" s="5"/>
      <c r="BM3" s="5"/>
      <c r="BN3" s="5"/>
      <c r="BO3" s="5"/>
      <c r="BP3" s="5"/>
      <c r="BQ3" s="5"/>
      <c r="BR3" s="5"/>
      <c r="BS3" s="5"/>
    </row>
    <row r="4" spans="1:71" s="1325" customFormat="1" ht="29.25" customHeight="1" thickBot="1" x14ac:dyDescent="0.25">
      <c r="A4" s="317" t="str">
        <f>OF!A16</f>
        <v>OF15</v>
      </c>
      <c r="B4" s="864" t="str">
        <f>OF!C16</f>
        <v>Growing Degree Days</v>
      </c>
      <c r="C4" s="479" t="s">
        <v>406</v>
      </c>
      <c r="D4" s="764"/>
      <c r="E4" s="765"/>
      <c r="F4" s="765"/>
      <c r="G4" s="809" t="str">
        <f>IF((GrowDD=""),"",GrowDD)</f>
        <v/>
      </c>
      <c r="H4" s="867" t="s">
        <v>698</v>
      </c>
      <c r="I4" s="838" t="s">
        <v>702</v>
      </c>
      <c r="J4" s="209"/>
      <c r="K4" s="1668"/>
    </row>
    <row r="5" spans="1:71" s="1325" customFormat="1" ht="30" customHeight="1" thickBot="1" x14ac:dyDescent="0.25">
      <c r="A5" s="317" t="str">
        <f>OF!A18</f>
        <v>OF17</v>
      </c>
      <c r="B5" s="318" t="str">
        <f>OF!C18</f>
        <v>Important Bird Area</v>
      </c>
      <c r="C5" s="479" t="s">
        <v>894</v>
      </c>
      <c r="D5" s="320"/>
      <c r="E5" s="321"/>
      <c r="F5" s="321"/>
      <c r="G5" s="330" t="str">
        <f>IF((IBirdArea=""),"",IF((IBirdArea=1),1,""))</f>
        <v/>
      </c>
      <c r="H5" s="332" t="s">
        <v>699</v>
      </c>
      <c r="I5" s="838" t="s">
        <v>986</v>
      </c>
      <c r="J5" s="209"/>
      <c r="K5" s="1668"/>
    </row>
    <row r="6" spans="1:71" s="1325" customFormat="1" ht="45" customHeight="1" thickBot="1" x14ac:dyDescent="0.25">
      <c r="A6" s="317" t="str">
        <f>OF!A27</f>
        <v>OF26</v>
      </c>
      <c r="B6" s="864" t="str">
        <f>OF!C27</f>
        <v>% of AA that is Open Water (macro scale, Waterbird Habitat)</v>
      </c>
      <c r="C6" s="479" t="s">
        <v>876</v>
      </c>
      <c r="D6" s="764"/>
      <c r="E6" s="765"/>
      <c r="F6" s="765"/>
      <c r="G6" s="809" t="str">
        <f>IF((OWpct_WB=""),"",OWpct_WB)</f>
        <v/>
      </c>
      <c r="H6" s="861" t="s">
        <v>870</v>
      </c>
      <c r="I6" s="831" t="s">
        <v>75</v>
      </c>
      <c r="J6" s="209"/>
      <c r="K6" s="1668"/>
    </row>
    <row r="7" spans="1:71" s="1325" customFormat="1" ht="60" customHeight="1" thickBot="1" x14ac:dyDescent="0.25">
      <c r="A7" s="418" t="str">
        <f>OF!A31</f>
        <v>OF30</v>
      </c>
      <c r="B7" s="323" t="str">
        <f>OF!C31</f>
        <v>Nesting Bird Colony, Piping Plover Water Body, or Trumpeter Swan Use Area</v>
      </c>
      <c r="C7" s="447" t="s">
        <v>895</v>
      </c>
      <c r="D7" s="324"/>
      <c r="E7" s="325"/>
      <c r="F7" s="325"/>
      <c r="G7" s="345" t="str">
        <f>IF((RareBirdUse=""),"",IF((RareBirdUse=1),1,""))</f>
        <v/>
      </c>
      <c r="H7" s="1360" t="s">
        <v>693</v>
      </c>
      <c r="I7" s="1412" t="s">
        <v>987</v>
      </c>
      <c r="J7" s="209"/>
      <c r="K7" s="1668"/>
    </row>
    <row r="8" spans="1:71" s="1325" customFormat="1" ht="30" customHeight="1" thickBot="1" x14ac:dyDescent="0.25">
      <c r="A8" s="317" t="str">
        <f>OF!A34</f>
        <v>OF33</v>
      </c>
      <c r="B8" s="318" t="str">
        <f>OF!C34</f>
        <v>Riparian or Floodway Location</v>
      </c>
      <c r="C8" s="479" t="s">
        <v>893</v>
      </c>
      <c r="D8" s="320"/>
      <c r="E8" s="321"/>
      <c r="F8" s="321"/>
      <c r="G8" s="330" t="str">
        <f>IF((RipFloodpl=""),"",IF((RipFloodpl=1),1,""))</f>
        <v/>
      </c>
      <c r="H8" s="331" t="s">
        <v>697</v>
      </c>
      <c r="I8" s="810" t="s">
        <v>988</v>
      </c>
      <c r="J8" s="209"/>
      <c r="K8" s="1668"/>
    </row>
    <row r="9" spans="1:71" s="1325" customFormat="1" ht="30" customHeight="1" thickBot="1" x14ac:dyDescent="0.25">
      <c r="A9" s="317" t="str">
        <f>OF!A39</f>
        <v>OF38</v>
      </c>
      <c r="B9" s="318" t="str">
        <f>OF!C39</f>
        <v>Trumpeter Swan Area</v>
      </c>
      <c r="C9" s="479" t="s">
        <v>892</v>
      </c>
      <c r="D9" s="320"/>
      <c r="E9" s="321"/>
      <c r="F9" s="321"/>
      <c r="G9" s="330" t="str">
        <f>IF((TrumSwan=""),"",IF((TrumSwan=1),1,""))</f>
        <v/>
      </c>
      <c r="H9" s="332" t="s">
        <v>694</v>
      </c>
      <c r="I9" s="842" t="s">
        <v>2482</v>
      </c>
      <c r="J9" s="209"/>
      <c r="K9" s="1668"/>
    </row>
    <row r="10" spans="1:71" s="1325" customFormat="1" ht="26.25" thickBot="1" x14ac:dyDescent="0.25">
      <c r="A10" s="418" t="str">
        <f>OF!A40</f>
        <v>OF39</v>
      </c>
      <c r="B10" s="323" t="str">
        <f>OF!C40</f>
        <v>% Undeveloped Openlands Within 1km</v>
      </c>
      <c r="C10" s="447" t="s">
        <v>406</v>
      </c>
      <c r="D10" s="324"/>
      <c r="E10" s="325"/>
      <c r="F10" s="325"/>
      <c r="G10" s="531" t="str">
        <f>IF((UndevOpenL1k=""),"",UndevOpenL1k)</f>
        <v/>
      </c>
      <c r="H10" s="1412" t="s">
        <v>686</v>
      </c>
      <c r="I10" s="1374" t="s">
        <v>989</v>
      </c>
      <c r="J10" s="210"/>
      <c r="K10" s="940"/>
      <c r="L10" s="940"/>
      <c r="M10" s="940"/>
      <c r="N10" s="940"/>
      <c r="O10" s="940"/>
      <c r="P10" s="940"/>
      <c r="Q10" s="940"/>
      <c r="R10" s="940"/>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c r="BF10" s="940"/>
      <c r="BG10" s="940"/>
      <c r="BH10" s="940"/>
      <c r="BI10" s="940"/>
      <c r="BJ10" s="940"/>
      <c r="BK10" s="5"/>
    </row>
    <row r="11" spans="1:71" s="1325" customFormat="1" ht="64.5" thickBot="1" x14ac:dyDescent="0.25">
      <c r="A11" s="317" t="str">
        <f>OF!A42</f>
        <v>OF41</v>
      </c>
      <c r="B11" s="318" t="str">
        <f>OF!C42</f>
        <v>Marsh or Shallow Open Water Area/All Marsh &amp; Shallow Open Water Area Within 1k</v>
      </c>
      <c r="C11" s="479" t="s">
        <v>406</v>
      </c>
      <c r="D11" s="320"/>
      <c r="E11" s="321"/>
      <c r="F11" s="321"/>
      <c r="G11" s="502" t="str">
        <f>IF((UniqMarshShallowOW=""),"",UniqMarshShallowOW)</f>
        <v/>
      </c>
      <c r="H11" s="464" t="s">
        <v>2271</v>
      </c>
      <c r="I11" s="810" t="s">
        <v>2405</v>
      </c>
      <c r="J11" s="203"/>
      <c r="K11" s="1668"/>
    </row>
    <row r="12" spans="1:71" s="1325" customFormat="1" ht="104.25" customHeight="1" thickBot="1" x14ac:dyDescent="0.25">
      <c r="A12" s="317" t="str">
        <f>OF!A47</f>
        <v>OF46</v>
      </c>
      <c r="B12" s="318" t="str">
        <f>OF!C47</f>
        <v>Wetland Density Within 1km (excluding those with no open water)</v>
      </c>
      <c r="C12" s="479" t="s">
        <v>406</v>
      </c>
      <c r="D12" s="320"/>
      <c r="E12" s="321"/>
      <c r="F12" s="321"/>
      <c r="G12" s="502" t="str">
        <f>IF((WetDens1k_OW=""),"",WetDens1k_OW)</f>
        <v/>
      </c>
      <c r="H12" s="464" t="s">
        <v>703</v>
      </c>
      <c r="I12" s="839" t="s">
        <v>1867</v>
      </c>
      <c r="J12" s="203"/>
      <c r="K12" s="940"/>
      <c r="L12" s="940"/>
      <c r="M12" s="940"/>
      <c r="N12" s="940"/>
      <c r="O12" s="940"/>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0"/>
      <c r="AQ12" s="940"/>
      <c r="AR12" s="940"/>
      <c r="AS12" s="940"/>
      <c r="AT12" s="940"/>
      <c r="AU12" s="940"/>
      <c r="AV12" s="940"/>
      <c r="AW12" s="940"/>
      <c r="AX12" s="940"/>
      <c r="AY12" s="940"/>
      <c r="AZ12" s="940"/>
      <c r="BA12" s="940"/>
      <c r="BB12" s="940"/>
      <c r="BC12" s="940"/>
      <c r="BD12" s="940"/>
      <c r="BE12" s="940"/>
      <c r="BF12" s="940"/>
      <c r="BG12" s="940"/>
      <c r="BH12" s="940"/>
      <c r="BI12" s="940"/>
      <c r="BJ12" s="940"/>
      <c r="BK12" s="5"/>
    </row>
    <row r="13" spans="1:71" s="1325" customFormat="1" ht="66" customHeight="1" thickBot="1" x14ac:dyDescent="0.25">
      <c r="A13" s="444" t="str">
        <f>OF!A50</f>
        <v>OF49</v>
      </c>
      <c r="B13" s="316" t="str">
        <f>OF!C50</f>
        <v>Wetland Vegetated Area (in hectares)</v>
      </c>
      <c r="C13" s="480" t="s">
        <v>406</v>
      </c>
      <c r="D13" s="460"/>
      <c r="E13" s="461"/>
      <c r="F13" s="461"/>
      <c r="G13" s="208" t="str">
        <f>IF((WetVegArea=""),"",WetVegArea)</f>
        <v/>
      </c>
      <c r="H13" s="467" t="s">
        <v>656</v>
      </c>
      <c r="I13" s="1425" t="s">
        <v>1353</v>
      </c>
      <c r="J13" s="209"/>
      <c r="K13" s="1668"/>
    </row>
    <row r="14" spans="1:71" s="1007" customFormat="1" ht="51" customHeight="1" thickBot="1" x14ac:dyDescent="0.35">
      <c r="A14" s="997" t="s">
        <v>78</v>
      </c>
      <c r="B14" s="1063" t="s">
        <v>709</v>
      </c>
      <c r="C14" s="1021" t="s">
        <v>708</v>
      </c>
      <c r="D14" s="1064" t="s">
        <v>33</v>
      </c>
      <c r="E14" s="1065" t="s">
        <v>1131</v>
      </c>
      <c r="F14" s="1066" t="s">
        <v>1130</v>
      </c>
      <c r="G14" s="1067" t="s">
        <v>710</v>
      </c>
      <c r="H14" s="1068" t="s">
        <v>2028</v>
      </c>
      <c r="I14" s="1005" t="s">
        <v>917</v>
      </c>
      <c r="J14" s="1006"/>
    </row>
    <row r="15" spans="1:71" s="1669" customFormat="1" ht="21" customHeight="1" thickBot="1" x14ac:dyDescent="0.25">
      <c r="A15" s="2197" t="str">
        <f>F!A5</f>
        <v>F1</v>
      </c>
      <c r="B15" s="2207" t="str">
        <f>F!B5</f>
        <v>Wetland Type - Predominant</v>
      </c>
      <c r="C15" s="920" t="str">
        <f>F!C5</f>
        <v>Follow the key below and mark the ONE row that best describes MOST of the AA:</v>
      </c>
      <c r="D15" s="777"/>
      <c r="E15" s="368"/>
      <c r="F15" s="234"/>
      <c r="G15" s="232">
        <f>MAX(F16:F21)</f>
        <v>0</v>
      </c>
      <c r="H15" s="1867" t="s">
        <v>127</v>
      </c>
      <c r="I15" s="2011" t="s">
        <v>2483</v>
      </c>
      <c r="J15" s="44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row>
    <row r="16" spans="1:71" s="1669" customFormat="1" ht="38.25" x14ac:dyDescent="0.2">
      <c r="A16" s="2198"/>
      <c r="B16" s="2208"/>
      <c r="C16" s="919" t="str">
        <f>F!C6</f>
        <v>A. Moss and/or lichen cover more than 25% of the ground. Substrate is mostly undecomposed peat. Choose between A1 and A2 and mark the choice with a 1 in their adjoining column. Otherwise go to B below.</v>
      </c>
      <c r="D16" s="749"/>
      <c r="E16" s="749"/>
      <c r="F16" s="749"/>
      <c r="G16" s="749"/>
      <c r="H16" s="1911"/>
      <c r="I16" s="2040"/>
      <c r="J16" s="44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row>
    <row r="17" spans="1:71" s="1669" customFormat="1" ht="89.25" x14ac:dyDescent="0.2">
      <c r="A17" s="2198"/>
      <c r="B17" s="2208"/>
      <c r="C17" s="918"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17" s="751">
        <f>F!D7</f>
        <v>0</v>
      </c>
      <c r="E17" s="917">
        <v>0.2</v>
      </c>
      <c r="F17" s="748">
        <f>D17*E17</f>
        <v>0</v>
      </c>
      <c r="G17" s="749"/>
      <c r="H17" s="1911"/>
      <c r="I17" s="2040"/>
      <c r="J17" s="44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row>
    <row r="18" spans="1:71" s="1669" customFormat="1" ht="63.75" x14ac:dyDescent="0.2">
      <c r="A18" s="2198"/>
      <c r="B18" s="2208"/>
      <c r="C18" s="918"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18" s="751">
        <f>F!D8</f>
        <v>0</v>
      </c>
      <c r="E18" s="917">
        <v>0.16</v>
      </c>
      <c r="F18" s="748">
        <f t="shared" ref="F18:F21" si="0">D18*E18</f>
        <v>0</v>
      </c>
      <c r="G18" s="749"/>
      <c r="H18" s="1911"/>
      <c r="I18" s="2040"/>
      <c r="J18" s="44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row>
    <row r="19" spans="1:71" s="1669" customFormat="1" ht="38.25" x14ac:dyDescent="0.2">
      <c r="A19" s="2198"/>
      <c r="B19" s="2208"/>
      <c r="C19" s="918" t="str">
        <f>F!C9</f>
        <v>B. Moss and/or lichen cover less than 25% of the ground. Soil is mineral or decomposed organic (muck). Choose between B1 and B2 and mark the choice with a 1 in their adjoining column:</v>
      </c>
      <c r="D19" s="749"/>
      <c r="E19" s="749"/>
      <c r="F19" s="749"/>
      <c r="G19" s="749"/>
      <c r="H19" s="1911"/>
      <c r="I19" s="2040"/>
      <c r="J19" s="44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row>
    <row r="20" spans="1:71" s="1669" customFormat="1" ht="51" x14ac:dyDescent="0.2">
      <c r="A20" s="2198"/>
      <c r="B20" s="2208"/>
      <c r="C20" s="918"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20" s="751">
        <f>F!D10</f>
        <v>0</v>
      </c>
      <c r="E20" s="917">
        <v>0.16</v>
      </c>
      <c r="F20" s="748">
        <f t="shared" si="0"/>
        <v>0</v>
      </c>
      <c r="G20" s="749"/>
      <c r="H20" s="1911"/>
      <c r="I20" s="2040"/>
      <c r="J20" s="44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row>
    <row r="21" spans="1:71" s="1669" customFormat="1" ht="77.25" thickBot="1" x14ac:dyDescent="0.25">
      <c r="A21" s="2198"/>
      <c r="B21" s="2208"/>
      <c r="C21" s="918"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21" s="751">
        <f>F!D11</f>
        <v>0</v>
      </c>
      <c r="E21" s="917">
        <v>1</v>
      </c>
      <c r="F21" s="748">
        <f t="shared" si="0"/>
        <v>0</v>
      </c>
      <c r="G21" s="749"/>
      <c r="H21" s="1911"/>
      <c r="I21" s="2040"/>
      <c r="J21" s="44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row>
    <row r="22" spans="1:71" ht="45" customHeight="1" thickBot="1" x14ac:dyDescent="0.25">
      <c r="A22" s="2036" t="str">
        <f>F!A18</f>
        <v>F3</v>
      </c>
      <c r="B22" s="2000" t="str">
        <f>F!B18</f>
        <v>Woody Cover by Height</v>
      </c>
      <c r="C22" s="399" t="str">
        <f>F!C18</f>
        <v>Following EACH row below, indicate with a number code the percentage of the of the living vegetation in the AA occupied by that feature (5 if &gt;75%,   4 if 50-75%,   3 if 25-50%,   2 if 5-25%,   1 if &lt;5%, 0 if none).  If the AA has no trees or shrubs, SKIP to F8.</v>
      </c>
      <c r="D22" s="777"/>
      <c r="E22" s="376"/>
      <c r="F22" s="376"/>
      <c r="G22" s="232" t="str">
        <f>IF((MAX(D23,D24)&gt;3),0,"")</f>
        <v/>
      </c>
      <c r="H22" s="2158" t="s">
        <v>495</v>
      </c>
      <c r="I22" s="2011" t="s">
        <v>2032</v>
      </c>
    </row>
    <row r="23" spans="1:71" ht="15" customHeight="1" x14ac:dyDescent="0.2">
      <c r="A23" s="2035"/>
      <c r="B23" s="1989"/>
      <c r="C23" s="926" t="str">
        <f>F!C19</f>
        <v>coniferous trees (including tamarack) taller than 3 m.</v>
      </c>
      <c r="D23" s="197">
        <f>F!D19</f>
        <v>0</v>
      </c>
      <c r="E23" s="722"/>
      <c r="F23" s="380"/>
      <c r="G23" s="760"/>
      <c r="H23" s="2159"/>
      <c r="I23" s="2040"/>
    </row>
    <row r="24" spans="1:71" ht="15" customHeight="1" x14ac:dyDescent="0.2">
      <c r="A24" s="2035"/>
      <c r="B24" s="1989"/>
      <c r="C24" s="926" t="str">
        <f>F!C20</f>
        <v>deciduous trees taller than 3 m.</v>
      </c>
      <c r="D24" s="197">
        <f>F!D20</f>
        <v>0</v>
      </c>
      <c r="E24" s="722"/>
      <c r="F24" s="380"/>
      <c r="G24" s="760"/>
      <c r="H24" s="2159"/>
      <c r="I24" s="2040"/>
    </row>
    <row r="25" spans="1:71" ht="21" customHeight="1" x14ac:dyDescent="0.2">
      <c r="A25" s="2035"/>
      <c r="B25" s="1989"/>
      <c r="C25" s="926" t="str">
        <f>F!C21</f>
        <v>coniferous or ericaceous shrubs or trees 1-3 m tall not directly below the canopy of trees.</v>
      </c>
      <c r="D25" s="197">
        <f>F!D21</f>
        <v>0</v>
      </c>
      <c r="E25" s="722"/>
      <c r="F25" s="380"/>
      <c r="G25" s="760"/>
      <c r="H25" s="2159"/>
      <c r="I25" s="2040"/>
    </row>
    <row r="26" spans="1:71" ht="27" customHeight="1" x14ac:dyDescent="0.2">
      <c r="A26" s="2035"/>
      <c r="B26" s="1989"/>
      <c r="C26" s="926" t="str">
        <f>F!C22</f>
        <v>deciduous shrubs or trees 1-3 m tall not directly below the canopy of trees &gt;3 m (e.g., deciduous saplings).</v>
      </c>
      <c r="D26" s="197">
        <f>F!D22</f>
        <v>0</v>
      </c>
      <c r="E26" s="722"/>
      <c r="F26" s="380"/>
      <c r="G26" s="760"/>
      <c r="H26" s="2159"/>
      <c r="I26" s="2040"/>
    </row>
    <row r="27" spans="1:71" ht="27" customHeight="1" x14ac:dyDescent="0.2">
      <c r="A27" s="2035"/>
      <c r="B27" s="1989"/>
      <c r="C27" s="926" t="str">
        <f>F!C23</f>
        <v>coniferous or ericaceous shrubs or trees &lt;1 m tall not directly below the canopy of taller vegetation.</v>
      </c>
      <c r="D27" s="197">
        <f>F!D23</f>
        <v>0</v>
      </c>
      <c r="E27" s="380"/>
      <c r="F27" s="380"/>
      <c r="G27" s="744"/>
      <c r="H27" s="2159"/>
      <c r="I27" s="2040"/>
    </row>
    <row r="28" spans="1:71" ht="15" customHeight="1" thickBot="1" x14ac:dyDescent="0.25">
      <c r="A28" s="2037"/>
      <c r="B28" s="1990"/>
      <c r="C28" s="927" t="str">
        <f>F!C24</f>
        <v>deciduous shrubs or trees &lt;1 m tall (e.g., deciduous seedlings).</v>
      </c>
      <c r="D28" s="928">
        <f>F!D24</f>
        <v>0</v>
      </c>
      <c r="E28" s="244"/>
      <c r="F28" s="244"/>
      <c r="G28" s="237"/>
      <c r="H28" s="2160"/>
      <c r="I28" s="2041"/>
    </row>
    <row r="29" spans="1:71" s="212" customFormat="1" ht="39" thickBot="1" x14ac:dyDescent="0.25">
      <c r="A29" s="2214" t="str">
        <f>F!A25</f>
        <v>F4</v>
      </c>
      <c r="B29" s="2209" t="str">
        <f>F!B25</f>
        <v>Woody Diameter Classes</v>
      </c>
      <c r="C29" s="519" t="str">
        <f>F!C25</f>
        <v>Mark all the diameter classes of woody plants within the AA, but only IF they comprise &gt;5% of the woody canopy or subcanopy within the AA.  Do not count trees that adjoin but are not within the AA.</v>
      </c>
      <c r="D29" s="378"/>
      <c r="E29" s="368"/>
      <c r="F29" s="234"/>
      <c r="G29" s="225" t="str">
        <f>IF((SUM(F!D19:D20)=0),"",(MAX(F30:F37)/MAX(E30:E37)))</f>
        <v/>
      </c>
      <c r="H29" s="1910" t="s">
        <v>136</v>
      </c>
      <c r="I29" s="2011" t="s">
        <v>1192</v>
      </c>
      <c r="J29" s="138"/>
    </row>
    <row r="30" spans="1:71" s="212" customFormat="1" ht="15" customHeight="1" x14ac:dyDescent="0.2">
      <c r="A30" s="2215"/>
      <c r="B30" s="2216"/>
      <c r="C30" s="516" t="str">
        <f>F!C26</f>
        <v>coniferous, 1-9 cm diameter and &gt;1 m tall.</v>
      </c>
      <c r="D30" s="431">
        <f>F!D26</f>
        <v>0</v>
      </c>
      <c r="E30" s="369">
        <v>0</v>
      </c>
      <c r="F30" s="377">
        <f t="shared" ref="F30:F41" si="1">D30*E30</f>
        <v>0</v>
      </c>
      <c r="G30" s="235"/>
      <c r="H30" s="1881"/>
      <c r="I30" s="2040"/>
      <c r="J30" s="138"/>
    </row>
    <row r="31" spans="1:71" s="212" customFormat="1" ht="15" customHeight="1" x14ac:dyDescent="0.2">
      <c r="A31" s="2215"/>
      <c r="B31" s="2216"/>
      <c r="C31" s="517" t="str">
        <f>F!C27</f>
        <v>broad-leaved deciduous 1-9 cm diameter and &gt;1 m tall.</v>
      </c>
      <c r="D31" s="431">
        <f>F!D27</f>
        <v>0</v>
      </c>
      <c r="E31" s="369">
        <v>0</v>
      </c>
      <c r="F31" s="377">
        <f t="shared" si="1"/>
        <v>0</v>
      </c>
      <c r="G31" s="236"/>
      <c r="H31" s="1881"/>
      <c r="I31" s="2040"/>
      <c r="J31" s="138"/>
    </row>
    <row r="32" spans="1:71" s="212" customFormat="1" ht="15" customHeight="1" x14ac:dyDescent="0.2">
      <c r="A32" s="2215"/>
      <c r="B32" s="2216"/>
      <c r="C32" s="517" t="str">
        <f>F!C28</f>
        <v>coniferous, 10-19 cm diameter.</v>
      </c>
      <c r="D32" s="431">
        <f>F!D28</f>
        <v>0</v>
      </c>
      <c r="E32" s="369">
        <v>0</v>
      </c>
      <c r="F32" s="377">
        <f t="shared" si="1"/>
        <v>0</v>
      </c>
      <c r="G32" s="236"/>
      <c r="H32" s="1881"/>
      <c r="I32" s="2040"/>
      <c r="J32" s="138"/>
    </row>
    <row r="33" spans="1:10" s="212" customFormat="1" ht="15" customHeight="1" x14ac:dyDescent="0.2">
      <c r="A33" s="2215"/>
      <c r="B33" s="2216"/>
      <c r="C33" s="517" t="str">
        <f>F!C29</f>
        <v>broad-leaved deciduous 10-19 cm diameter.</v>
      </c>
      <c r="D33" s="431">
        <f>F!D29</f>
        <v>0</v>
      </c>
      <c r="E33" s="369">
        <v>0</v>
      </c>
      <c r="F33" s="377">
        <f t="shared" si="1"/>
        <v>0</v>
      </c>
      <c r="G33" s="236"/>
      <c r="H33" s="1881"/>
      <c r="I33" s="2040"/>
      <c r="J33" s="138"/>
    </row>
    <row r="34" spans="1:10" s="212" customFormat="1" ht="15" customHeight="1" x14ac:dyDescent="0.2">
      <c r="A34" s="2215"/>
      <c r="B34" s="2216"/>
      <c r="C34" s="517" t="str">
        <f>F!C30</f>
        <v>coniferous, 20-40 cm diameter.</v>
      </c>
      <c r="D34" s="431">
        <f>F!D30</f>
        <v>0</v>
      </c>
      <c r="E34" s="369">
        <v>2</v>
      </c>
      <c r="F34" s="377">
        <f t="shared" si="1"/>
        <v>0</v>
      </c>
      <c r="G34" s="236"/>
      <c r="H34" s="1881"/>
      <c r="I34" s="2040"/>
      <c r="J34" s="138"/>
    </row>
    <row r="35" spans="1:10" s="212" customFormat="1" ht="15" customHeight="1" x14ac:dyDescent="0.2">
      <c r="A35" s="2215"/>
      <c r="B35" s="2216"/>
      <c r="C35" s="517" t="str">
        <f>F!C31</f>
        <v>broad-leaved deciduous 20-40 cm diameter.</v>
      </c>
      <c r="D35" s="431">
        <f>F!D31</f>
        <v>0</v>
      </c>
      <c r="E35" s="369">
        <v>2</v>
      </c>
      <c r="F35" s="377">
        <f t="shared" si="1"/>
        <v>0</v>
      </c>
      <c r="G35" s="236"/>
      <c r="H35" s="1881"/>
      <c r="I35" s="2040"/>
      <c r="J35" s="138"/>
    </row>
    <row r="36" spans="1:10" s="212" customFormat="1" ht="15" customHeight="1" x14ac:dyDescent="0.2">
      <c r="A36" s="2215"/>
      <c r="B36" s="2216"/>
      <c r="C36" s="517" t="str">
        <f>F!C32</f>
        <v>coniferous, &gt;40 cm diameter.</v>
      </c>
      <c r="D36" s="431">
        <f>F!D32</f>
        <v>0</v>
      </c>
      <c r="E36" s="369">
        <v>3</v>
      </c>
      <c r="F36" s="377">
        <f t="shared" si="1"/>
        <v>0</v>
      </c>
      <c r="G36" s="236"/>
      <c r="H36" s="1881"/>
      <c r="I36" s="2040"/>
      <c r="J36" s="138"/>
    </row>
    <row r="37" spans="1:10" s="212" customFormat="1" ht="15" customHeight="1" thickBot="1" x14ac:dyDescent="0.25">
      <c r="A37" s="2217"/>
      <c r="B37" s="2218"/>
      <c r="C37" s="520" t="str">
        <f>F!C33</f>
        <v>broad-leaved deciduous &gt;40 cm diameter.</v>
      </c>
      <c r="D37" s="194">
        <f>F!D33</f>
        <v>0</v>
      </c>
      <c r="E37" s="205">
        <v>3</v>
      </c>
      <c r="F37" s="266">
        <f t="shared" si="1"/>
        <v>0</v>
      </c>
      <c r="G37" s="237"/>
      <c r="H37" s="1882"/>
      <c r="I37" s="2041"/>
      <c r="J37" s="138"/>
    </row>
    <row r="38" spans="1:10" s="212" customFormat="1" ht="30" customHeight="1" thickBot="1" x14ac:dyDescent="0.25">
      <c r="A38" s="2204" t="str">
        <f>F!A53</f>
        <v>F9</v>
      </c>
      <c r="B38" s="2197" t="str">
        <f>F!B53</f>
        <v>Large Snags (Dead Standing Trees)</v>
      </c>
      <c r="C38" s="508" t="str">
        <f>F!C53</f>
        <v>The number of large snags (diameter &gt;20 cm) in the AA plus adjoining upland area within 10 m of the wetland edge is:</v>
      </c>
      <c r="D38" s="774"/>
      <c r="E38" s="368"/>
      <c r="F38" s="262"/>
      <c r="G38" s="232" t="str">
        <f>IF((SUM(F!D19:D24)=0),"",IF((SUM(F!D19:D20)=0),"",MAX(F39:F41)/MAX(E39:E41)))</f>
        <v/>
      </c>
      <c r="H38" s="1910" t="s">
        <v>135</v>
      </c>
      <c r="I38" s="2011" t="s">
        <v>1761</v>
      </c>
      <c r="J38" s="138"/>
    </row>
    <row r="39" spans="1:10" s="212" customFormat="1" ht="15" customHeight="1" x14ac:dyDescent="0.2">
      <c r="A39" s="2204"/>
      <c r="B39" s="2198"/>
      <c r="C39" s="919" t="str">
        <f>F!C54</f>
        <v>Few or none that meet these criteria.</v>
      </c>
      <c r="D39" s="751">
        <f>F!D54</f>
        <v>0</v>
      </c>
      <c r="E39" s="206">
        <v>0</v>
      </c>
      <c r="F39" s="722">
        <f t="shared" si="1"/>
        <v>0</v>
      </c>
      <c r="G39" s="760"/>
      <c r="H39" s="1881"/>
      <c r="I39" s="2040"/>
      <c r="J39" s="138"/>
    </row>
    <row r="40" spans="1:10" s="212" customFormat="1" ht="25.5" x14ac:dyDescent="0.2">
      <c r="A40" s="2204"/>
      <c r="B40" s="2198"/>
      <c r="C40" s="918" t="str">
        <f>F!C55</f>
        <v>Several ( &gt;5/hectare) and a pond, lake, or slow-flowing water wider than 10 m is within 1 km.</v>
      </c>
      <c r="D40" s="751">
        <f>F!D55</f>
        <v>0</v>
      </c>
      <c r="E40" s="748">
        <v>2</v>
      </c>
      <c r="F40" s="722">
        <f t="shared" si="1"/>
        <v>0</v>
      </c>
      <c r="G40" s="722"/>
      <c r="H40" s="1881"/>
      <c r="I40" s="2040"/>
      <c r="J40" s="138"/>
    </row>
    <row r="41" spans="1:10" s="212" customFormat="1" ht="15" customHeight="1" thickBot="1" x14ac:dyDescent="0.25">
      <c r="A41" s="2204"/>
      <c r="B41" s="2202"/>
      <c r="C41" s="511" t="str">
        <f>F!C56</f>
        <v>Several ( &gt;5/hectare) but above not true.</v>
      </c>
      <c r="D41" s="192">
        <f>F!D56</f>
        <v>0</v>
      </c>
      <c r="E41" s="205">
        <v>1</v>
      </c>
      <c r="F41" s="244">
        <f t="shared" si="1"/>
        <v>0</v>
      </c>
      <c r="G41" s="1670"/>
      <c r="H41" s="1882"/>
      <c r="I41" s="2041"/>
      <c r="J41" s="138"/>
    </row>
    <row r="42" spans="1:10" s="212" customFormat="1" ht="45" customHeight="1" thickBot="1" x14ac:dyDescent="0.25">
      <c r="A42" s="2203" t="str">
        <f>F!A84</f>
        <v>F15</v>
      </c>
      <c r="B42" s="2198" t="str">
        <f>F!B84</f>
        <v>Shorebird Feeding Habitats</v>
      </c>
      <c r="C42" s="807" t="str">
        <f>F!C84</f>
        <v>During any 2 consecutive weeks of the growing season, the extent of mudflats, bare unshaded saturated areas not covered by thatch, and unshaded waters shallower than 6 cm is:  [include also any area that immediately adjoins the AA].</v>
      </c>
      <c r="D42" s="801"/>
      <c r="E42" s="206"/>
      <c r="F42" s="239"/>
      <c r="G42" s="219">
        <f>MAX(F43:F46)/MAX(E43:E46)</f>
        <v>0</v>
      </c>
      <c r="H42" s="1881" t="s">
        <v>747</v>
      </c>
      <c r="I42" s="2040" t="s">
        <v>990</v>
      </c>
      <c r="J42" s="138"/>
    </row>
    <row r="43" spans="1:10" s="212" customFormat="1" ht="15" customHeight="1" x14ac:dyDescent="0.2">
      <c r="A43" s="2204"/>
      <c r="B43" s="2198"/>
      <c r="C43" s="532" t="str">
        <f>F!C85</f>
        <v>none, or &lt;100 sq. m within the AA.</v>
      </c>
      <c r="D43" s="382">
        <f>F!D85</f>
        <v>0</v>
      </c>
      <c r="E43" s="369">
        <v>0</v>
      </c>
      <c r="F43" s="380">
        <f>D43*E43</f>
        <v>0</v>
      </c>
      <c r="G43" s="236"/>
      <c r="H43" s="1881"/>
      <c r="I43" s="2040"/>
      <c r="J43" s="138"/>
    </row>
    <row r="44" spans="1:10" s="212" customFormat="1" ht="15" customHeight="1" x14ac:dyDescent="0.2">
      <c r="A44" s="2204"/>
      <c r="B44" s="2198"/>
      <c r="C44" s="524" t="str">
        <f>F!C86</f>
        <v>100-1000 sq. m within the AA.</v>
      </c>
      <c r="D44" s="382">
        <f>F!D86</f>
        <v>0</v>
      </c>
      <c r="E44" s="369">
        <v>1</v>
      </c>
      <c r="F44" s="380">
        <f>D44*E44</f>
        <v>0</v>
      </c>
      <c r="G44" s="236"/>
      <c r="H44" s="1881"/>
      <c r="I44" s="2040"/>
      <c r="J44" s="138"/>
    </row>
    <row r="45" spans="1:10" s="212" customFormat="1" ht="15" customHeight="1" x14ac:dyDescent="0.2">
      <c r="A45" s="2204"/>
      <c r="B45" s="2198"/>
      <c r="C45" s="524" t="str">
        <f>F!C87</f>
        <v>1000 – 10,000 sq. m within the AA.</v>
      </c>
      <c r="D45" s="382">
        <f>F!D87</f>
        <v>0</v>
      </c>
      <c r="E45" s="369">
        <v>2</v>
      </c>
      <c r="F45" s="380">
        <f>D45*E45</f>
        <v>0</v>
      </c>
      <c r="G45" s="236"/>
      <c r="H45" s="1881"/>
      <c r="I45" s="2040"/>
      <c r="J45" s="138"/>
    </row>
    <row r="46" spans="1:10" s="212" customFormat="1" ht="15" customHeight="1" thickBot="1" x14ac:dyDescent="0.25">
      <c r="A46" s="2205"/>
      <c r="B46" s="2202"/>
      <c r="C46" s="525" t="str">
        <f>F!C88</f>
        <v>&gt;10,000 sq. m within the AA.</v>
      </c>
      <c r="D46" s="192">
        <f>F!D88</f>
        <v>0</v>
      </c>
      <c r="E46" s="205">
        <v>3</v>
      </c>
      <c r="F46" s="244">
        <f>D46*E46</f>
        <v>0</v>
      </c>
      <c r="G46" s="237"/>
      <c r="H46" s="1882"/>
      <c r="I46" s="2041"/>
      <c r="J46" s="138"/>
    </row>
    <row r="47" spans="1:10" s="213" customFormat="1" ht="30" customHeight="1" thickBot="1" x14ac:dyDescent="0.25">
      <c r="A47" s="2219" t="str">
        <f>F!A89</f>
        <v>F16</v>
      </c>
      <c r="B47" s="2216" t="str">
        <f>F!B89</f>
        <v>Herbaceous - Percent of Vegetated Wetland</v>
      </c>
      <c r="C47" s="512" t="str">
        <f>F!C89</f>
        <v>In aerial ("ducks eye") view, the maximum annual cover of herbaceous vegetation (excluding moss) that is not under shrubs or trees is:</v>
      </c>
      <c r="D47" s="238"/>
      <c r="E47" s="239"/>
      <c r="F47" s="240"/>
      <c r="G47" s="219">
        <f>MAX(F48:F52)/MAX(E48:E52)</f>
        <v>0</v>
      </c>
      <c r="H47" s="2158" t="s">
        <v>134</v>
      </c>
      <c r="I47" s="2040" t="s">
        <v>279</v>
      </c>
      <c r="J47" s="134"/>
    </row>
    <row r="48" spans="1:10" s="213" customFormat="1" ht="27" customHeight="1" x14ac:dyDescent="0.2">
      <c r="A48" s="2219"/>
      <c r="B48" s="2216"/>
      <c r="C48" s="516" t="str">
        <f>F!C90</f>
        <v>&lt;5% of the vegetated part of the AA or &lt;0.01 hectare (whichever is less).  Mark "1" here and SKIP to F20 (Invasive Plant Cover).</v>
      </c>
      <c r="D48" s="92">
        <f>F!D90</f>
        <v>0</v>
      </c>
      <c r="E48" s="241">
        <v>0</v>
      </c>
      <c r="F48" s="241">
        <f>D48*E48</f>
        <v>0</v>
      </c>
      <c r="G48" s="235"/>
      <c r="H48" s="2159"/>
      <c r="I48" s="2040"/>
      <c r="J48" s="134"/>
    </row>
    <row r="49" spans="1:10" s="213" customFormat="1" ht="15" customHeight="1" x14ac:dyDescent="0.2">
      <c r="A49" s="2219"/>
      <c r="B49" s="2216"/>
      <c r="C49" s="517" t="str">
        <f>F!C91</f>
        <v>5-25% of the vegetated AA.</v>
      </c>
      <c r="D49" s="92">
        <f>F!D91</f>
        <v>0</v>
      </c>
      <c r="E49" s="241">
        <v>2</v>
      </c>
      <c r="F49" s="241">
        <f>D49*E49</f>
        <v>0</v>
      </c>
      <c r="G49" s="236"/>
      <c r="H49" s="2159"/>
      <c r="I49" s="2040"/>
      <c r="J49" s="134"/>
    </row>
    <row r="50" spans="1:10" s="213" customFormat="1" ht="15" customHeight="1" x14ac:dyDescent="0.2">
      <c r="A50" s="2219"/>
      <c r="B50" s="2216"/>
      <c r="C50" s="517" t="str">
        <f>F!C92</f>
        <v>25-50% of the vegetated AA.</v>
      </c>
      <c r="D50" s="92">
        <f>F!D92</f>
        <v>0</v>
      </c>
      <c r="E50" s="241">
        <v>3</v>
      </c>
      <c r="F50" s="241">
        <f>D50*E50</f>
        <v>0</v>
      </c>
      <c r="G50" s="236"/>
      <c r="H50" s="2159"/>
      <c r="I50" s="2040"/>
      <c r="J50" s="134"/>
    </row>
    <row r="51" spans="1:10" s="213" customFormat="1" ht="15" customHeight="1" x14ac:dyDescent="0.2">
      <c r="A51" s="2219"/>
      <c r="B51" s="2216"/>
      <c r="C51" s="517" t="str">
        <f>F!C93</f>
        <v>50-95% of the vegetated AA.</v>
      </c>
      <c r="D51" s="92">
        <f>F!D93</f>
        <v>0</v>
      </c>
      <c r="E51" s="241">
        <v>4</v>
      </c>
      <c r="F51" s="241">
        <f>D51*E51</f>
        <v>0</v>
      </c>
      <c r="G51" s="236"/>
      <c r="H51" s="2159"/>
      <c r="I51" s="2040"/>
      <c r="J51" s="134"/>
    </row>
    <row r="52" spans="1:10" s="213" customFormat="1" ht="15" customHeight="1" thickBot="1" x14ac:dyDescent="0.25">
      <c r="A52" s="2219"/>
      <c r="B52" s="2216"/>
      <c r="C52" s="929" t="str">
        <f>F!C94</f>
        <v>&gt;95% of the vegetated AA.</v>
      </c>
      <c r="D52" s="529">
        <f>F!D94</f>
        <v>0</v>
      </c>
      <c r="E52" s="380">
        <v>5</v>
      </c>
      <c r="F52" s="380">
        <f>D52*E52</f>
        <v>0</v>
      </c>
      <c r="G52" s="744"/>
      <c r="H52" s="2159"/>
      <c r="I52" s="2040"/>
      <c r="J52" s="134"/>
    </row>
    <row r="53" spans="1:10" s="211" customFormat="1" ht="39" thickBot="1" x14ac:dyDescent="0.25">
      <c r="A53" s="2211" t="str">
        <f>F!A121</f>
        <v>F22</v>
      </c>
      <c r="B53" s="2197" t="str">
        <f>F!B121</f>
        <v>% Never With Surface Water</v>
      </c>
      <c r="C53" s="519" t="str">
        <f>F!C121</f>
        <v>The percentage of the AA that never contains surface water during an average year (that is, except perhaps for a few hours after snowmelt or rainstorms), but which is still a wetland, is:</v>
      </c>
      <c r="D53" s="282"/>
      <c r="E53" s="777"/>
      <c r="F53" s="376"/>
      <c r="G53" s="225">
        <f>MAX(F54:F58)/MAX(E54:E58)</f>
        <v>0</v>
      </c>
      <c r="H53" s="1867" t="s">
        <v>287</v>
      </c>
      <c r="I53" s="2011" t="s">
        <v>404</v>
      </c>
      <c r="J53" s="441"/>
    </row>
    <row r="54" spans="1:10" s="211" customFormat="1" ht="38.25" x14ac:dyDescent="0.2">
      <c r="A54" s="2212"/>
      <c r="B54" s="2198"/>
      <c r="C54" s="930" t="str">
        <f>F!C122</f>
        <v>&lt;0.01 hectare (about 10 m on a side) and &lt;1% of the AA never has surface water.  In other words, all or nearly all of the AA is covered by water permanently or at least seasonally.</v>
      </c>
      <c r="D54" s="799">
        <f>F!D122</f>
        <v>0</v>
      </c>
      <c r="E54" s="1486">
        <v>4</v>
      </c>
      <c r="F54" s="722">
        <f>D54*E54</f>
        <v>0</v>
      </c>
      <c r="G54" s="721"/>
      <c r="H54" s="1911"/>
      <c r="I54" s="2040"/>
      <c r="J54" s="441"/>
    </row>
    <row r="55" spans="1:10" s="211" customFormat="1" ht="15" customHeight="1" x14ac:dyDescent="0.2">
      <c r="A55" s="2212"/>
      <c r="B55" s="2198"/>
      <c r="C55" s="930" t="str">
        <f>F!C123</f>
        <v>1-25% of the AA never contains surface water.</v>
      </c>
      <c r="D55" s="799">
        <f>F!D123</f>
        <v>0</v>
      </c>
      <c r="E55" s="1486">
        <v>5</v>
      </c>
      <c r="F55" s="722">
        <f>D55*E55</f>
        <v>0</v>
      </c>
      <c r="G55" s="721"/>
      <c r="H55" s="1911"/>
      <c r="I55" s="2040"/>
      <c r="J55" s="441"/>
    </row>
    <row r="56" spans="1:10" s="211" customFormat="1" ht="15" customHeight="1" x14ac:dyDescent="0.2">
      <c r="A56" s="2212"/>
      <c r="B56" s="2198"/>
      <c r="C56" s="930" t="str">
        <f>F!C124</f>
        <v>25-50% of the AA never contains surface water.</v>
      </c>
      <c r="D56" s="799">
        <f>F!D124</f>
        <v>0</v>
      </c>
      <c r="E56" s="1486">
        <v>3</v>
      </c>
      <c r="F56" s="722">
        <f>D56*E56</f>
        <v>0</v>
      </c>
      <c r="G56" s="721"/>
      <c r="H56" s="1911"/>
      <c r="I56" s="2040"/>
      <c r="J56" s="441"/>
    </row>
    <row r="57" spans="1:10" s="211" customFormat="1" ht="15" customHeight="1" x14ac:dyDescent="0.2">
      <c r="A57" s="2212"/>
      <c r="B57" s="2198"/>
      <c r="C57" s="930" t="str">
        <f>F!C125</f>
        <v>50-99% of the AA never contains surface water.</v>
      </c>
      <c r="D57" s="799">
        <f>F!D125</f>
        <v>0</v>
      </c>
      <c r="E57" s="1486">
        <v>2</v>
      </c>
      <c r="F57" s="722">
        <f>D57*E57</f>
        <v>0</v>
      </c>
      <c r="G57" s="721"/>
      <c r="H57" s="1911"/>
      <c r="I57" s="2040"/>
      <c r="J57" s="441"/>
    </row>
    <row r="58" spans="1:10" s="211" customFormat="1" ht="39" thickBot="1" x14ac:dyDescent="0.25">
      <c r="A58" s="2213"/>
      <c r="B58" s="2202"/>
      <c r="C58" s="931" t="str">
        <f>F!C126</f>
        <v>&gt;99% of the AA never contains surface water, except perhaps for water flowing in channels and/or in pools that occupy &lt;1% of the AA. SKIP to F48 (Channel Connection &amp; Outflow Duration).</v>
      </c>
      <c r="D58" s="194">
        <f>F!D126</f>
        <v>0</v>
      </c>
      <c r="E58" s="272">
        <v>1</v>
      </c>
      <c r="F58" s="244">
        <f>D58*E58</f>
        <v>0</v>
      </c>
      <c r="G58" s="258"/>
      <c r="H58" s="1978"/>
      <c r="I58" s="2041"/>
      <c r="J58" s="441"/>
    </row>
    <row r="59" spans="1:10" s="1" customFormat="1" ht="30" customHeight="1" thickBot="1" x14ac:dyDescent="0.25">
      <c r="A59" s="2203" t="str">
        <f>F!A127</f>
        <v>F23</v>
      </c>
      <c r="B59" s="2197" t="str">
        <f>F!B127</f>
        <v>% with Persistent Surface Water</v>
      </c>
      <c r="C59" s="508" t="str">
        <f>F!C127</f>
        <v>The percentage of the AA that has surface water (either ponded or flowing, either open or obscured by vegetation) during all of the growing season during most years is:</v>
      </c>
      <c r="D59" s="777"/>
      <c r="E59" s="376"/>
      <c r="F59" s="262"/>
      <c r="G59" s="225">
        <f>IF((AllSat1&gt;0),"", MAX(F60:F65)/MAX(E60:E65))</f>
        <v>0</v>
      </c>
      <c r="H59" s="2000" t="s">
        <v>129</v>
      </c>
      <c r="I59" s="2011" t="s">
        <v>1185</v>
      </c>
      <c r="J59" s="574"/>
    </row>
    <row r="60" spans="1:10" ht="15" customHeight="1" x14ac:dyDescent="0.2">
      <c r="A60" s="2204"/>
      <c r="B60" s="2198"/>
      <c r="C60" s="513" t="str">
        <f>F!C128</f>
        <v>&lt;0.01 hectare and &lt;1% of the AA.  SKIP to F27 (% Flooded Only Seasonally).</v>
      </c>
      <c r="D60" s="383">
        <f>F!D128</f>
        <v>0</v>
      </c>
      <c r="E60" s="722">
        <v>1</v>
      </c>
      <c r="F60" s="722">
        <f t="shared" ref="F60:F65" si="2">D60*E60</f>
        <v>0</v>
      </c>
      <c r="G60" s="235"/>
      <c r="H60" s="1989"/>
      <c r="I60" s="2040"/>
    </row>
    <row r="61" spans="1:10" ht="15" customHeight="1" x14ac:dyDescent="0.2">
      <c r="A61" s="2204"/>
      <c r="B61" s="2198"/>
      <c r="C61" s="802" t="str">
        <f>F!C129</f>
        <v>1-5% of the AA.</v>
      </c>
      <c r="D61" s="383">
        <f>F!D129</f>
        <v>0</v>
      </c>
      <c r="E61" s="722">
        <v>2</v>
      </c>
      <c r="F61" s="722">
        <f t="shared" si="2"/>
        <v>0</v>
      </c>
      <c r="G61" s="760"/>
      <c r="H61" s="1989"/>
      <c r="I61" s="2040"/>
    </row>
    <row r="62" spans="1:10" ht="15" customHeight="1" x14ac:dyDescent="0.2">
      <c r="A62" s="2204"/>
      <c r="B62" s="2198"/>
      <c r="C62" s="802" t="str">
        <f>F!C130</f>
        <v>5-25% of the AA.</v>
      </c>
      <c r="D62" s="383">
        <f>F!D130</f>
        <v>0</v>
      </c>
      <c r="E62" s="722">
        <v>3</v>
      </c>
      <c r="F62" s="722">
        <f t="shared" si="2"/>
        <v>0</v>
      </c>
      <c r="G62" s="760"/>
      <c r="H62" s="1989"/>
      <c r="I62" s="2040"/>
    </row>
    <row r="63" spans="1:10" ht="15" customHeight="1" x14ac:dyDescent="0.2">
      <c r="A63" s="2204"/>
      <c r="B63" s="2198"/>
      <c r="C63" s="802" t="str">
        <f>F!C131</f>
        <v>25-50% of the AA.</v>
      </c>
      <c r="D63" s="383">
        <f>F!D131</f>
        <v>0</v>
      </c>
      <c r="E63" s="722">
        <v>4</v>
      </c>
      <c r="F63" s="722">
        <f t="shared" si="2"/>
        <v>0</v>
      </c>
      <c r="G63" s="760"/>
      <c r="H63" s="1989"/>
      <c r="I63" s="2040"/>
    </row>
    <row r="64" spans="1:10" ht="15" customHeight="1" x14ac:dyDescent="0.2">
      <c r="A64" s="2204"/>
      <c r="B64" s="2198"/>
      <c r="C64" s="802" t="str">
        <f>F!C132</f>
        <v>50-95% of the AA.</v>
      </c>
      <c r="D64" s="803">
        <f>F!D132</f>
        <v>0</v>
      </c>
      <c r="E64" s="722">
        <v>6</v>
      </c>
      <c r="F64" s="722">
        <f t="shared" si="2"/>
        <v>0</v>
      </c>
      <c r="G64" s="760"/>
      <c r="H64" s="1989"/>
      <c r="I64" s="2040"/>
    </row>
    <row r="65" spans="1:71" ht="15" customHeight="1" thickBot="1" x14ac:dyDescent="0.25">
      <c r="A65" s="2205"/>
      <c r="B65" s="2202"/>
      <c r="C65" s="804" t="str">
        <f>F!C133</f>
        <v>&gt;95% of the AA.</v>
      </c>
      <c r="D65" s="191">
        <f>F!D133</f>
        <v>0</v>
      </c>
      <c r="E65" s="244">
        <v>5</v>
      </c>
      <c r="F65" s="244">
        <f t="shared" si="2"/>
        <v>0</v>
      </c>
      <c r="G65" s="237"/>
      <c r="H65" s="1990"/>
      <c r="I65" s="2041"/>
    </row>
    <row r="66" spans="1:71" s="1673" customFormat="1" ht="75" customHeight="1" thickBot="1" x14ac:dyDescent="0.25">
      <c r="A66" s="543" t="str">
        <f>F!A141</f>
        <v>F26</v>
      </c>
      <c r="B66" s="1671" t="str">
        <f>F!B141</f>
        <v>Lacustrine Wetland</v>
      </c>
      <c r="C66" s="921" t="str">
        <f>F!C141</f>
        <v>The AA borders a body of ponded open water whose size -- not counting the vegetated AA -- exceeds 8 hectares (about 300 x 300 m) during most of the growing season.  Enter "1" if true, "0" if false.</v>
      </c>
      <c r="D66" s="1672">
        <f>F!D141</f>
        <v>0</v>
      </c>
      <c r="E66" s="278"/>
      <c r="F66" s="270"/>
      <c r="G66" s="225" t="str">
        <f>IF((AllSat1&gt;0),"",IF((OpenW=0),"",IF((NoPonded=1),"",1)))</f>
        <v/>
      </c>
      <c r="H66" s="43" t="s">
        <v>808</v>
      </c>
      <c r="I66" s="352" t="s">
        <v>1186</v>
      </c>
      <c r="J66" s="44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row>
    <row r="67" spans="1:71" ht="30" customHeight="1" thickBot="1" x14ac:dyDescent="0.25">
      <c r="A67" s="2039" t="str">
        <f>F!A142</f>
        <v>F27</v>
      </c>
      <c r="B67" s="2081" t="str">
        <f>F!B142</f>
        <v>% Flooded Only Seasonally</v>
      </c>
      <c r="C67" s="526" t="str">
        <f>F!C142</f>
        <v>The percentage of the AA that is covered by unfrozen surface water only during the wettest time of the year is:</v>
      </c>
      <c r="D67" s="437"/>
      <c r="E67" s="239"/>
      <c r="F67" s="259"/>
      <c r="G67" s="231">
        <f>IF((AllSat1&gt;0),"",MAX(F68:F72)/MAX(E68:E72))</f>
        <v>0</v>
      </c>
      <c r="H67" s="2158" t="s">
        <v>809</v>
      </c>
      <c r="I67" s="2040" t="s">
        <v>280</v>
      </c>
    </row>
    <row r="68" spans="1:71" ht="15" customHeight="1" x14ac:dyDescent="0.2">
      <c r="A68" s="2039"/>
      <c r="B68" s="2081"/>
      <c r="C68" s="514" t="str">
        <f>F!C143</f>
        <v xml:space="preserve">None, or &lt;0.01 hectare and &lt;1% of the AA. </v>
      </c>
      <c r="D68" s="92">
        <f>F!D143</f>
        <v>0</v>
      </c>
      <c r="E68" s="241">
        <v>4</v>
      </c>
      <c r="F68" s="241">
        <f>D68*E68</f>
        <v>0</v>
      </c>
      <c r="G68" s="235"/>
      <c r="H68" s="2159"/>
      <c r="I68" s="2040"/>
    </row>
    <row r="69" spans="1:71" ht="15" customHeight="1" x14ac:dyDescent="0.2">
      <c r="A69" s="2039"/>
      <c r="B69" s="2081"/>
      <c r="C69" s="515" t="str">
        <f>F!C144</f>
        <v xml:space="preserve">1-25% </v>
      </c>
      <c r="D69" s="193">
        <f>F!D144</f>
        <v>0</v>
      </c>
      <c r="E69" s="241">
        <v>5</v>
      </c>
      <c r="F69" s="241">
        <f>D69*E69</f>
        <v>0</v>
      </c>
      <c r="G69" s="236"/>
      <c r="H69" s="2159"/>
      <c r="I69" s="2040"/>
    </row>
    <row r="70" spans="1:71" ht="15" customHeight="1" x14ac:dyDescent="0.2">
      <c r="A70" s="2039"/>
      <c r="B70" s="2081"/>
      <c r="C70" s="515" t="str">
        <f>F!C145</f>
        <v xml:space="preserve">25-50% </v>
      </c>
      <c r="D70" s="92">
        <f>F!D145</f>
        <v>0</v>
      </c>
      <c r="E70" s="241">
        <v>3</v>
      </c>
      <c r="F70" s="241">
        <f>D70*E70</f>
        <v>0</v>
      </c>
      <c r="G70" s="236"/>
      <c r="H70" s="2159"/>
      <c r="I70" s="2040"/>
    </row>
    <row r="71" spans="1:71" ht="15" customHeight="1" x14ac:dyDescent="0.2">
      <c r="A71" s="2039"/>
      <c r="B71" s="2081"/>
      <c r="C71" s="515" t="str">
        <f>F!C146</f>
        <v xml:space="preserve">50-95% </v>
      </c>
      <c r="D71" s="92">
        <f>F!D146</f>
        <v>0</v>
      </c>
      <c r="E71" s="241">
        <v>2</v>
      </c>
      <c r="F71" s="241">
        <f>D71*E71</f>
        <v>0</v>
      </c>
      <c r="G71" s="236"/>
      <c r="H71" s="2159"/>
      <c r="I71" s="2040"/>
    </row>
    <row r="72" spans="1:71" ht="15" customHeight="1" thickBot="1" x14ac:dyDescent="0.25">
      <c r="A72" s="2039"/>
      <c r="B72" s="2081"/>
      <c r="C72" s="527" t="str">
        <f>F!C147</f>
        <v xml:space="preserve">&gt;95% </v>
      </c>
      <c r="D72" s="434">
        <f>F!D147</f>
        <v>0</v>
      </c>
      <c r="E72" s="384">
        <v>1</v>
      </c>
      <c r="F72" s="380">
        <f>D72*E72</f>
        <v>0</v>
      </c>
      <c r="G72" s="367"/>
      <c r="H72" s="2160"/>
      <c r="I72" s="2040"/>
    </row>
    <row r="73" spans="1:71" ht="30" customHeight="1" thickBot="1" x14ac:dyDescent="0.25">
      <c r="A73" s="2214" t="str">
        <f>F!A148</f>
        <v>F28</v>
      </c>
      <c r="B73" s="2209" t="str">
        <f>F!B148</f>
        <v>Annual Water Fluctuation Range</v>
      </c>
      <c r="C73" s="519" t="str">
        <f>F!C148</f>
        <v>The annual fluctuation in surface water level within most of the parts of the AA that contain surface water is:</v>
      </c>
      <c r="D73" s="372"/>
      <c r="E73" s="376"/>
      <c r="F73" s="234"/>
      <c r="G73" s="225">
        <f>IF((AllSat1&gt;0),"", IF((NoSeasonal=1),"",MAX(F74:F78)/MAX(E74:E78)))</f>
        <v>0</v>
      </c>
      <c r="H73" s="2158" t="s">
        <v>128</v>
      </c>
      <c r="I73" s="2011" t="s">
        <v>1332</v>
      </c>
    </row>
    <row r="74" spans="1:71" x14ac:dyDescent="0.2">
      <c r="A74" s="2104"/>
      <c r="B74" s="2028"/>
      <c r="C74" s="516" t="str">
        <f>F!C149</f>
        <v xml:space="preserve">&lt;10 cm change (stable or nearly so) </v>
      </c>
      <c r="D74" s="431">
        <f>F!D149</f>
        <v>0</v>
      </c>
      <c r="E74" s="377">
        <v>1</v>
      </c>
      <c r="F74" s="377">
        <f>D74*E74</f>
        <v>0</v>
      </c>
      <c r="G74" s="235"/>
      <c r="H74" s="2159"/>
      <c r="I74" s="2040"/>
    </row>
    <row r="75" spans="1:71" x14ac:dyDescent="0.2">
      <c r="A75" s="2104"/>
      <c r="B75" s="2028"/>
      <c r="C75" s="517" t="str">
        <f>F!C150</f>
        <v>10 cm - 50 cm change</v>
      </c>
      <c r="D75" s="431">
        <f>F!D150</f>
        <v>0</v>
      </c>
      <c r="E75" s="377">
        <v>2</v>
      </c>
      <c r="F75" s="377">
        <f>D75*E75</f>
        <v>0</v>
      </c>
      <c r="G75" s="236"/>
      <c r="H75" s="2159"/>
      <c r="I75" s="2040"/>
    </row>
    <row r="76" spans="1:71" x14ac:dyDescent="0.2">
      <c r="A76" s="2104"/>
      <c r="B76" s="2028"/>
      <c r="C76" s="517" t="str">
        <f>F!C151</f>
        <v>0.5 - 1 m change</v>
      </c>
      <c r="D76" s="431">
        <f>F!D151</f>
        <v>0</v>
      </c>
      <c r="E76" s="722">
        <v>2</v>
      </c>
      <c r="F76" s="722">
        <f>D76*E76</f>
        <v>0</v>
      </c>
      <c r="G76" s="760"/>
      <c r="H76" s="2159"/>
      <c r="I76" s="2040"/>
    </row>
    <row r="77" spans="1:71" x14ac:dyDescent="0.2">
      <c r="A77" s="2104"/>
      <c r="B77" s="2028"/>
      <c r="C77" s="517" t="str">
        <f>F!C152</f>
        <v>1-2 m change</v>
      </c>
      <c r="D77" s="528">
        <f>F!D152</f>
        <v>0</v>
      </c>
      <c r="E77" s="377">
        <v>1</v>
      </c>
      <c r="F77" s="377">
        <f>D77*E77</f>
        <v>0</v>
      </c>
      <c r="G77" s="236"/>
      <c r="H77" s="2159"/>
      <c r="I77" s="2040"/>
    </row>
    <row r="78" spans="1:71" ht="28.5" customHeight="1" thickBot="1" x14ac:dyDescent="0.25">
      <c r="A78" s="2105"/>
      <c r="B78" s="2029"/>
      <c r="C78" s="520" t="str">
        <f>F!C153</f>
        <v>&gt;2 m change</v>
      </c>
      <c r="D78" s="102">
        <f>F!D153</f>
        <v>0</v>
      </c>
      <c r="E78" s="244">
        <v>0</v>
      </c>
      <c r="F78" s="244">
        <f>D78*E78</f>
        <v>0</v>
      </c>
      <c r="G78" s="237"/>
      <c r="H78" s="2160"/>
      <c r="I78" s="2041"/>
    </row>
    <row r="79" spans="1:71" ht="31.9" customHeight="1" thickBot="1" x14ac:dyDescent="0.25">
      <c r="A79" s="2215" t="str">
        <f>F!A161</f>
        <v>F30</v>
      </c>
      <c r="B79" s="2216" t="str">
        <f>F!B161</f>
        <v>Depth Classes - Evenness of Proportions</v>
      </c>
      <c r="C79" s="512" t="str">
        <f>F!C161</f>
        <v>Within the area described above, and during most of the time when surface water is present, it usually is comprised of: (select one):</v>
      </c>
      <c r="D79" s="437"/>
      <c r="E79" s="239"/>
      <c r="F79" s="259"/>
      <c r="G79" s="231">
        <f>IF((AllSat1&gt;0),"", IF((SmallAA=1),"", MAX(F80:F82)/MAX(E80:E82)))</f>
        <v>0</v>
      </c>
      <c r="H79" s="2158" t="s">
        <v>131</v>
      </c>
      <c r="I79" s="2040" t="s">
        <v>1115</v>
      </c>
    </row>
    <row r="80" spans="1:71" ht="25.5" x14ac:dyDescent="0.2">
      <c r="A80" s="2104"/>
      <c r="B80" s="2028"/>
      <c r="C80" s="516" t="str">
        <f>F!C162</f>
        <v>One depth class covering &gt;90% of the AA’s inundated area (use the classes in the question above).</v>
      </c>
      <c r="D80" s="92">
        <f>F!D162</f>
        <v>0</v>
      </c>
      <c r="E80" s="239">
        <v>0</v>
      </c>
      <c r="F80" s="239">
        <f>D80*E80</f>
        <v>0</v>
      </c>
      <c r="G80" s="235"/>
      <c r="H80" s="2159"/>
      <c r="I80" s="2040"/>
    </row>
    <row r="81" spans="1:9" ht="15" customHeight="1" x14ac:dyDescent="0.2">
      <c r="A81" s="2104"/>
      <c r="B81" s="2028"/>
      <c r="C81" s="517" t="str">
        <f>F!C163</f>
        <v>One depth class covering 51-90% of the AA's inundated area.</v>
      </c>
      <c r="D81" s="92">
        <f>F!D163</f>
        <v>0</v>
      </c>
      <c r="E81" s="241">
        <v>1</v>
      </c>
      <c r="F81" s="241">
        <f>D81*E81</f>
        <v>0</v>
      </c>
      <c r="G81" s="236"/>
      <c r="H81" s="2159"/>
      <c r="I81" s="2040"/>
    </row>
    <row r="82" spans="1:9" ht="15" customHeight="1" thickBot="1" x14ac:dyDescent="0.25">
      <c r="A82" s="2104"/>
      <c r="B82" s="2028"/>
      <c r="C82" s="518" t="str">
        <f>F!C164</f>
        <v>Multiple depth classes and none occupy more than 50% of the AA.</v>
      </c>
      <c r="D82" s="529">
        <f>F!D164</f>
        <v>0</v>
      </c>
      <c r="E82" s="380">
        <v>2</v>
      </c>
      <c r="F82" s="380">
        <f>D82*E82</f>
        <v>0</v>
      </c>
      <c r="G82" s="367"/>
      <c r="H82" s="2160"/>
      <c r="I82" s="2040"/>
    </row>
    <row r="83" spans="1:9" ht="45" customHeight="1" thickBot="1" x14ac:dyDescent="0.25">
      <c r="A83" s="2203" t="str">
        <f>F!A165</f>
        <v>F31</v>
      </c>
      <c r="B83" s="2197" t="str">
        <f>F!B165</f>
        <v xml:space="preserve">% of Water Ponded vs. Flowing </v>
      </c>
      <c r="C83" s="519" t="str">
        <f>F!C165</f>
        <v>The percentage of the AA's surface water that is ponded (stagnant, or flows so slowly that fine sediment is not held in suspension) during most of the time it is present during the growing season, and which is either open or shaded by emergent vegetation, is:</v>
      </c>
      <c r="D83" s="777"/>
      <c r="E83" s="376"/>
      <c r="F83" s="262"/>
      <c r="G83" s="225">
        <f>IF((AllSat1&gt;0),"", IF((SmallAA=1),"", MAX(F84:F89)/MAX(E84:E89)))</f>
        <v>0</v>
      </c>
      <c r="H83" s="2158" t="s">
        <v>130</v>
      </c>
      <c r="I83" s="2011" t="s">
        <v>1187</v>
      </c>
    </row>
    <row r="84" spans="1:9" ht="27" customHeight="1" x14ac:dyDescent="0.2">
      <c r="A84" s="2204"/>
      <c r="B84" s="2198"/>
      <c r="C84" s="805" t="str">
        <f>F!C166</f>
        <v>None, or &lt;0.01 hectare and &lt;1% of the AA. Nearly all water is flowing.  Enter "1" and SKIP to F43 (pH measurement).</v>
      </c>
      <c r="D84" s="778">
        <f>F!D166</f>
        <v>0</v>
      </c>
      <c r="E84" s="722">
        <v>0</v>
      </c>
      <c r="F84" s="722">
        <f t="shared" ref="F84:F89" si="3">D84*E84</f>
        <v>0</v>
      </c>
      <c r="G84" s="760"/>
      <c r="H84" s="2159"/>
      <c r="I84" s="2040"/>
    </row>
    <row r="85" spans="1:9" ht="15" customHeight="1" x14ac:dyDescent="0.2">
      <c r="A85" s="2204"/>
      <c r="B85" s="2198"/>
      <c r="C85" s="806" t="str">
        <f>F!C167</f>
        <v>1-5% of the water.  The rest is flowing.</v>
      </c>
      <c r="D85" s="778">
        <f>F!D167</f>
        <v>0</v>
      </c>
      <c r="E85" s="722">
        <v>1</v>
      </c>
      <c r="F85" s="722">
        <f t="shared" si="3"/>
        <v>0</v>
      </c>
      <c r="G85" s="760"/>
      <c r="H85" s="2159"/>
      <c r="I85" s="2040"/>
    </row>
    <row r="86" spans="1:9" ht="15" customHeight="1" x14ac:dyDescent="0.2">
      <c r="A86" s="2204"/>
      <c r="B86" s="2198"/>
      <c r="C86" s="806" t="str">
        <f>F!C168</f>
        <v>5-30% of the water.</v>
      </c>
      <c r="D86" s="778">
        <f>F!D168</f>
        <v>0</v>
      </c>
      <c r="E86" s="722">
        <v>2</v>
      </c>
      <c r="F86" s="722">
        <f t="shared" si="3"/>
        <v>0</v>
      </c>
      <c r="G86" s="760"/>
      <c r="H86" s="2159"/>
      <c r="I86" s="2040"/>
    </row>
    <row r="87" spans="1:9" ht="15" customHeight="1" x14ac:dyDescent="0.2">
      <c r="A87" s="2204"/>
      <c r="B87" s="2198"/>
      <c r="C87" s="806" t="str">
        <f>F!C169</f>
        <v>30-70% of the water.</v>
      </c>
      <c r="D87" s="778">
        <f>F!D169</f>
        <v>0</v>
      </c>
      <c r="E87" s="722">
        <v>3</v>
      </c>
      <c r="F87" s="722">
        <f t="shared" si="3"/>
        <v>0</v>
      </c>
      <c r="G87" s="760"/>
      <c r="H87" s="2159"/>
      <c r="I87" s="2040"/>
    </row>
    <row r="88" spans="1:9" ht="15" customHeight="1" x14ac:dyDescent="0.2">
      <c r="A88" s="2204"/>
      <c r="B88" s="2198"/>
      <c r="C88" s="806" t="str">
        <f>F!C170</f>
        <v>70-99% of the water.</v>
      </c>
      <c r="D88" s="778">
        <f>F!D170</f>
        <v>0</v>
      </c>
      <c r="E88" s="722">
        <v>4</v>
      </c>
      <c r="F88" s="722">
        <f t="shared" si="3"/>
        <v>0</v>
      </c>
      <c r="G88" s="744"/>
      <c r="H88" s="2159"/>
      <c r="I88" s="2040"/>
    </row>
    <row r="89" spans="1:9" ht="15" customHeight="1" thickBot="1" x14ac:dyDescent="0.25">
      <c r="A89" s="2205"/>
      <c r="B89" s="2202"/>
      <c r="C89" s="520" t="str">
        <f>F!C171</f>
        <v>&gt;99% of the water.  Little or no visibly flowing water within the AA.</v>
      </c>
      <c r="D89" s="102">
        <f>F!D171</f>
        <v>0</v>
      </c>
      <c r="E89" s="244">
        <v>5</v>
      </c>
      <c r="F89" s="244">
        <f t="shared" si="3"/>
        <v>0</v>
      </c>
      <c r="G89" s="237"/>
      <c r="H89" s="2160"/>
      <c r="I89" s="2041"/>
    </row>
    <row r="90" spans="1:9" ht="39" thickBot="1" x14ac:dyDescent="0.25">
      <c r="A90" s="2206" t="str">
        <f>F!A173</f>
        <v>F33</v>
      </c>
      <c r="B90" s="2198" t="str">
        <f>F!B173</f>
        <v xml:space="preserve">% of Ponded Water That Is Open </v>
      </c>
      <c r="C90" s="523" t="str">
        <f>F!C173</f>
        <v>In ducks-eye aerial view, the percentage of the ponded water that is open (lacking emergent vegetation during most of the growing season, and unhidden by a forest or shrub canopy) is:</v>
      </c>
      <c r="D90" s="1257"/>
      <c r="E90" s="736"/>
      <c r="F90" s="259"/>
      <c r="G90" s="231">
        <f>IF((AllSat1&gt;0),"", IF((NoPonded=1),"", IF((SmallAA=1),"", MAX(F91:F96)/MAX(E91:E96))))</f>
        <v>0</v>
      </c>
      <c r="H90" s="2159" t="s">
        <v>807</v>
      </c>
      <c r="I90" s="2040" t="s">
        <v>1188</v>
      </c>
    </row>
    <row r="91" spans="1:9" ht="27" customHeight="1" x14ac:dyDescent="0.2">
      <c r="A91" s="2206"/>
      <c r="B91" s="2198"/>
      <c r="C91" s="509" t="str">
        <f>F!C174</f>
        <v>None, or &lt;1% of the AA and largest pool occupies &lt;0.01 hectares.  Enter "1" and SKIP to F41 (Floating Algae &amp; Duckweed).</v>
      </c>
      <c r="D91" s="1674">
        <f>F!D174</f>
        <v>0</v>
      </c>
      <c r="E91" s="241">
        <v>1</v>
      </c>
      <c r="F91" s="241">
        <f t="shared" ref="F91:F96" si="4">D91*E91</f>
        <v>0</v>
      </c>
      <c r="G91" s="235"/>
      <c r="H91" s="2159"/>
      <c r="I91" s="2040"/>
    </row>
    <row r="92" spans="1:9" ht="15" customHeight="1" x14ac:dyDescent="0.2">
      <c r="A92" s="2206"/>
      <c r="B92" s="2198"/>
      <c r="C92" s="510" t="str">
        <f>F!C175</f>
        <v>1-5% of the ponded water.  Enter "1" and SKIP to F41.</v>
      </c>
      <c r="D92" s="1674">
        <f>F!D175</f>
        <v>0</v>
      </c>
      <c r="E92" s="241">
        <v>2</v>
      </c>
      <c r="F92" s="241">
        <f t="shared" si="4"/>
        <v>0</v>
      </c>
      <c r="G92" s="236"/>
      <c r="H92" s="2159"/>
      <c r="I92" s="2040"/>
    </row>
    <row r="93" spans="1:9" ht="15" customHeight="1" x14ac:dyDescent="0.2">
      <c r="A93" s="2206"/>
      <c r="B93" s="2198"/>
      <c r="C93" s="510" t="str">
        <f>F!C176</f>
        <v>5-30% of the ponded water.</v>
      </c>
      <c r="D93" s="1674">
        <f>F!D176</f>
        <v>0</v>
      </c>
      <c r="E93" s="241">
        <v>4</v>
      </c>
      <c r="F93" s="241">
        <f t="shared" si="4"/>
        <v>0</v>
      </c>
      <c r="G93" s="236"/>
      <c r="H93" s="2159"/>
      <c r="I93" s="2040"/>
    </row>
    <row r="94" spans="1:9" ht="15" customHeight="1" x14ac:dyDescent="0.2">
      <c r="A94" s="2206"/>
      <c r="B94" s="2198"/>
      <c r="C94" s="510" t="str">
        <f>F!C177</f>
        <v>30-70% of the ponded water.</v>
      </c>
      <c r="D94" s="195">
        <f>F!D177</f>
        <v>0</v>
      </c>
      <c r="E94" s="241">
        <v>6</v>
      </c>
      <c r="F94" s="241">
        <f t="shared" si="4"/>
        <v>0</v>
      </c>
      <c r="G94" s="236"/>
      <c r="H94" s="2159"/>
      <c r="I94" s="2040"/>
    </row>
    <row r="95" spans="1:9" ht="15" customHeight="1" x14ac:dyDescent="0.2">
      <c r="A95" s="2206"/>
      <c r="B95" s="2198"/>
      <c r="C95" s="510" t="str">
        <f>F!C178</f>
        <v>70-99% of the ponded water.</v>
      </c>
      <c r="D95" s="1674">
        <f>F!D178</f>
        <v>0</v>
      </c>
      <c r="E95" s="241">
        <v>4</v>
      </c>
      <c r="F95" s="241">
        <f t="shared" si="4"/>
        <v>0</v>
      </c>
      <c r="G95" s="236"/>
      <c r="H95" s="2159"/>
      <c r="I95" s="2040"/>
    </row>
    <row r="96" spans="1:9" ht="15" customHeight="1" thickBot="1" x14ac:dyDescent="0.25">
      <c r="A96" s="2206"/>
      <c r="B96" s="2198"/>
      <c r="C96" s="522" t="str">
        <f>F!C179</f>
        <v xml:space="preserve">100% of the ponded water. </v>
      </c>
      <c r="D96" s="247">
        <f>F!D179</f>
        <v>0</v>
      </c>
      <c r="E96" s="1257">
        <v>3</v>
      </c>
      <c r="F96" s="242">
        <f t="shared" si="4"/>
        <v>0</v>
      </c>
      <c r="G96" s="367"/>
      <c r="H96" s="2160"/>
      <c r="I96" s="2040"/>
    </row>
    <row r="97" spans="1:9" ht="39" thickBot="1" x14ac:dyDescent="0.25">
      <c r="A97" s="2203" t="str">
        <f>F!A180</f>
        <v>F34</v>
      </c>
      <c r="B97" s="2197" t="str">
        <f>F!B180</f>
        <v>Predominant Width of Vegetated Zone within Wetland</v>
      </c>
      <c r="C97" s="508" t="str">
        <f>F!C180</f>
        <v>At the time during the growing season when the AA's water level is lowest, the average width of vegetated area in the AA that separates adjoining uplands from open water within the AA is:</v>
      </c>
      <c r="D97" s="372"/>
      <c r="E97" s="376"/>
      <c r="F97" s="234"/>
      <c r="G97" s="225" t="str">
        <f>IF((AllSat1&gt;0),"",IF((OpenW=0),"", IF((SmallAA=1),"", MAX(F98:F103)/MAX(E98:E103))))</f>
        <v/>
      </c>
      <c r="H97" s="2158" t="s">
        <v>133</v>
      </c>
      <c r="I97" s="2011" t="s">
        <v>1189</v>
      </c>
    </row>
    <row r="98" spans="1:9" ht="15" customHeight="1" x14ac:dyDescent="0.2">
      <c r="A98" s="2204"/>
      <c r="B98" s="2198"/>
      <c r="C98" s="521" t="str">
        <f>F!C181</f>
        <v>&lt;1 m</v>
      </c>
      <c r="D98" s="383">
        <f>F!D181</f>
        <v>0</v>
      </c>
      <c r="E98" s="377">
        <v>0</v>
      </c>
      <c r="F98" s="377">
        <f t="shared" ref="F98:F103" si="5">D98*E98</f>
        <v>0</v>
      </c>
      <c r="G98" s="235"/>
      <c r="H98" s="2159"/>
      <c r="I98" s="2040"/>
    </row>
    <row r="99" spans="1:9" ht="15" customHeight="1" x14ac:dyDescent="0.2">
      <c r="A99" s="2204"/>
      <c r="B99" s="2198"/>
      <c r="C99" s="522" t="str">
        <f>F!C182</f>
        <v>1 - 9 m</v>
      </c>
      <c r="D99" s="383">
        <f>F!D182</f>
        <v>0</v>
      </c>
      <c r="E99" s="377">
        <v>1</v>
      </c>
      <c r="F99" s="377">
        <f t="shared" si="5"/>
        <v>0</v>
      </c>
      <c r="G99" s="236"/>
      <c r="H99" s="2159"/>
      <c r="I99" s="2040"/>
    </row>
    <row r="100" spans="1:9" ht="15" customHeight="1" x14ac:dyDescent="0.2">
      <c r="A100" s="2204"/>
      <c r="B100" s="2198"/>
      <c r="C100" s="522" t="str">
        <f>F!C183</f>
        <v>10 - 29 m</v>
      </c>
      <c r="D100" s="383">
        <f>F!D183</f>
        <v>0</v>
      </c>
      <c r="E100" s="377">
        <v>2</v>
      </c>
      <c r="F100" s="377">
        <f t="shared" si="5"/>
        <v>0</v>
      </c>
      <c r="G100" s="236"/>
      <c r="H100" s="2159"/>
      <c r="I100" s="2040"/>
    </row>
    <row r="101" spans="1:9" ht="15" customHeight="1" x14ac:dyDescent="0.2">
      <c r="A101" s="2204"/>
      <c r="B101" s="2198"/>
      <c r="C101" s="522" t="str">
        <f>F!C184</f>
        <v>30 - 49 m</v>
      </c>
      <c r="D101" s="383">
        <f>F!D184</f>
        <v>0</v>
      </c>
      <c r="E101" s="377">
        <v>3</v>
      </c>
      <c r="F101" s="377">
        <f t="shared" si="5"/>
        <v>0</v>
      </c>
      <c r="G101" s="236"/>
      <c r="H101" s="2159"/>
      <c r="I101" s="2040"/>
    </row>
    <row r="102" spans="1:9" ht="15" customHeight="1" x14ac:dyDescent="0.2">
      <c r="A102" s="2204"/>
      <c r="B102" s="2198"/>
      <c r="C102" s="522" t="str">
        <f>F!C185</f>
        <v>50 - 100 m</v>
      </c>
      <c r="D102" s="383">
        <f>F!D185</f>
        <v>0</v>
      </c>
      <c r="E102" s="380">
        <v>4</v>
      </c>
      <c r="F102" s="380">
        <f t="shared" si="5"/>
        <v>0</v>
      </c>
      <c r="G102" s="744"/>
      <c r="H102" s="2159"/>
      <c r="I102" s="2040"/>
    </row>
    <row r="103" spans="1:9" ht="15" customHeight="1" thickBot="1" x14ac:dyDescent="0.25">
      <c r="A103" s="2205"/>
      <c r="B103" s="2202"/>
      <c r="C103" s="511" t="str">
        <f>F!C186</f>
        <v>&gt; 100 m</v>
      </c>
      <c r="D103" s="192">
        <f>F!D186</f>
        <v>0</v>
      </c>
      <c r="E103" s="244">
        <v>5</v>
      </c>
      <c r="F103" s="244">
        <f t="shared" si="5"/>
        <v>0</v>
      </c>
      <c r="G103" s="237"/>
      <c r="H103" s="2160"/>
      <c r="I103" s="2041"/>
    </row>
    <row r="104" spans="1:9" ht="39" thickBot="1" x14ac:dyDescent="0.25">
      <c r="A104" s="2203" t="str">
        <f>F!A187</f>
        <v>F35</v>
      </c>
      <c r="B104" s="2197" t="str">
        <f>F!B187</f>
        <v>Flat Shoreline Extent</v>
      </c>
      <c r="C104" s="508" t="str">
        <f>F!C187</f>
        <v>During most of the part of the growing season when water is present, the percentage of the AA's water edge length that is  nearly flat (a slope less than about 5% measured within 5 m landward) is:</v>
      </c>
      <c r="D104" s="372"/>
      <c r="E104" s="376"/>
      <c r="F104" s="262"/>
      <c r="G104" s="225" t="str">
        <f>IF((AllSat1&gt;0),"",IF((OpenW=0),"", IF((SmallAA=1),"", MAX(F105:F109)/MAX(E105:E109))))</f>
        <v/>
      </c>
      <c r="H104" s="2158" t="s">
        <v>141</v>
      </c>
      <c r="I104" s="2011" t="s">
        <v>908</v>
      </c>
    </row>
    <row r="105" spans="1:9" ht="15" customHeight="1" x14ac:dyDescent="0.2">
      <c r="A105" s="2204"/>
      <c r="B105" s="2198"/>
      <c r="C105" s="521" t="str">
        <f>F!C188</f>
        <v>&lt;1%</v>
      </c>
      <c r="D105" s="383">
        <f>F!D188</f>
        <v>0</v>
      </c>
      <c r="E105" s="377">
        <v>0</v>
      </c>
      <c r="F105" s="377">
        <f>D105*E105</f>
        <v>0</v>
      </c>
      <c r="G105" s="235"/>
      <c r="H105" s="2159"/>
      <c r="I105" s="2040"/>
    </row>
    <row r="106" spans="1:9" ht="15" customHeight="1" x14ac:dyDescent="0.2">
      <c r="A106" s="2204"/>
      <c r="B106" s="2198"/>
      <c r="C106" s="522" t="str">
        <f>F!C189</f>
        <v>1-25%</v>
      </c>
      <c r="D106" s="383">
        <f>F!D189</f>
        <v>0</v>
      </c>
      <c r="E106" s="377">
        <v>1</v>
      </c>
      <c r="F106" s="377">
        <f>D106*E106</f>
        <v>0</v>
      </c>
      <c r="G106" s="236"/>
      <c r="H106" s="2159"/>
      <c r="I106" s="2040"/>
    </row>
    <row r="107" spans="1:9" ht="15" customHeight="1" x14ac:dyDescent="0.2">
      <c r="A107" s="2204"/>
      <c r="B107" s="2198"/>
      <c r="C107" s="522" t="str">
        <f>F!C190</f>
        <v>25-50%</v>
      </c>
      <c r="D107" s="383">
        <f>F!D190</f>
        <v>0</v>
      </c>
      <c r="E107" s="377">
        <v>2</v>
      </c>
      <c r="F107" s="377">
        <f>D107*E107</f>
        <v>0</v>
      </c>
      <c r="G107" s="236"/>
      <c r="H107" s="2159"/>
      <c r="I107" s="2040"/>
    </row>
    <row r="108" spans="1:9" ht="15" customHeight="1" x14ac:dyDescent="0.2">
      <c r="A108" s="2204"/>
      <c r="B108" s="2198"/>
      <c r="C108" s="522" t="str">
        <f>F!C191</f>
        <v>50-75%</v>
      </c>
      <c r="D108" s="383">
        <f>F!D191</f>
        <v>0</v>
      </c>
      <c r="E108" s="377">
        <v>3</v>
      </c>
      <c r="F108" s="377">
        <f>D108*E108</f>
        <v>0</v>
      </c>
      <c r="G108" s="236"/>
      <c r="H108" s="2159"/>
      <c r="I108" s="2040"/>
    </row>
    <row r="109" spans="1:9" ht="15" customHeight="1" thickBot="1" x14ac:dyDescent="0.25">
      <c r="A109" s="2205"/>
      <c r="B109" s="2202"/>
      <c r="C109" s="511" t="str">
        <f>F!C192</f>
        <v>&gt;75%</v>
      </c>
      <c r="D109" s="192">
        <f>F!D192</f>
        <v>0</v>
      </c>
      <c r="E109" s="244">
        <v>4</v>
      </c>
      <c r="F109" s="244">
        <f>D109*E109</f>
        <v>0</v>
      </c>
      <c r="G109" s="237"/>
      <c r="H109" s="2160"/>
      <c r="I109" s="2041"/>
    </row>
    <row r="110" spans="1:9" ht="30" customHeight="1" thickBot="1" x14ac:dyDescent="0.25">
      <c r="A110" s="2203" t="str">
        <f>F!A199</f>
        <v>F37</v>
      </c>
      <c r="B110" s="2197" t="str">
        <f>F!B199</f>
        <v>Interspersion of Robust Emergents &amp; Open Water</v>
      </c>
      <c r="C110" s="508" t="str">
        <f>F!C199</f>
        <v>During most of the part of the growing season when water is present, the spatial pattern of robust herbaceous vegetation (e.g., cattail, tall bulrush, buckbean) is mostly:</v>
      </c>
      <c r="D110" s="1675"/>
      <c r="E110" s="376"/>
      <c r="F110" s="234"/>
      <c r="G110" s="232">
        <f>IF((AllSat1&gt;0),"",IF((NoPonded=1),"",IF((NoOpenPonded+NoOpenPonded1&gt;0),"",IF((AllOpenPond=1),"", IF((SmallAA=1),"", MAX(F111:F113)/MAX(E111:E113))))))</f>
        <v>0</v>
      </c>
      <c r="H110" s="2158" t="s">
        <v>132</v>
      </c>
      <c r="I110" s="2011" t="s">
        <v>1190</v>
      </c>
    </row>
    <row r="111" spans="1:9" ht="27" customHeight="1" x14ac:dyDescent="0.2">
      <c r="A111" s="2204"/>
      <c r="B111" s="2198"/>
      <c r="C111" s="919" t="str">
        <f>F!C200</f>
        <v>Scattered.  More than 30% of such vegetation forms small islands or corridors surrounded by water.</v>
      </c>
      <c r="D111" s="196">
        <f>F!D200</f>
        <v>0</v>
      </c>
      <c r="E111" s="722">
        <v>3</v>
      </c>
      <c r="F111" s="748">
        <f>D111*E111</f>
        <v>0</v>
      </c>
      <c r="G111" s="240"/>
      <c r="H111" s="2159"/>
      <c r="I111" s="2040"/>
    </row>
    <row r="112" spans="1:9" ht="15" customHeight="1" x14ac:dyDescent="0.2">
      <c r="A112" s="2204"/>
      <c r="B112" s="2198"/>
      <c r="C112" s="918" t="str">
        <f>F!C201</f>
        <v>Intermediate.</v>
      </c>
      <c r="D112" s="763">
        <f>F!D201</f>
        <v>0</v>
      </c>
      <c r="E112" s="722">
        <v>2</v>
      </c>
      <c r="F112" s="748">
        <f>D112*E112</f>
        <v>0</v>
      </c>
      <c r="G112" s="240"/>
      <c r="H112" s="2159"/>
      <c r="I112" s="2040"/>
    </row>
    <row r="113" spans="1:9" ht="27" customHeight="1" thickBot="1" x14ac:dyDescent="0.25">
      <c r="A113" s="2205"/>
      <c r="B113" s="2202"/>
      <c r="C113" s="511" t="str">
        <f>F!C202</f>
        <v>Clumped. More than 70% of such vegetation is in bands along the wetland perimeter or is clumped at one or a few sides of the surface water area.</v>
      </c>
      <c r="D113" s="191">
        <f>F!D202</f>
        <v>0</v>
      </c>
      <c r="E113" s="244">
        <v>1</v>
      </c>
      <c r="F113" s="205">
        <f>D113*E113</f>
        <v>0</v>
      </c>
      <c r="G113" s="1676"/>
      <c r="H113" s="2160"/>
      <c r="I113" s="2041"/>
    </row>
    <row r="114" spans="1:9" ht="60" customHeight="1" thickBot="1" x14ac:dyDescent="0.25">
      <c r="A114" s="1677" t="str">
        <f>F!A208</f>
        <v>F40</v>
      </c>
      <c r="B114" s="1678" t="str">
        <f>F!B208</f>
        <v>Isolated Island</v>
      </c>
      <c r="C114" s="1679" t="str">
        <f>F!C208</f>
        <v>The AA contains (or is part of) an island or beaver lodge within a lake, pond, or river, and is isolated from the shore by water depths &gt;2 m on all sides during an average June.  The island may be solid, or it may be a floating vegetation mat that is sufficiently large and dense to support a waterbird nest.</v>
      </c>
      <c r="D114" s="304">
        <f>F!D208</f>
        <v>0</v>
      </c>
      <c r="E114" s="1257"/>
      <c r="F114" s="279"/>
      <c r="G114" s="1680" t="str">
        <f>IF((D114=0),"", IF((SmallAA=1),"", D114))</f>
        <v/>
      </c>
      <c r="H114" s="1427" t="s">
        <v>499</v>
      </c>
      <c r="I114" s="1396" t="s">
        <v>1354</v>
      </c>
    </row>
    <row r="115" spans="1:9" ht="80.25" customHeight="1" thickBot="1" x14ac:dyDescent="0.25">
      <c r="A115" s="543" t="str">
        <f>F!A210</f>
        <v>F42</v>
      </c>
      <c r="B115" s="1681" t="str">
        <f>F!B210</f>
        <v>Fish</v>
      </c>
      <c r="C115" s="921" t="str">
        <f>F!C210</f>
        <v>Fish from connected waters can access at least part of the AA during one or more days annually, or are otherwise known to be present in the AA at least temporarily. If true, enter "1" in next column.  If untrue or unlikely, enter "0".</v>
      </c>
      <c r="D115" s="922">
        <f>F!D210</f>
        <v>0</v>
      </c>
      <c r="E115" s="1050"/>
      <c r="F115" s="798"/>
      <c r="G115" s="232" t="str">
        <f>IF((SmallAA=1),"", IF((D115=0),"", 1))</f>
        <v/>
      </c>
      <c r="H115" s="923" t="s">
        <v>502</v>
      </c>
      <c r="I115" s="352" t="s">
        <v>1191</v>
      </c>
    </row>
    <row r="116" spans="1:9" ht="21" customHeight="1" thickBot="1" x14ac:dyDescent="0.25">
      <c r="A116" s="2197" t="str">
        <f>F!A211</f>
        <v>F43</v>
      </c>
      <c r="B116" s="2197" t="str">
        <f>F!B211</f>
        <v>pH Measurement</v>
      </c>
      <c r="C116" s="1682" t="str">
        <f>F!C211</f>
        <v>The pH in most of the AA's surface water:</v>
      </c>
      <c r="D116" s="777"/>
      <c r="E116" s="376"/>
      <c r="F116" s="376"/>
      <c r="G116" s="1070">
        <f>IF((AllSat1&gt;0),"", IF((SmallAA=1),"", IF((D119=1), 0, IF((D120&lt;5),0,""))))</f>
        <v>0</v>
      </c>
      <c r="H116" s="2158" t="s">
        <v>142</v>
      </c>
      <c r="I116" s="1867" t="s">
        <v>2022</v>
      </c>
    </row>
    <row r="117" spans="1:9" ht="27" customHeight="1" x14ac:dyDescent="0.2">
      <c r="A117" s="2198"/>
      <c r="B117" s="2198"/>
      <c r="C117" s="1683" t="str">
        <f>F!C212</f>
        <v>was not measured because no surface water could be found during this visit. Enter "1" in column to the right.</v>
      </c>
      <c r="D117" s="763">
        <f>F!D212</f>
        <v>0</v>
      </c>
      <c r="E117" s="722"/>
      <c r="F117" s="722"/>
      <c r="G117" s="857"/>
      <c r="H117" s="2159"/>
      <c r="I117" s="1911"/>
    </row>
    <row r="118" spans="1:9" ht="15.75" customHeight="1" x14ac:dyDescent="0.2">
      <c r="A118" s="2198"/>
      <c r="B118" s="2198"/>
      <c r="C118" s="1684" t="str">
        <f>F!C213</f>
        <v>was not measured, and surface water is tea-colored. Enter "1" in column to the right.</v>
      </c>
      <c r="D118" s="763">
        <f>F!D213</f>
        <v>0</v>
      </c>
      <c r="E118" s="722"/>
      <c r="F118" s="722"/>
      <c r="G118" s="857"/>
      <c r="H118" s="2159"/>
      <c r="I118" s="1911"/>
    </row>
    <row r="119" spans="1:9" ht="18" customHeight="1" x14ac:dyDescent="0.2">
      <c r="A119" s="2198"/>
      <c r="B119" s="2198"/>
      <c r="C119" s="1684" t="str">
        <f>F!C214</f>
        <v>was not measured but surface water is NOT tea-colored. Enter "1" in column to the right.</v>
      </c>
      <c r="D119" s="763">
        <f>F!D214</f>
        <v>0</v>
      </c>
      <c r="E119" s="722"/>
      <c r="F119" s="722"/>
      <c r="G119" s="857"/>
      <c r="H119" s="2159"/>
      <c r="I119" s="1911"/>
    </row>
    <row r="120" spans="1:9" ht="15" customHeight="1" thickBot="1" x14ac:dyDescent="0.25">
      <c r="A120" s="2202"/>
      <c r="B120" s="2202"/>
      <c r="C120" s="1685" t="str">
        <f>F!C215</f>
        <v>was measured, and is:  [enter the reading in the column to the right]:</v>
      </c>
      <c r="D120" s="793">
        <f>F!D215</f>
        <v>0</v>
      </c>
      <c r="E120" s="1526"/>
      <c r="F120" s="787"/>
      <c r="G120" s="266"/>
      <c r="H120" s="2160"/>
      <c r="I120" s="1978"/>
    </row>
    <row r="121" spans="1:9" ht="21" customHeight="1" thickBot="1" x14ac:dyDescent="0.25">
      <c r="A121" s="2206" t="str">
        <f>F!A222</f>
        <v>F45</v>
      </c>
      <c r="B121" s="2198" t="str">
        <f>F!B222</f>
        <v>Beaver Probability</v>
      </c>
      <c r="C121" s="523" t="str">
        <f>F!C222</f>
        <v>Use of the AA by beaver during the past 5 years is (select most applicable ONE):</v>
      </c>
      <c r="D121" s="736"/>
      <c r="E121" s="239"/>
      <c r="F121" s="239"/>
      <c r="G121" s="231">
        <f>IF((AllSat1&gt;0),"",MAX(F122:F124)/MAX(E122:E124))</f>
        <v>0</v>
      </c>
      <c r="H121" s="2159" t="s">
        <v>143</v>
      </c>
      <c r="I121" s="2040" t="s">
        <v>1868</v>
      </c>
    </row>
    <row r="122" spans="1:9" ht="27" customHeight="1" x14ac:dyDescent="0.2">
      <c r="A122" s="2206"/>
      <c r="B122" s="2198"/>
      <c r="C122" s="509" t="str">
        <f>F!C223</f>
        <v>evident from direct observation or presence of gnawed limbs, dams, tracks, dens, lodges, or extensive stands of water-killed trees (snags).</v>
      </c>
      <c r="D122" s="196">
        <f>F!D223</f>
        <v>0</v>
      </c>
      <c r="E122" s="241">
        <v>3</v>
      </c>
      <c r="F122" s="241">
        <f>D122*E122</f>
        <v>0</v>
      </c>
      <c r="G122" s="236"/>
      <c r="H122" s="2159"/>
      <c r="I122" s="2040"/>
    </row>
    <row r="123" spans="1:9" ht="57" customHeight="1" x14ac:dyDescent="0.2">
      <c r="A123" s="2206"/>
      <c r="B123" s="2198"/>
      <c r="C123" s="510"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123" s="1674">
        <f>F!D224</f>
        <v>0</v>
      </c>
      <c r="E123" s="241">
        <v>2</v>
      </c>
      <c r="F123" s="241">
        <f>D123*E123</f>
        <v>0</v>
      </c>
      <c r="G123" s="236"/>
      <c r="H123" s="2159"/>
      <c r="I123" s="2040"/>
    </row>
    <row r="124" spans="1:9" ht="39" thickBot="1" x14ac:dyDescent="0.25">
      <c r="A124" s="2206"/>
      <c r="B124" s="2198"/>
      <c r="C124" s="510" t="str">
        <f>F!C225</f>
        <v>unlikely because site characteristics above are deficient, and/or this is a settled area or other area where beaver are routinely removed.  But beaver occur in this part of the region (i.e., within 25 km).</v>
      </c>
      <c r="D124" s="1674">
        <f>F!D225</f>
        <v>0</v>
      </c>
      <c r="E124" s="241">
        <v>0</v>
      </c>
      <c r="F124" s="241">
        <f>D124*E124</f>
        <v>0</v>
      </c>
      <c r="G124" s="236"/>
      <c r="H124" s="2159"/>
      <c r="I124" s="2040"/>
    </row>
    <row r="125" spans="1:9" ht="21" customHeight="1" thickBot="1" x14ac:dyDescent="0.25">
      <c r="A125" s="2214" t="str">
        <f>F!A247</f>
        <v>F51</v>
      </c>
      <c r="B125" s="2209" t="str">
        <f>F!B247</f>
        <v>Internal Gradient</v>
      </c>
      <c r="C125" s="508" t="str">
        <f>F!C247</f>
        <v>The gradient along most of the flow path within the AA is:</v>
      </c>
      <c r="D125" s="372"/>
      <c r="E125" s="376"/>
      <c r="F125" s="234"/>
      <c r="G125" s="232">
        <f>MAX(F126:F129)/MAX(E126:E129)</f>
        <v>0</v>
      </c>
      <c r="H125" s="2158" t="s">
        <v>137</v>
      </c>
      <c r="I125" s="2194" t="s">
        <v>63</v>
      </c>
    </row>
    <row r="126" spans="1:9" ht="27" customHeight="1" x14ac:dyDescent="0.2">
      <c r="A126" s="2104"/>
      <c r="B126" s="2028"/>
      <c r="C126" s="509" t="str">
        <f>F!C248</f>
        <v>&lt;2%, or, no slope is ever apparent (i.e., flat). Or, the wetland is in a depression or pond with no inlet and no outlet.</v>
      </c>
      <c r="D126" s="196">
        <f>F!D248</f>
        <v>0</v>
      </c>
      <c r="E126" s="377">
        <v>3</v>
      </c>
      <c r="F126" s="377">
        <f>Steep13*E126</f>
        <v>0</v>
      </c>
      <c r="G126" s="235"/>
      <c r="H126" s="2159"/>
      <c r="I126" s="2195"/>
    </row>
    <row r="127" spans="1:9" ht="15" customHeight="1" x14ac:dyDescent="0.2">
      <c r="A127" s="2104"/>
      <c r="B127" s="2028"/>
      <c r="C127" s="510" t="str">
        <f>F!C249</f>
        <v>2-5%</v>
      </c>
      <c r="D127" s="382">
        <f>F!D249</f>
        <v>0</v>
      </c>
      <c r="E127" s="377">
        <v>2</v>
      </c>
      <c r="F127" s="377">
        <f>D127*E127</f>
        <v>0</v>
      </c>
      <c r="G127" s="236"/>
      <c r="H127" s="2159"/>
      <c r="I127" s="2195"/>
    </row>
    <row r="128" spans="1:9" ht="15" customHeight="1" x14ac:dyDescent="0.2">
      <c r="A128" s="2104"/>
      <c r="B128" s="2028"/>
      <c r="C128" s="510" t="str">
        <f>F!C250</f>
        <v>6-10%</v>
      </c>
      <c r="D128" s="383">
        <f>F!D250</f>
        <v>0</v>
      </c>
      <c r="E128" s="377">
        <v>1</v>
      </c>
      <c r="F128" s="377">
        <f>D128*E128</f>
        <v>0</v>
      </c>
      <c r="G128" s="236"/>
      <c r="H128" s="2159"/>
      <c r="I128" s="2195"/>
    </row>
    <row r="129" spans="1:10" ht="15" customHeight="1" thickBot="1" x14ac:dyDescent="0.25">
      <c r="A129" s="2105"/>
      <c r="B129" s="2029"/>
      <c r="C129" s="530" t="str">
        <f>F!C251</f>
        <v>&gt;10%</v>
      </c>
      <c r="D129" s="1686">
        <f>F!D251</f>
        <v>0</v>
      </c>
      <c r="E129" s="244">
        <v>0</v>
      </c>
      <c r="F129" s="244">
        <f>D129*E129</f>
        <v>0</v>
      </c>
      <c r="G129" s="237"/>
      <c r="H129" s="2160"/>
      <c r="I129" s="2196"/>
    </row>
    <row r="130" spans="1:10" s="212" customFormat="1" ht="30" customHeight="1" thickBot="1" x14ac:dyDescent="0.25">
      <c r="A130" s="2220" t="str">
        <f>F!A252</f>
        <v>F52</v>
      </c>
      <c r="B130" s="2221" t="str">
        <f>F!B252</f>
        <v>Percent of Buffer with Perennial Vegetation</v>
      </c>
      <c r="C130" s="519" t="str">
        <f>F!C252</f>
        <v>Extending 30 m on all sides from the AA's edge,  the percentage that contains water or perennial vegetation taller than 10 cm during most of the growing season is:</v>
      </c>
      <c r="D130" s="372"/>
      <c r="E130" s="376"/>
      <c r="F130" s="262"/>
      <c r="G130" s="225">
        <f>MAX(F131:F135)/MAX(E131:E135)</f>
        <v>0</v>
      </c>
      <c r="H130" s="1910" t="s">
        <v>140</v>
      </c>
      <c r="I130" s="2011" t="s">
        <v>1355</v>
      </c>
      <c r="J130" s="138"/>
    </row>
    <row r="131" spans="1:10" s="212" customFormat="1" ht="15" customHeight="1" x14ac:dyDescent="0.2">
      <c r="A131" s="2104"/>
      <c r="B131" s="2028"/>
      <c r="C131" s="1338" t="str">
        <f>F!C253</f>
        <v xml:space="preserve">&lt;5% </v>
      </c>
      <c r="D131" s="1335">
        <f>F!D253</f>
        <v>0</v>
      </c>
      <c r="E131" s="377">
        <v>0</v>
      </c>
      <c r="F131" s="377">
        <f>D131*E131</f>
        <v>0</v>
      </c>
      <c r="G131" s="235"/>
      <c r="H131" s="1881"/>
      <c r="I131" s="2040"/>
      <c r="J131" s="138"/>
    </row>
    <row r="132" spans="1:10" s="212" customFormat="1" ht="15" customHeight="1" x14ac:dyDescent="0.2">
      <c r="A132" s="2104"/>
      <c r="B132" s="2028"/>
      <c r="C132" s="1339" t="str">
        <f>F!C254</f>
        <v>5 to 30%</v>
      </c>
      <c r="D132" s="1336">
        <f>F!D254</f>
        <v>0</v>
      </c>
      <c r="E132" s="377">
        <v>2</v>
      </c>
      <c r="F132" s="377">
        <f>D132*E132</f>
        <v>0</v>
      </c>
      <c r="G132" s="236"/>
      <c r="H132" s="1881"/>
      <c r="I132" s="2040"/>
      <c r="J132" s="138"/>
    </row>
    <row r="133" spans="1:10" s="212" customFormat="1" ht="15" customHeight="1" x14ac:dyDescent="0.2">
      <c r="A133" s="2104"/>
      <c r="B133" s="2028"/>
      <c r="C133" s="1339" t="str">
        <f>F!C255</f>
        <v>30 to 60%</v>
      </c>
      <c r="D133" s="1336">
        <f>F!D255</f>
        <v>0</v>
      </c>
      <c r="E133" s="377">
        <v>3</v>
      </c>
      <c r="F133" s="377">
        <f>D133*E133</f>
        <v>0</v>
      </c>
      <c r="G133" s="236"/>
      <c r="H133" s="1881"/>
      <c r="I133" s="2040"/>
      <c r="J133" s="138"/>
    </row>
    <row r="134" spans="1:10" s="212" customFormat="1" ht="15" customHeight="1" x14ac:dyDescent="0.2">
      <c r="A134" s="2104"/>
      <c r="B134" s="2028"/>
      <c r="C134" s="1339" t="str">
        <f>F!C256</f>
        <v>60 to 90%</v>
      </c>
      <c r="D134" s="1336">
        <f>F!D256</f>
        <v>0</v>
      </c>
      <c r="E134" s="377">
        <v>4</v>
      </c>
      <c r="F134" s="377">
        <f>D134*E134</f>
        <v>0</v>
      </c>
      <c r="G134" s="236"/>
      <c r="H134" s="1881"/>
      <c r="I134" s="2040"/>
      <c r="J134" s="138"/>
    </row>
    <row r="135" spans="1:10" s="212" customFormat="1" ht="15" customHeight="1" thickBot="1" x14ac:dyDescent="0.25">
      <c r="A135" s="2105"/>
      <c r="B135" s="2029"/>
      <c r="C135" s="1340" t="str">
        <f>F!C257</f>
        <v>&gt;90%, or the AA does not adjoin any upland  SKIP to F54 (Cliffs).</v>
      </c>
      <c r="D135" s="1337">
        <f>F!D257</f>
        <v>0</v>
      </c>
      <c r="E135" s="244">
        <v>6</v>
      </c>
      <c r="F135" s="244">
        <f>D135*E135</f>
        <v>0</v>
      </c>
      <c r="G135" s="237"/>
      <c r="H135" s="1882"/>
      <c r="I135" s="2041"/>
      <c r="J135" s="138"/>
    </row>
    <row r="136" spans="1:10" ht="77.25" thickBot="1" x14ac:dyDescent="0.25">
      <c r="A136" s="2215" t="str">
        <f>F!A288</f>
        <v>F60</v>
      </c>
      <c r="B136" s="2216" t="str">
        <f>F!B288</f>
        <v xml:space="preserve">Unvisited Core Area </v>
      </c>
      <c r="C136" s="512" t="str">
        <f>F!C288</f>
        <v>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v>
      </c>
      <c r="D136" s="396"/>
      <c r="E136" s="206"/>
      <c r="F136" s="240"/>
      <c r="G136" s="231">
        <f>MAX(F137:F142)/MAX(E137:E142)</f>
        <v>0</v>
      </c>
      <c r="H136" s="2158" t="s">
        <v>138</v>
      </c>
      <c r="I136" s="2040" t="s">
        <v>1869</v>
      </c>
    </row>
    <row r="137" spans="1:10" ht="15" customHeight="1" x14ac:dyDescent="0.2">
      <c r="A137" s="2215"/>
      <c r="B137" s="2216"/>
      <c r="C137" s="516" t="str">
        <f>F!C289</f>
        <v>&lt;5% and no inhabited building is within 100 m of the AA.</v>
      </c>
      <c r="D137" s="92">
        <f>F!D289</f>
        <v>0</v>
      </c>
      <c r="E137" s="204">
        <v>1</v>
      </c>
      <c r="F137" s="241">
        <f t="shared" ref="F137:F142" si="6">D137*E137</f>
        <v>0</v>
      </c>
      <c r="G137" s="235"/>
      <c r="H137" s="2159"/>
      <c r="I137" s="2040"/>
    </row>
    <row r="138" spans="1:10" ht="15" customHeight="1" x14ac:dyDescent="0.2">
      <c r="A138" s="2215"/>
      <c r="B138" s="2216"/>
      <c r="C138" s="517" t="str">
        <f>F!C290</f>
        <v>&lt;5% and inhabited building is within 100 m of the AA.</v>
      </c>
      <c r="D138" s="92">
        <f>F!D290</f>
        <v>0</v>
      </c>
      <c r="E138" s="204">
        <v>0</v>
      </c>
      <c r="F138" s="241">
        <f t="shared" si="6"/>
        <v>0</v>
      </c>
      <c r="G138" s="236"/>
      <c r="H138" s="2159"/>
      <c r="I138" s="2040"/>
    </row>
    <row r="139" spans="1:10" ht="15" customHeight="1" x14ac:dyDescent="0.2">
      <c r="A139" s="2215"/>
      <c r="B139" s="2216"/>
      <c r="C139" s="517" t="str">
        <f>F!C291</f>
        <v>5-50% and no inhabited building is within 100 m of the AA.</v>
      </c>
      <c r="D139" s="92">
        <f>F!D291</f>
        <v>0</v>
      </c>
      <c r="E139" s="204">
        <v>3</v>
      </c>
      <c r="F139" s="241">
        <f t="shared" si="6"/>
        <v>0</v>
      </c>
      <c r="G139" s="236"/>
      <c r="H139" s="2159"/>
      <c r="I139" s="2040"/>
    </row>
    <row r="140" spans="1:10" ht="15" customHeight="1" x14ac:dyDescent="0.2">
      <c r="A140" s="2215"/>
      <c r="B140" s="2216"/>
      <c r="C140" s="517" t="str">
        <f>F!C292</f>
        <v>5-50% and inhabited building is within 100 m of the AA.</v>
      </c>
      <c r="D140" s="92">
        <f>F!D292</f>
        <v>0</v>
      </c>
      <c r="E140" s="204">
        <v>2</v>
      </c>
      <c r="F140" s="241">
        <f t="shared" si="6"/>
        <v>0</v>
      </c>
      <c r="G140" s="367"/>
      <c r="H140" s="2159"/>
      <c r="I140" s="2040"/>
    </row>
    <row r="141" spans="1:10" ht="15" customHeight="1" x14ac:dyDescent="0.2">
      <c r="A141" s="2215"/>
      <c r="B141" s="2216"/>
      <c r="C141" s="517" t="str">
        <f>F!C293</f>
        <v>50-95%, with or without inhabited building nearby.</v>
      </c>
      <c r="D141" s="92">
        <f>F!D293</f>
        <v>0</v>
      </c>
      <c r="E141" s="204">
        <v>4</v>
      </c>
      <c r="F141" s="241">
        <f t="shared" si="6"/>
        <v>0</v>
      </c>
      <c r="G141" s="367"/>
      <c r="H141" s="2159"/>
      <c r="I141" s="2040"/>
    </row>
    <row r="142" spans="1:10" ht="15" customHeight="1" thickBot="1" x14ac:dyDescent="0.25">
      <c r="A142" s="2215"/>
      <c r="B142" s="2216"/>
      <c r="C142" s="518" t="str">
        <f>F!C294</f>
        <v>&gt;95% of the AA with or without inhabited building nearby.</v>
      </c>
      <c r="D142" s="529">
        <f>F!D294</f>
        <v>0</v>
      </c>
      <c r="E142" s="305">
        <v>5</v>
      </c>
      <c r="F142" s="380">
        <f t="shared" si="6"/>
        <v>0</v>
      </c>
      <c r="G142" s="367"/>
      <c r="H142" s="2160"/>
      <c r="I142" s="2040"/>
    </row>
    <row r="143" spans="1:10" ht="75" customHeight="1" thickBot="1" x14ac:dyDescent="0.25">
      <c r="A143" s="2214" t="str">
        <f>F!A295</f>
        <v>F61</v>
      </c>
      <c r="B143" s="2209" t="str">
        <f>F!B295</f>
        <v>Frequently Visited Area</v>
      </c>
      <c r="C143" s="519" t="str">
        <f>F!C295</f>
        <v>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v>
      </c>
      <c r="D143" s="378"/>
      <c r="E143" s="368"/>
      <c r="F143" s="234"/>
      <c r="G143" s="232">
        <f>MAX(F144:F147)/MAX(E144:E147)</f>
        <v>0</v>
      </c>
      <c r="H143" s="2158" t="s">
        <v>139</v>
      </c>
      <c r="I143" s="2011" t="s">
        <v>75</v>
      </c>
    </row>
    <row r="144" spans="1:10" ht="15" customHeight="1" x14ac:dyDescent="0.2">
      <c r="A144" s="2215"/>
      <c r="B144" s="2216"/>
      <c r="C144" s="516" t="str">
        <f>F!C296</f>
        <v>&lt;5%.  If F62 was answered "&gt;95%", SKIP to F64 (Consumptive Uses).</v>
      </c>
      <c r="D144" s="197">
        <f>F!D296</f>
        <v>0</v>
      </c>
      <c r="E144" s="369">
        <v>3</v>
      </c>
      <c r="F144" s="377">
        <f>D144*E144</f>
        <v>0</v>
      </c>
      <c r="G144" s="235"/>
      <c r="H144" s="2159"/>
      <c r="I144" s="2040"/>
    </row>
    <row r="145" spans="1:66" ht="15" customHeight="1" x14ac:dyDescent="0.2">
      <c r="A145" s="2215"/>
      <c r="B145" s="2216"/>
      <c r="C145" s="517" t="str">
        <f>F!C297</f>
        <v>5-50%</v>
      </c>
      <c r="D145" s="431">
        <f>F!D297</f>
        <v>0</v>
      </c>
      <c r="E145" s="369">
        <v>2</v>
      </c>
      <c r="F145" s="377">
        <f>D145*E145</f>
        <v>0</v>
      </c>
      <c r="G145" s="236"/>
      <c r="H145" s="2159"/>
      <c r="I145" s="2040"/>
    </row>
    <row r="146" spans="1:66" ht="15" customHeight="1" x14ac:dyDescent="0.2">
      <c r="A146" s="2215"/>
      <c r="B146" s="2216"/>
      <c r="C146" s="517" t="str">
        <f>F!C298</f>
        <v>50-95%</v>
      </c>
      <c r="D146" s="431">
        <f>F!D298</f>
        <v>0</v>
      </c>
      <c r="E146" s="369">
        <v>1</v>
      </c>
      <c r="F146" s="377">
        <f>D146*E146</f>
        <v>0</v>
      </c>
      <c r="G146" s="236"/>
      <c r="H146" s="2159"/>
      <c r="I146" s="2040"/>
    </row>
    <row r="147" spans="1:66" ht="15" customHeight="1" thickBot="1" x14ac:dyDescent="0.25">
      <c r="A147" s="2217"/>
      <c r="B147" s="2218"/>
      <c r="C147" s="520" t="str">
        <f>F!C299</f>
        <v>&gt;95% of the AA.</v>
      </c>
      <c r="D147" s="102">
        <f>F!D299</f>
        <v>0</v>
      </c>
      <c r="E147" s="205">
        <v>0</v>
      </c>
      <c r="F147" s="244">
        <f>D147*E147</f>
        <v>0</v>
      </c>
      <c r="G147" s="237"/>
      <c r="H147" s="2160"/>
      <c r="I147" s="2041"/>
    </row>
    <row r="148" spans="1:66" ht="60" customHeight="1" thickBot="1" x14ac:dyDescent="0.25">
      <c r="A148" s="1687" t="str">
        <f>F!A301</f>
        <v>F63</v>
      </c>
      <c r="B148" s="1688" t="str">
        <f>F!B301</f>
        <v>BMP - Wildlife Protection</v>
      </c>
      <c r="C148" s="1073" t="str">
        <f>F!C301</f>
        <v xml:space="preserve">Fences, observation blinds, platforms, paved trails, exclusion periods, and/or well-enforced prohibitions on motorized boats, off-leash pets, and off road vehicles appear to effectively exclude or divert visitors and their pets from the AA at critical times in order to minimize disturbance of wildlife (except during hunting seasons).  Enter "1" if true. </v>
      </c>
      <c r="D148" s="1074">
        <f>F!D301</f>
        <v>0</v>
      </c>
      <c r="E148" s="1075"/>
      <c r="F148" s="269"/>
      <c r="G148" s="232">
        <f>IF((D142+D144&gt;1),"",D148)</f>
        <v>0</v>
      </c>
      <c r="H148" s="473" t="s">
        <v>841</v>
      </c>
      <c r="I148" s="352" t="s">
        <v>1334</v>
      </c>
    </row>
    <row r="149" spans="1:66" ht="27.6" customHeight="1" thickBot="1" x14ac:dyDescent="0.25">
      <c r="A149" s="2199" t="str">
        <f>F!A315</f>
        <v>F66</v>
      </c>
      <c r="B149" s="2199" t="str">
        <f>F!B315</f>
        <v>Distance to Tailings Pond</v>
      </c>
      <c r="C149" s="1689" t="str">
        <f>F!C315</f>
        <v>The distance between the AA and the nearest industrial (e.g., tailings) pond in which waterbirds could land and be exposed to contaminants is:</v>
      </c>
      <c r="D149" s="255"/>
      <c r="E149" s="594"/>
      <c r="F149" s="268"/>
      <c r="G149" s="232">
        <f>MAX(F150:F152)/MAX(E150:E152)</f>
        <v>0</v>
      </c>
      <c r="H149" s="1910" t="s">
        <v>2025</v>
      </c>
      <c r="I149" s="1867" t="s">
        <v>2024</v>
      </c>
    </row>
    <row r="150" spans="1:66" ht="15.6" customHeight="1" x14ac:dyDescent="0.2">
      <c r="A150" s="2200"/>
      <c r="B150" s="2200"/>
      <c r="C150" s="1690" t="str">
        <f>F!C316</f>
        <v>Within 0-100 m of the AA</v>
      </c>
      <c r="D150" s="778">
        <f>F!D316</f>
        <v>0</v>
      </c>
      <c r="E150" s="748">
        <v>0</v>
      </c>
      <c r="F150" s="722"/>
      <c r="G150" s="857"/>
      <c r="H150" s="1881"/>
      <c r="I150" s="1911"/>
    </row>
    <row r="151" spans="1:66" ht="15.6" customHeight="1" x14ac:dyDescent="0.2">
      <c r="A151" s="2200"/>
      <c r="B151" s="2200"/>
      <c r="C151" s="1691" t="str">
        <f>F!C317</f>
        <v>100-500 m away</v>
      </c>
      <c r="D151" s="778">
        <f>F!D317</f>
        <v>0</v>
      </c>
      <c r="E151" s="748">
        <v>1</v>
      </c>
      <c r="F151" s="722"/>
      <c r="G151" s="857"/>
      <c r="H151" s="1881"/>
      <c r="I151" s="1911"/>
    </row>
    <row r="152" spans="1:66" ht="15.6" customHeight="1" thickBot="1" x14ac:dyDescent="0.25">
      <c r="A152" s="2201"/>
      <c r="B152" s="2201"/>
      <c r="C152" s="1692" t="str">
        <f>F!C318</f>
        <v>&gt;500 m away, or no information</v>
      </c>
      <c r="D152" s="434">
        <f>F!D318</f>
        <v>0</v>
      </c>
      <c r="E152" s="305">
        <v>5</v>
      </c>
      <c r="F152" s="380"/>
      <c r="G152" s="720"/>
      <c r="H152" s="1881"/>
      <c r="I152" s="1911"/>
    </row>
    <row r="153" spans="1:66" ht="78" customHeight="1" thickBot="1" x14ac:dyDescent="0.25">
      <c r="A153" s="2192" t="str">
        <f>F!A324</f>
        <v>F68</v>
      </c>
      <c r="B153" s="2192" t="str">
        <f>F!B324</f>
        <v>Plants or Animals of Conservation Concern</v>
      </c>
      <c r="C153" s="1693" t="str">
        <f>F!C324</f>
        <v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v>
      </c>
      <c r="D153" s="255"/>
      <c r="E153" s="368"/>
      <c r="F153" s="262"/>
      <c r="G153" s="1069" t="str">
        <f>IF((D154=0),"",1)</f>
        <v/>
      </c>
      <c r="H153" s="2171" t="s">
        <v>2008</v>
      </c>
      <c r="I153" s="1867" t="s">
        <v>2031</v>
      </c>
    </row>
    <row r="154" spans="1:66" ht="15" customHeight="1" thickBot="1" x14ac:dyDescent="0.25">
      <c r="A154" s="2193"/>
      <c r="B154" s="2193"/>
      <c r="C154" s="1694" t="str">
        <f>F!C328</f>
        <v>One or more of the rare waterbird species was detected within the AA.</v>
      </c>
      <c r="D154" s="1695">
        <f>F!D328</f>
        <v>0</v>
      </c>
      <c r="E154" s="205"/>
      <c r="F154" s="244"/>
      <c r="G154" s="890"/>
      <c r="H154" s="2173"/>
      <c r="I154" s="1978"/>
    </row>
    <row r="155" spans="1:66" s="11" customFormat="1" ht="57.75" customHeight="1" thickBot="1" x14ac:dyDescent="0.25">
      <c r="A155" s="899" t="str">
        <f>S!A25</f>
        <v>S2</v>
      </c>
      <c r="B155" s="899" t="str">
        <f>S!B25</f>
        <v>Accelerated Inputs of Contaminants and/or Salts</v>
      </c>
      <c r="C155" s="1071"/>
      <c r="D155" s="904">
        <f>S!F39</f>
        <v>0</v>
      </c>
      <c r="E155" s="890"/>
      <c r="F155" s="276"/>
      <c r="G155" s="231">
        <f>1-D155</f>
        <v>1</v>
      </c>
      <c r="H155" s="905" t="s">
        <v>1760</v>
      </c>
      <c r="I155" s="1416" t="s">
        <v>2023</v>
      </c>
      <c r="J155" s="14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row>
    <row r="156" spans="1:66" ht="21" customHeight="1" thickBot="1" x14ac:dyDescent="0.25">
      <c r="A156" s="614"/>
      <c r="B156" s="614"/>
      <c r="D156" s="612"/>
      <c r="E156" s="612"/>
      <c r="F156" s="612"/>
      <c r="G156" s="612"/>
      <c r="H156" s="394"/>
      <c r="I156" s="394"/>
    </row>
    <row r="157" spans="1:66" s="5" customFormat="1" ht="21" customHeight="1" thickBot="1" x14ac:dyDescent="0.25">
      <c r="A157" s="11"/>
      <c r="B157" s="11"/>
      <c r="C157" s="391" t="s">
        <v>753</v>
      </c>
      <c r="D157" s="613"/>
      <c r="E157" s="613"/>
      <c r="F157" s="613"/>
      <c r="G157" s="613"/>
      <c r="H157" s="6"/>
      <c r="I157" s="6"/>
      <c r="J157" s="574"/>
    </row>
    <row r="158" spans="1:66" s="5" customFormat="1" ht="30" customHeight="1" thickBot="1" x14ac:dyDescent="0.25">
      <c r="A158" s="1246"/>
      <c r="B158" s="1696"/>
      <c r="C158" s="408" t="s">
        <v>2484</v>
      </c>
      <c r="D158" s="293"/>
      <c r="E158" s="293"/>
      <c r="F158" s="293"/>
      <c r="G158" s="285">
        <f>MAX(SBhab13,AVERAGE(WetVegArea,ISOdry13,OWpct13,Interspers13,EmPct13,DepthEven13,SBhab13,ShoreSlope13,TreeForm13,SnagB13,Island13,VwidthAbs13))</f>
        <v>0</v>
      </c>
      <c r="H158" s="6"/>
      <c r="I158" s="6"/>
      <c r="J158" s="140"/>
    </row>
    <row r="159" spans="1:66" s="5" customFormat="1" ht="21" customHeight="1" thickBot="1" x14ac:dyDescent="0.25">
      <c r="A159" s="1246"/>
      <c r="B159" s="1246"/>
      <c r="D159" s="827"/>
      <c r="E159" s="827"/>
      <c r="F159" s="827"/>
      <c r="G159" s="827"/>
      <c r="H159" s="6"/>
      <c r="I159" s="6"/>
      <c r="J159" s="574"/>
    </row>
    <row r="160" spans="1:66" s="5" customFormat="1" ht="21" customHeight="1" thickBot="1" x14ac:dyDescent="0.25">
      <c r="A160" s="1246"/>
      <c r="B160" s="1246"/>
      <c r="C160" s="391" t="s">
        <v>754</v>
      </c>
      <c r="D160" s="1027"/>
      <c r="E160" s="1027"/>
      <c r="F160" s="1027"/>
      <c r="G160" s="1027"/>
      <c r="H160" s="6"/>
      <c r="I160" s="6"/>
      <c r="J160" s="574"/>
    </row>
    <row r="161" spans="1:13" s="5" customFormat="1" ht="30" customHeight="1" thickBot="1" x14ac:dyDescent="0.25">
      <c r="A161" s="10"/>
      <c r="B161" s="940"/>
      <c r="C161" s="1072" t="s">
        <v>2485</v>
      </c>
      <c r="D161" s="590"/>
      <c r="E161" s="507"/>
      <c r="F161" s="507"/>
      <c r="G161" s="285">
        <f>AVERAGE(Gradient13,Wettype13,AVERAGE(GrowDD,RipFloodpl,Lake13,Fish13,Acidic13,Woody13,SeasWpct13,Beaver13,SatPct13,Fluctu13))</f>
        <v>0</v>
      </c>
      <c r="H161" s="6"/>
      <c r="I161" s="6"/>
      <c r="J161" s="574"/>
    </row>
    <row r="162" spans="1:13" s="5" customFormat="1" ht="21" customHeight="1" thickBot="1" x14ac:dyDescent="0.25">
      <c r="A162" s="10"/>
      <c r="B162" s="10"/>
      <c r="D162" s="827"/>
      <c r="E162" s="827"/>
      <c r="F162" s="827"/>
      <c r="G162" s="827"/>
      <c r="H162" s="6"/>
      <c r="I162" s="6"/>
      <c r="J162" s="574"/>
    </row>
    <row r="163" spans="1:13" s="5" customFormat="1" ht="21" customHeight="1" thickBot="1" x14ac:dyDescent="0.25">
      <c r="A163" s="10"/>
      <c r="B163" s="10"/>
      <c r="C163" s="392" t="s">
        <v>755</v>
      </c>
      <c r="D163" s="1027"/>
      <c r="E163" s="1027"/>
      <c r="F163" s="1027"/>
      <c r="G163" s="1027"/>
      <c r="H163" s="6"/>
      <c r="I163" s="6"/>
      <c r="J163" s="574"/>
    </row>
    <row r="164" spans="1:13" s="5" customFormat="1" ht="21" customHeight="1" thickBot="1" x14ac:dyDescent="0.25">
      <c r="A164" s="10"/>
      <c r="B164" s="940"/>
      <c r="C164" s="310" t="s">
        <v>2486</v>
      </c>
      <c r="D164" s="1086"/>
      <c r="E164" s="507"/>
      <c r="F164" s="507"/>
      <c r="G164" s="285" t="str">
        <f>IFERROR(AVERAGE(WetDens1k_OW,  UndevOpenL1k,OWpct_WB),"")</f>
        <v/>
      </c>
      <c r="H164" s="6"/>
      <c r="I164" s="6"/>
      <c r="J164" s="574"/>
    </row>
    <row r="165" spans="1:13" s="6" customFormat="1" ht="21" customHeight="1" thickBot="1" x14ac:dyDescent="0.25">
      <c r="A165" s="21"/>
      <c r="B165" s="21"/>
      <c r="C165" s="110"/>
      <c r="D165" s="617"/>
      <c r="E165" s="617"/>
      <c r="F165" s="617"/>
      <c r="G165" s="617"/>
      <c r="J165" s="137"/>
    </row>
    <row r="166" spans="1:13" s="5" customFormat="1" ht="21" customHeight="1" thickBot="1" x14ac:dyDescent="0.25">
      <c r="A166" s="21"/>
      <c r="B166" s="21"/>
      <c r="C166" s="391" t="s">
        <v>836</v>
      </c>
      <c r="D166" s="618"/>
      <c r="E166" s="618"/>
      <c r="F166" s="618"/>
      <c r="G166" s="618"/>
      <c r="H166" s="6"/>
      <c r="I166" s="6"/>
      <c r="J166" s="574"/>
    </row>
    <row r="167" spans="1:13" s="5" customFormat="1" ht="27.75" customHeight="1" thickBot="1" x14ac:dyDescent="0.25">
      <c r="A167" s="10"/>
      <c r="B167" s="940"/>
      <c r="C167" s="1072" t="s">
        <v>2026</v>
      </c>
      <c r="D167" s="590"/>
      <c r="E167" s="507"/>
      <c r="F167" s="507"/>
      <c r="G167" s="589">
        <f>AVERAGE(Dist2DevCrop, BuffNatPct13, HazPond,Core1_13, Core2_13, BMP_13,ToxSource13)</f>
        <v>0.16666666666666666</v>
      </c>
      <c r="H167" s="6"/>
      <c r="I167" s="6"/>
      <c r="J167" s="574"/>
    </row>
    <row r="168" spans="1:13" s="5" customFormat="1" ht="21" customHeight="1" thickBot="1" x14ac:dyDescent="0.25">
      <c r="A168" s="1246"/>
      <c r="B168" s="1246"/>
      <c r="D168" s="827"/>
      <c r="E168" s="827"/>
      <c r="F168" s="827"/>
      <c r="G168" s="827"/>
      <c r="H168" s="6"/>
      <c r="I168" s="6"/>
      <c r="J168" s="574"/>
    </row>
    <row r="169" spans="1:13" s="5" customFormat="1" ht="21" customHeight="1" thickBot="1" x14ac:dyDescent="0.25">
      <c r="A169" s="1246"/>
      <c r="B169" s="1246"/>
      <c r="C169" s="639" t="s">
        <v>846</v>
      </c>
      <c r="H169" s="6"/>
      <c r="I169" s="6"/>
      <c r="J169" s="574"/>
    </row>
    <row r="170" spans="1:13" s="5" customFormat="1" ht="21" customHeight="1" thickBot="1" x14ac:dyDescent="0.25">
      <c r="A170" s="1246"/>
      <c r="B170" s="1246"/>
      <c r="C170" s="409" t="s">
        <v>621</v>
      </c>
      <c r="D170" s="1027"/>
      <c r="E170" s="1027"/>
      <c r="F170" s="1027"/>
      <c r="G170" s="1027"/>
      <c r="H170" s="6"/>
      <c r="I170" s="6"/>
      <c r="J170" s="574"/>
    </row>
    <row r="171" spans="1:13" s="5" customFormat="1" ht="30" customHeight="1" thickBot="1" x14ac:dyDescent="0.25">
      <c r="A171" s="1246"/>
      <c r="B171" s="1246"/>
      <c r="C171" s="83" t="s">
        <v>2487</v>
      </c>
      <c r="D171" s="507"/>
      <c r="E171" s="507"/>
      <c r="F171" s="507"/>
      <c r="G171" s="582">
        <f>IF((MAX(IBirdArea,TrumSwan, RareBirdUse,RareWB)&gt;0),10, 10*AVERAGE(PermWpct13, UniqMarshShallowOW, HabStrucW1a, CfixW1a, LscapeW1a, StressW1a))</f>
        <v>0.41666666666666663</v>
      </c>
      <c r="H171" s="6"/>
      <c r="I171" s="6"/>
      <c r="J171" s="574"/>
    </row>
    <row r="172" spans="1:13" s="940" customFormat="1" ht="21" customHeight="1" thickBot="1" x14ac:dyDescent="0.25">
      <c r="A172" s="1246"/>
      <c r="B172" s="1246"/>
      <c r="D172" s="579"/>
      <c r="E172" s="489"/>
      <c r="F172" s="489"/>
      <c r="G172" s="489"/>
      <c r="H172" s="591"/>
      <c r="I172" s="843" t="s">
        <v>293</v>
      </c>
      <c r="J172" s="141"/>
      <c r="K172" s="110"/>
      <c r="L172" s="110"/>
      <c r="M172" s="110"/>
    </row>
    <row r="173" spans="1:13" s="122" customFormat="1" ht="51" x14ac:dyDescent="0.2">
      <c r="A173" s="1467"/>
      <c r="B173" s="1552"/>
      <c r="C173" s="1467"/>
      <c r="D173" s="1468"/>
      <c r="E173" s="489"/>
      <c r="F173" s="489"/>
      <c r="G173" s="489"/>
      <c r="H173" s="591"/>
      <c r="I173" s="844" t="s">
        <v>1103</v>
      </c>
      <c r="J173" s="140"/>
      <c r="K173" s="119"/>
      <c r="L173" s="119"/>
      <c r="M173" s="119"/>
    </row>
    <row r="174" spans="1:13" s="122" customFormat="1" ht="38.25" x14ac:dyDescent="0.2">
      <c r="A174" s="1467"/>
      <c r="B174" s="1630"/>
      <c r="C174" s="1467" t="s">
        <v>406</v>
      </c>
      <c r="D174" s="1468"/>
      <c r="E174" s="489"/>
      <c r="F174" s="489"/>
      <c r="G174" s="489"/>
      <c r="H174" s="591"/>
      <c r="I174" s="1404" t="s">
        <v>1104</v>
      </c>
      <c r="J174" s="140"/>
      <c r="K174" s="119"/>
      <c r="L174" s="119"/>
      <c r="M174" s="119"/>
    </row>
    <row r="175" spans="1:13" s="122" customFormat="1" ht="38.25" x14ac:dyDescent="0.2">
      <c r="A175" s="1467"/>
      <c r="B175" s="1552"/>
      <c r="C175" s="1467"/>
      <c r="D175" s="1468"/>
      <c r="E175" s="489"/>
      <c r="F175" s="489"/>
      <c r="G175" s="489"/>
      <c r="H175" s="591"/>
      <c r="I175" s="845" t="s">
        <v>1105</v>
      </c>
      <c r="J175" s="140"/>
      <c r="K175" s="119"/>
      <c r="L175" s="119"/>
      <c r="M175" s="119"/>
    </row>
    <row r="176" spans="1:13" s="122" customFormat="1" ht="38.25" x14ac:dyDescent="0.2">
      <c r="A176" s="1467"/>
      <c r="B176" s="1552"/>
      <c r="C176" s="1467"/>
      <c r="D176" s="1468"/>
      <c r="E176" s="489"/>
      <c r="F176" s="489"/>
      <c r="G176" s="489"/>
      <c r="H176" s="591"/>
      <c r="I176" s="845" t="s">
        <v>1106</v>
      </c>
      <c r="J176" s="140"/>
      <c r="K176" s="119"/>
      <c r="L176" s="119"/>
      <c r="M176" s="119"/>
    </row>
    <row r="177" spans="1:13" s="122" customFormat="1" ht="38.25" x14ac:dyDescent="0.2">
      <c r="A177" s="1467"/>
      <c r="B177" s="1552"/>
      <c r="C177" s="1467"/>
      <c r="D177" s="1468"/>
      <c r="E177" s="489"/>
      <c r="F177" s="489"/>
      <c r="G177" s="489"/>
      <c r="H177" s="591"/>
      <c r="I177" s="845" t="s">
        <v>1870</v>
      </c>
      <c r="J177" s="140"/>
      <c r="K177" s="119"/>
      <c r="L177" s="119"/>
      <c r="M177" s="119"/>
    </row>
    <row r="178" spans="1:13" s="122" customFormat="1" ht="38.25" x14ac:dyDescent="0.2">
      <c r="A178" s="1467"/>
      <c r="B178" s="1552"/>
      <c r="C178" s="1467"/>
      <c r="D178" s="1468"/>
      <c r="E178" s="489"/>
      <c r="F178" s="489"/>
      <c r="G178" s="489"/>
      <c r="H178" s="591"/>
      <c r="I178" s="845" t="s">
        <v>1107</v>
      </c>
      <c r="J178" s="140"/>
      <c r="K178" s="119"/>
      <c r="L178" s="119"/>
      <c r="M178" s="119"/>
    </row>
    <row r="179" spans="1:13" s="122" customFormat="1" ht="25.5" x14ac:dyDescent="0.2">
      <c r="A179" s="1467"/>
      <c r="B179" s="1630"/>
      <c r="C179" s="1467"/>
      <c r="D179" s="1468"/>
      <c r="E179" s="489"/>
      <c r="F179" s="489"/>
      <c r="G179" s="489"/>
      <c r="H179" s="591"/>
      <c r="I179" s="1407" t="s">
        <v>357</v>
      </c>
      <c r="J179" s="140"/>
      <c r="K179" s="119"/>
      <c r="L179" s="119"/>
      <c r="M179" s="119"/>
    </row>
    <row r="180" spans="1:13" s="940" customFormat="1" ht="25.5" x14ac:dyDescent="0.2">
      <c r="A180" s="1467"/>
      <c r="B180" s="412"/>
      <c r="C180" s="588"/>
      <c r="D180" s="1554"/>
      <c r="E180" s="489"/>
      <c r="F180" s="489"/>
      <c r="G180" s="489"/>
      <c r="H180" s="591"/>
      <c r="I180" s="1407" t="s">
        <v>482</v>
      </c>
      <c r="J180" s="141"/>
      <c r="K180" s="110"/>
      <c r="L180" s="110"/>
      <c r="M180" s="110"/>
    </row>
    <row r="181" spans="1:13" s="940" customFormat="1" ht="51" x14ac:dyDescent="0.2">
      <c r="A181" s="1467"/>
      <c r="B181" s="1552"/>
      <c r="C181" s="1467"/>
      <c r="D181" s="1468"/>
      <c r="E181" s="489"/>
      <c r="F181" s="489"/>
      <c r="G181" s="489"/>
      <c r="H181" s="591"/>
      <c r="I181" s="1407" t="s">
        <v>1871</v>
      </c>
      <c r="J181" s="141"/>
      <c r="K181" s="110"/>
      <c r="L181" s="110"/>
      <c r="M181" s="110"/>
    </row>
    <row r="182" spans="1:13" s="940" customFormat="1" ht="38.25" x14ac:dyDescent="0.2">
      <c r="A182" s="1467"/>
      <c r="B182" s="1630"/>
      <c r="C182" s="1467"/>
      <c r="D182" s="1468"/>
      <c r="E182" s="489"/>
      <c r="F182" s="489"/>
      <c r="G182" s="489"/>
      <c r="H182" s="591"/>
      <c r="I182" s="1407" t="s">
        <v>358</v>
      </c>
      <c r="J182" s="141"/>
      <c r="K182" s="110"/>
      <c r="L182" s="110"/>
      <c r="M182" s="110"/>
    </row>
    <row r="183" spans="1:13" s="940" customFormat="1" ht="51" x14ac:dyDescent="0.2">
      <c r="A183" s="1467"/>
      <c r="B183" s="1552"/>
      <c r="C183" s="1467"/>
      <c r="D183" s="1468"/>
      <c r="E183" s="489"/>
      <c r="F183" s="489"/>
      <c r="G183" s="489"/>
      <c r="H183" s="591"/>
      <c r="I183" s="821" t="s">
        <v>1872</v>
      </c>
      <c r="J183" s="141"/>
      <c r="K183" s="110"/>
      <c r="L183" s="110"/>
      <c r="M183" s="110"/>
    </row>
    <row r="184" spans="1:13" s="940" customFormat="1" ht="38.25" x14ac:dyDescent="0.2">
      <c r="A184" s="1467"/>
      <c r="B184" s="1552"/>
      <c r="C184" s="1467"/>
      <c r="D184" s="1468"/>
      <c r="E184" s="489"/>
      <c r="F184" s="489"/>
      <c r="G184" s="489"/>
      <c r="H184" s="591"/>
      <c r="I184" s="845" t="s">
        <v>1108</v>
      </c>
      <c r="J184" s="141"/>
      <c r="K184" s="110"/>
      <c r="L184" s="110"/>
      <c r="M184" s="110"/>
    </row>
    <row r="185" spans="1:13" s="940" customFormat="1" ht="38.25" x14ac:dyDescent="0.2">
      <c r="A185" s="1467"/>
      <c r="B185" s="1552"/>
      <c r="C185" s="1467"/>
      <c r="D185" s="1468"/>
      <c r="E185" s="489"/>
      <c r="F185" s="489"/>
      <c r="G185" s="489"/>
      <c r="H185" s="591"/>
      <c r="I185" s="845" t="s">
        <v>1873</v>
      </c>
      <c r="J185" s="141"/>
      <c r="K185" s="110"/>
      <c r="L185" s="110"/>
      <c r="M185" s="110"/>
    </row>
    <row r="186" spans="1:13" s="940" customFormat="1" ht="38.25" x14ac:dyDescent="0.2">
      <c r="A186" s="1467"/>
      <c r="B186" s="1552"/>
      <c r="C186" s="1467"/>
      <c r="D186" s="1468"/>
      <c r="E186" s="489"/>
      <c r="F186" s="489"/>
      <c r="G186" s="489"/>
      <c r="H186" s="591"/>
      <c r="I186" s="845" t="s">
        <v>1874</v>
      </c>
      <c r="J186" s="141"/>
      <c r="K186" s="110"/>
      <c r="L186" s="110"/>
      <c r="M186" s="110"/>
    </row>
    <row r="187" spans="1:13" s="940" customFormat="1" ht="51" x14ac:dyDescent="0.2">
      <c r="A187" s="1467"/>
      <c r="B187" s="1630"/>
      <c r="C187" s="1467"/>
      <c r="D187" s="1468"/>
      <c r="E187" s="489"/>
      <c r="F187" s="489"/>
      <c r="G187" s="489"/>
      <c r="H187" s="591"/>
      <c r="I187" s="823" t="s">
        <v>1875</v>
      </c>
      <c r="J187" s="141"/>
      <c r="K187" s="110"/>
      <c r="L187" s="110"/>
      <c r="M187" s="110"/>
    </row>
    <row r="188" spans="1:13" s="940" customFormat="1" ht="38.25" x14ac:dyDescent="0.2">
      <c r="A188" s="110"/>
      <c r="B188" s="110"/>
      <c r="C188" s="110"/>
      <c r="D188" s="110"/>
      <c r="E188" s="110"/>
      <c r="F188" s="110"/>
      <c r="G188" s="110"/>
      <c r="H188" s="1389"/>
      <c r="I188" s="1407" t="s">
        <v>483</v>
      </c>
      <c r="J188" s="141"/>
      <c r="K188" s="110"/>
      <c r="L188" s="110"/>
      <c r="M188" s="110"/>
    </row>
    <row r="189" spans="1:13" s="940" customFormat="1" ht="51" x14ac:dyDescent="0.2">
      <c r="A189" s="110"/>
      <c r="B189" s="110"/>
      <c r="C189" s="110"/>
      <c r="D189" s="110"/>
      <c r="E189" s="110"/>
      <c r="F189" s="110"/>
      <c r="G189" s="110"/>
      <c r="H189" s="1389"/>
      <c r="I189" s="845" t="s">
        <v>1109</v>
      </c>
      <c r="J189" s="141"/>
      <c r="K189" s="110"/>
      <c r="L189" s="110"/>
      <c r="M189" s="110"/>
    </row>
    <row r="190" spans="1:13" ht="38.25" x14ac:dyDescent="0.2">
      <c r="A190" s="110"/>
      <c r="B190" s="110"/>
      <c r="C190" s="110"/>
      <c r="D190" s="110"/>
      <c r="E190" s="110"/>
      <c r="F190" s="110"/>
      <c r="G190" s="110"/>
      <c r="H190" s="1389"/>
      <c r="I190" s="1404" t="s">
        <v>1110</v>
      </c>
    </row>
    <row r="191" spans="1:13" ht="25.5" x14ac:dyDescent="0.2">
      <c r="A191" s="110"/>
      <c r="B191" s="110"/>
      <c r="C191" s="110"/>
      <c r="D191" s="110"/>
      <c r="E191" s="110"/>
      <c r="F191" s="110"/>
      <c r="G191" s="110"/>
      <c r="H191" s="1389"/>
      <c r="I191" s="1407" t="s">
        <v>359</v>
      </c>
    </row>
    <row r="192" spans="1:13" ht="38.25" x14ac:dyDescent="0.2">
      <c r="A192" s="110"/>
      <c r="B192" s="110"/>
      <c r="C192" s="110"/>
      <c r="D192" s="110"/>
      <c r="E192" s="110"/>
      <c r="F192" s="110"/>
      <c r="G192" s="110"/>
      <c r="H192" s="1389"/>
      <c r="I192" s="1407" t="s">
        <v>1876</v>
      </c>
    </row>
    <row r="193" spans="1:10" ht="38.25" x14ac:dyDescent="0.2">
      <c r="A193" s="110"/>
      <c r="B193" s="110"/>
      <c r="C193" s="110"/>
      <c r="D193" s="110"/>
      <c r="E193" s="110"/>
      <c r="F193" s="110"/>
      <c r="G193" s="110"/>
      <c r="H193" s="1389"/>
      <c r="I193" s="1407" t="s">
        <v>1877</v>
      </c>
    </row>
    <row r="194" spans="1:10" ht="38.25" x14ac:dyDescent="0.2">
      <c r="A194" s="110"/>
      <c r="B194" s="110"/>
      <c r="C194" s="110"/>
      <c r="D194" s="110"/>
      <c r="E194" s="110"/>
      <c r="F194" s="110"/>
      <c r="G194" s="110"/>
      <c r="H194" s="1389"/>
      <c r="I194" s="1404" t="s">
        <v>536</v>
      </c>
    </row>
    <row r="195" spans="1:10" ht="38.25" x14ac:dyDescent="0.2">
      <c r="C195" s="200"/>
      <c r="I195" s="1404" t="s">
        <v>1114</v>
      </c>
    </row>
    <row r="196" spans="1:10" ht="38.25" x14ac:dyDescent="0.2">
      <c r="C196" s="200"/>
      <c r="I196" s="845" t="s">
        <v>1111</v>
      </c>
    </row>
    <row r="197" spans="1:10" ht="38.25" x14ac:dyDescent="0.2">
      <c r="C197" s="200"/>
      <c r="I197" s="845" t="s">
        <v>1855</v>
      </c>
    </row>
    <row r="198" spans="1:10" ht="25.5" x14ac:dyDescent="0.2">
      <c r="C198" s="200"/>
      <c r="I198" s="846" t="s">
        <v>1112</v>
      </c>
    </row>
    <row r="199" spans="1:10" ht="51" x14ac:dyDescent="0.2">
      <c r="C199" s="200"/>
      <c r="I199" s="846" t="s">
        <v>1878</v>
      </c>
    </row>
    <row r="200" spans="1:10" ht="51" x14ac:dyDescent="0.2">
      <c r="C200" s="200"/>
      <c r="I200" s="846" t="s">
        <v>1879</v>
      </c>
    </row>
    <row r="201" spans="1:10" s="213" customFormat="1" ht="38.25" x14ac:dyDescent="0.2">
      <c r="A201" s="15"/>
      <c r="B201" s="15"/>
      <c r="D201" s="181"/>
      <c r="E201" s="181"/>
      <c r="F201" s="181"/>
      <c r="G201" s="251"/>
      <c r="H201" s="19"/>
      <c r="I201" s="846" t="s">
        <v>534</v>
      </c>
      <c r="J201" s="134"/>
    </row>
    <row r="202" spans="1:10" s="213" customFormat="1" ht="38.25" x14ac:dyDescent="0.2">
      <c r="A202" s="15"/>
      <c r="B202" s="15"/>
      <c r="D202" s="181"/>
      <c r="E202" s="181"/>
      <c r="F202" s="181"/>
      <c r="G202" s="251"/>
      <c r="H202" s="19"/>
      <c r="I202" s="846" t="s">
        <v>535</v>
      </c>
      <c r="J202" s="134"/>
    </row>
    <row r="203" spans="1:10" s="213" customFormat="1" ht="38.25" x14ac:dyDescent="0.2">
      <c r="A203" s="15"/>
      <c r="B203" s="15"/>
      <c r="D203" s="181"/>
      <c r="E203" s="181"/>
      <c r="F203" s="181"/>
      <c r="G203" s="251"/>
      <c r="H203" s="19"/>
      <c r="I203" s="845" t="s">
        <v>1113</v>
      </c>
      <c r="J203" s="134"/>
    </row>
    <row r="204" spans="1:10" s="213" customFormat="1" ht="38.25" x14ac:dyDescent="0.2">
      <c r="A204" s="15"/>
      <c r="B204" s="15"/>
      <c r="D204" s="181"/>
      <c r="E204" s="181"/>
      <c r="F204" s="181"/>
      <c r="G204" s="251"/>
      <c r="H204" s="19"/>
      <c r="I204" s="1426" t="s">
        <v>1880</v>
      </c>
      <c r="J204" s="134"/>
    </row>
    <row r="205" spans="1:10" s="213" customFormat="1" ht="38.25" x14ac:dyDescent="0.2">
      <c r="A205" s="15"/>
      <c r="B205" s="15"/>
      <c r="D205" s="181"/>
      <c r="E205" s="181"/>
      <c r="F205" s="181"/>
      <c r="G205" s="251"/>
      <c r="H205" s="19"/>
      <c r="I205" s="1426" t="s">
        <v>1881</v>
      </c>
      <c r="J205" s="134"/>
    </row>
    <row r="206" spans="1:10" s="213" customFormat="1" ht="25.5" x14ac:dyDescent="0.2">
      <c r="A206" s="15"/>
      <c r="B206" s="15"/>
      <c r="D206" s="181"/>
      <c r="E206" s="181"/>
      <c r="F206" s="181"/>
      <c r="G206" s="251"/>
      <c r="H206" s="19"/>
      <c r="I206" s="1426" t="s">
        <v>1882</v>
      </c>
      <c r="J206" s="134"/>
    </row>
    <row r="207" spans="1:10" s="213" customFormat="1" ht="38.25" x14ac:dyDescent="0.2">
      <c r="A207" s="15"/>
      <c r="B207" s="15"/>
      <c r="D207" s="181"/>
      <c r="E207" s="181"/>
      <c r="F207" s="181"/>
      <c r="G207" s="251"/>
      <c r="H207" s="19"/>
      <c r="I207" s="1426" t="s">
        <v>1883</v>
      </c>
      <c r="J207" s="134"/>
    </row>
    <row r="208" spans="1:10" s="213" customFormat="1" ht="39" thickBot="1" x14ac:dyDescent="0.25">
      <c r="A208" s="15"/>
      <c r="B208" s="15"/>
      <c r="D208" s="181"/>
      <c r="E208" s="181"/>
      <c r="F208" s="181"/>
      <c r="G208" s="251"/>
      <c r="H208" s="19"/>
      <c r="I208" s="572" t="s">
        <v>1884</v>
      </c>
      <c r="J208" s="134"/>
    </row>
    <row r="209" spans="1:8" x14ac:dyDescent="0.2">
      <c r="C209" s="200"/>
    </row>
    <row r="210" spans="1:8" x14ac:dyDescent="0.2">
      <c r="C210" s="200"/>
    </row>
    <row r="211" spans="1:8" x14ac:dyDescent="0.2">
      <c r="C211" s="200"/>
    </row>
    <row r="212" spans="1:8" x14ac:dyDescent="0.2">
      <c r="C212" s="200"/>
    </row>
    <row r="213" spans="1:8" x14ac:dyDescent="0.2">
      <c r="C213" s="200"/>
    </row>
    <row r="214" spans="1:8" x14ac:dyDescent="0.2">
      <c r="C214" s="200"/>
    </row>
    <row r="219" spans="1:8" x14ac:dyDescent="0.2">
      <c r="A219" s="200"/>
      <c r="B219" s="200"/>
      <c r="C219" s="200"/>
      <c r="D219" s="200"/>
      <c r="E219" s="200"/>
      <c r="F219" s="200"/>
      <c r="G219" s="200"/>
      <c r="H219" s="200"/>
    </row>
    <row r="220" spans="1:8" x14ac:dyDescent="0.2">
      <c r="A220" s="200"/>
      <c r="B220" s="200"/>
      <c r="C220" s="200"/>
      <c r="D220" s="200"/>
      <c r="E220" s="200"/>
      <c r="F220" s="200"/>
      <c r="G220" s="200"/>
      <c r="H220" s="200"/>
    </row>
    <row r="221" spans="1:8" x14ac:dyDescent="0.2">
      <c r="A221" s="200"/>
      <c r="B221" s="200"/>
      <c r="C221" s="200"/>
      <c r="D221" s="200"/>
      <c r="E221" s="200"/>
      <c r="F221" s="200"/>
      <c r="G221" s="200"/>
      <c r="H221" s="200"/>
    </row>
    <row r="222" spans="1:8" x14ac:dyDescent="0.2">
      <c r="A222" s="200"/>
      <c r="B222" s="200"/>
      <c r="C222" s="200"/>
      <c r="D222" s="200"/>
      <c r="E222" s="200"/>
      <c r="F222" s="200"/>
      <c r="G222" s="200"/>
      <c r="H222" s="200"/>
    </row>
    <row r="223" spans="1:8" x14ac:dyDescent="0.2">
      <c r="A223" s="200"/>
      <c r="B223" s="200"/>
      <c r="C223" s="200"/>
      <c r="D223" s="200"/>
      <c r="E223" s="200"/>
      <c r="F223" s="200"/>
      <c r="G223" s="200"/>
      <c r="H223" s="200"/>
    </row>
    <row r="224" spans="1:8" x14ac:dyDescent="0.2">
      <c r="A224" s="200"/>
      <c r="B224" s="200"/>
      <c r="C224" s="200"/>
      <c r="D224" s="200"/>
      <c r="E224" s="200"/>
      <c r="F224" s="200"/>
      <c r="G224" s="200"/>
      <c r="H224" s="200"/>
    </row>
    <row r="225" spans="1:8" x14ac:dyDescent="0.2">
      <c r="A225" s="200"/>
      <c r="B225" s="200"/>
      <c r="C225" s="200"/>
      <c r="D225" s="200"/>
      <c r="E225" s="200"/>
      <c r="F225" s="200"/>
      <c r="G225" s="200"/>
      <c r="H225" s="200"/>
    </row>
    <row r="226" spans="1:8" x14ac:dyDescent="0.2">
      <c r="A226" s="200"/>
      <c r="B226" s="200"/>
      <c r="C226" s="200"/>
      <c r="D226" s="200"/>
      <c r="E226" s="200"/>
      <c r="F226" s="200"/>
      <c r="G226" s="200"/>
      <c r="H226" s="200"/>
    </row>
  </sheetData>
  <sheetProtection password="C4B9" sheet="1" objects="1" scenarios="1"/>
  <sortState ref="C206:C227">
    <sortCondition ref="C227"/>
  </sortState>
  <customSheetViews>
    <customSheetView guid="{B8E02330-2419-4DE6-AD01-7ACC7A5D18DD}" scale="75" topLeftCell="A204">
      <selection activeCell="A2" sqref="A2:H226"/>
      <pageMargins left="0.75" right="0.75" top="1" bottom="1" header="0.5" footer="0.5"/>
      <pageSetup orientation="portrait" r:id="rId1"/>
      <headerFooter alignWithMargins="0"/>
    </customSheetView>
  </customSheetViews>
  <mergeCells count="98">
    <mergeCell ref="H153:H154"/>
    <mergeCell ref="I153:I154"/>
    <mergeCell ref="B116:B120"/>
    <mergeCell ref="A116:A120"/>
    <mergeCell ref="B121:B124"/>
    <mergeCell ref="A121:A124"/>
    <mergeCell ref="A125:A129"/>
    <mergeCell ref="A130:A135"/>
    <mergeCell ref="I143:I147"/>
    <mergeCell ref="B136:B142"/>
    <mergeCell ref="H143:H147"/>
    <mergeCell ref="I136:I142"/>
    <mergeCell ref="A136:A142"/>
    <mergeCell ref="A143:A147"/>
    <mergeCell ref="B143:B147"/>
    <mergeCell ref="B130:B135"/>
    <mergeCell ref="A22:A28"/>
    <mergeCell ref="A38:A41"/>
    <mergeCell ref="B47:B52"/>
    <mergeCell ref="A29:A37"/>
    <mergeCell ref="B29:B37"/>
    <mergeCell ref="B42:B46"/>
    <mergeCell ref="A47:A52"/>
    <mergeCell ref="A42:A46"/>
    <mergeCell ref="B125:B129"/>
    <mergeCell ref="A1:B1"/>
    <mergeCell ref="B53:B58"/>
    <mergeCell ref="A53:A58"/>
    <mergeCell ref="A67:A72"/>
    <mergeCell ref="A59:A65"/>
    <mergeCell ref="B67:B72"/>
    <mergeCell ref="A73:A78"/>
    <mergeCell ref="A79:A82"/>
    <mergeCell ref="B79:B82"/>
    <mergeCell ref="B73:B78"/>
    <mergeCell ref="B59:B65"/>
    <mergeCell ref="A110:A113"/>
    <mergeCell ref="B110:B113"/>
    <mergeCell ref="B97:B103"/>
    <mergeCell ref="B22:B28"/>
    <mergeCell ref="B15:B21"/>
    <mergeCell ref="H15:H21"/>
    <mergeCell ref="E1:I1"/>
    <mergeCell ref="H53:H58"/>
    <mergeCell ref="I15:I21"/>
    <mergeCell ref="B38:B41"/>
    <mergeCell ref="I22:I28"/>
    <mergeCell ref="I29:I37"/>
    <mergeCell ref="H47:H52"/>
    <mergeCell ref="I38:I41"/>
    <mergeCell ref="I73:I78"/>
    <mergeCell ref="H79:H82"/>
    <mergeCell ref="H22:H28"/>
    <mergeCell ref="H29:H37"/>
    <mergeCell ref="H38:H41"/>
    <mergeCell ref="I42:I46"/>
    <mergeCell ref="I47:I52"/>
    <mergeCell ref="I59:I65"/>
    <mergeCell ref="I67:I72"/>
    <mergeCell ref="I53:I58"/>
    <mergeCell ref="H83:H89"/>
    <mergeCell ref="H42:H46"/>
    <mergeCell ref="H130:H135"/>
    <mergeCell ref="H136:H142"/>
    <mergeCell ref="H59:H65"/>
    <mergeCell ref="H67:H72"/>
    <mergeCell ref="H73:H78"/>
    <mergeCell ref="H121:H124"/>
    <mergeCell ref="H125:H129"/>
    <mergeCell ref="H110:H113"/>
    <mergeCell ref="H116:H120"/>
    <mergeCell ref="H104:H109"/>
    <mergeCell ref="H90:H96"/>
    <mergeCell ref="H97:H103"/>
    <mergeCell ref="I121:I124"/>
    <mergeCell ref="I90:I96"/>
    <mergeCell ref="I110:I113"/>
    <mergeCell ref="I79:I82"/>
    <mergeCell ref="I97:I103"/>
    <mergeCell ref="I116:I120"/>
    <mergeCell ref="I104:I109"/>
    <mergeCell ref="I83:I89"/>
    <mergeCell ref="B153:B154"/>
    <mergeCell ref="A153:A154"/>
    <mergeCell ref="I125:I129"/>
    <mergeCell ref="A15:A21"/>
    <mergeCell ref="B149:B152"/>
    <mergeCell ref="A149:A152"/>
    <mergeCell ref="H149:H152"/>
    <mergeCell ref="I149:I152"/>
    <mergeCell ref="B104:B109"/>
    <mergeCell ref="A97:A103"/>
    <mergeCell ref="A83:A89"/>
    <mergeCell ref="B83:B89"/>
    <mergeCell ref="A104:A109"/>
    <mergeCell ref="B90:B96"/>
    <mergeCell ref="A90:A96"/>
    <mergeCell ref="I130:I135"/>
  </mergeCells>
  <phoneticPr fontId="12" type="noConversion"/>
  <conditionalFormatting sqref="D155">
    <cfRule type="cellIs" dxfId="3" priority="2" operator="greaterThan">
      <formula>0</formula>
    </cfRule>
  </conditionalFormatting>
  <pageMargins left="0.75" right="0.75" top="1" bottom="1" header="0.5" footer="0.5"/>
  <pageSetup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R267"/>
  <sheetViews>
    <sheetView zoomScaleNormal="100" workbookViewId="0">
      <selection activeCell="C7" sqref="C7"/>
    </sheetView>
  </sheetViews>
  <sheetFormatPr defaultColWidth="9.33203125" defaultRowHeight="12.75" x14ac:dyDescent="0.2"/>
  <cols>
    <col min="1" max="1" width="5.83203125" style="19" customWidth="1"/>
    <col min="2" max="2" width="18.83203125" style="6" customWidth="1"/>
    <col min="3" max="3" width="69.83203125" style="25" customWidth="1"/>
    <col min="4" max="6" width="6.83203125" style="577" customWidth="1"/>
    <col min="7" max="7" width="10.83203125" style="179" customWidth="1"/>
    <col min="8" max="8" width="14" style="115" customWidth="1"/>
    <col min="9" max="9" width="67.83203125" style="25" customWidth="1"/>
    <col min="10" max="10" width="6" style="574" customWidth="1"/>
    <col min="11" max="16384" width="9.33203125" style="5"/>
  </cols>
  <sheetData>
    <row r="1" spans="1:96" ht="66" customHeight="1" thickBot="1" x14ac:dyDescent="0.25">
      <c r="A1" s="1976" t="s">
        <v>2175</v>
      </c>
      <c r="B1" s="2228"/>
      <c r="C1" s="551" t="s">
        <v>525</v>
      </c>
      <c r="D1" s="72" t="s">
        <v>517</v>
      </c>
      <c r="E1" s="2134"/>
      <c r="F1" s="2135"/>
      <c r="G1" s="2135"/>
      <c r="H1" s="2135"/>
      <c r="I1" s="2136"/>
    </row>
    <row r="2" spans="1:96" s="1014" customFormat="1" ht="50.25" thickBot="1" x14ac:dyDescent="0.25">
      <c r="A2" s="1008" t="s">
        <v>78</v>
      </c>
      <c r="B2" s="1009" t="s">
        <v>701</v>
      </c>
      <c r="C2" s="1010" t="s">
        <v>866</v>
      </c>
      <c r="D2" s="1008"/>
      <c r="E2" s="1011"/>
      <c r="F2" s="1012"/>
      <c r="G2" s="1013" t="s">
        <v>710</v>
      </c>
      <c r="H2" s="1176" t="s">
        <v>2028</v>
      </c>
      <c r="I2" s="1009" t="s">
        <v>255</v>
      </c>
    </row>
    <row r="3" spans="1:96" s="1325" customFormat="1" ht="51.75" thickBot="1" x14ac:dyDescent="0.25">
      <c r="A3" s="1381" t="str">
        <f>OF!A3</f>
        <v>OF2</v>
      </c>
      <c r="B3" s="643" t="str">
        <f>OF!C3</f>
        <v>Key Wildlife Biodiversity Zone</v>
      </c>
      <c r="C3" s="447" t="s">
        <v>984</v>
      </c>
      <c r="D3" s="320"/>
      <c r="E3" s="321"/>
      <c r="F3" s="321"/>
      <c r="G3" s="502" t="str">
        <f>IF((BioDivZone=""),"",IF((BioDivZone=1),1,""))</f>
        <v/>
      </c>
      <c r="H3" s="542" t="s">
        <v>690</v>
      </c>
      <c r="I3" s="1373" t="s">
        <v>977</v>
      </c>
      <c r="J3" s="1600"/>
    </row>
    <row r="4" spans="1:96" s="1325" customFormat="1" ht="30" customHeight="1" thickBot="1" x14ac:dyDescent="0.25">
      <c r="A4" s="317" t="str">
        <f>OF!A5</f>
        <v>OF4</v>
      </c>
      <c r="B4" s="549" t="str">
        <f>OF!C5</f>
        <v>Wetland Class Richness Within 1km</v>
      </c>
      <c r="C4" s="479" t="s">
        <v>406</v>
      </c>
      <c r="D4" s="320"/>
      <c r="E4" s="321"/>
      <c r="F4" s="321"/>
      <c r="G4" s="502" t="str">
        <f>IF((ClassRich1k=""),"",ClassRich1k)</f>
        <v/>
      </c>
      <c r="H4" s="543" t="s">
        <v>806</v>
      </c>
      <c r="I4" s="840" t="s">
        <v>978</v>
      </c>
      <c r="J4" s="151"/>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c r="AO4" s="940"/>
      <c r="AP4" s="940"/>
      <c r="AQ4" s="940"/>
      <c r="AR4" s="940"/>
      <c r="AS4" s="940"/>
      <c r="AT4" s="940"/>
      <c r="AU4" s="940"/>
      <c r="AV4" s="940"/>
      <c r="AW4" s="940"/>
      <c r="AX4" s="940"/>
      <c r="AY4" s="940"/>
      <c r="AZ4" s="940"/>
      <c r="BA4" s="940"/>
      <c r="BB4" s="940"/>
      <c r="BC4" s="940"/>
      <c r="BD4" s="940"/>
      <c r="BE4" s="940"/>
      <c r="BF4" s="940"/>
      <c r="BG4" s="940"/>
      <c r="BH4" s="940"/>
      <c r="BI4" s="940"/>
      <c r="BJ4" s="940"/>
      <c r="BK4" s="940"/>
      <c r="BL4" s="940"/>
      <c r="BM4" s="940"/>
      <c r="BN4" s="5"/>
    </row>
    <row r="5" spans="1:96" s="1325" customFormat="1" ht="30" customHeight="1" thickBot="1" x14ac:dyDescent="0.25">
      <c r="A5" s="418" t="str">
        <f>OF!A6</f>
        <v>OF5</v>
      </c>
      <c r="B5" s="548" t="str">
        <f>OF!C6</f>
        <v>Wetland Class Richness Within Wetland</v>
      </c>
      <c r="C5" s="447" t="s">
        <v>406</v>
      </c>
      <c r="D5" s="324"/>
      <c r="E5" s="325"/>
      <c r="F5" s="325"/>
      <c r="G5" s="345" t="str">
        <f>IF((ClassRichIn=""),"",ClassRichIn)</f>
        <v/>
      </c>
      <c r="H5" s="542" t="s">
        <v>685</v>
      </c>
      <c r="I5" s="1412" t="s">
        <v>916</v>
      </c>
      <c r="J5" s="141"/>
    </row>
    <row r="6" spans="1:96" s="1325" customFormat="1" ht="45" customHeight="1" thickBot="1" x14ac:dyDescent="0.25">
      <c r="A6" s="317" t="str">
        <f>OF!A7</f>
        <v>OF6</v>
      </c>
      <c r="B6" s="549" t="str">
        <f>OF!C7</f>
        <v>Distance to Nearest Annual Cropland or Developed Land</v>
      </c>
      <c r="C6" s="479" t="s">
        <v>406</v>
      </c>
      <c r="D6" s="320"/>
      <c r="E6" s="321"/>
      <c r="F6" s="321"/>
      <c r="G6" s="343" t="str">
        <f>IF((Dist2DevCrop=""),"",Dist2DevCrop)</f>
        <v/>
      </c>
      <c r="H6" s="544" t="s">
        <v>802</v>
      </c>
      <c r="I6" s="810" t="s">
        <v>979</v>
      </c>
      <c r="J6" s="1600"/>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row>
    <row r="7" spans="1:96" s="1325" customFormat="1" ht="168" customHeight="1" thickBot="1" x14ac:dyDescent="0.25">
      <c r="A7" s="540" t="str">
        <f>OF!A8</f>
        <v>OF7</v>
      </c>
      <c r="B7" s="550" t="str">
        <f>OF!C8</f>
        <v>Distance to Nearest Road (from Wetland Edge)</v>
      </c>
      <c r="C7" s="534" t="s">
        <v>406</v>
      </c>
      <c r="D7" s="535"/>
      <c r="E7" s="536"/>
      <c r="F7" s="536"/>
      <c r="G7" s="537" t="str">
        <f>IF((Dist2Road=""),"",Dist2Road)</f>
        <v/>
      </c>
      <c r="H7" s="168" t="s">
        <v>812</v>
      </c>
      <c r="I7" s="1413" t="s">
        <v>1885</v>
      </c>
      <c r="J7" s="1600"/>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row>
    <row r="8" spans="1:96" s="1325" customFormat="1" ht="114" customHeight="1" thickBot="1" x14ac:dyDescent="0.25">
      <c r="A8" s="418" t="str">
        <f>OF!A9</f>
        <v>OF8</v>
      </c>
      <c r="B8" s="548" t="str">
        <f>OF!C9</f>
        <v>Distance to Nearest Well-settled Area</v>
      </c>
      <c r="C8" s="447" t="s">
        <v>406</v>
      </c>
      <c r="D8" s="324"/>
      <c r="E8" s="325"/>
      <c r="F8" s="325"/>
      <c r="G8" s="345" t="str">
        <f>IF((DistPop=""),"",DistPop)</f>
        <v/>
      </c>
      <c r="H8" s="542" t="s">
        <v>673</v>
      </c>
      <c r="I8" s="1412" t="s">
        <v>1886</v>
      </c>
      <c r="J8" s="1600"/>
    </row>
    <row r="9" spans="1:96" s="1325" customFormat="1" ht="39" thickBot="1" x14ac:dyDescent="0.25">
      <c r="A9" s="317" t="str">
        <f>OF!A16</f>
        <v>OF15</v>
      </c>
      <c r="B9" s="549" t="str">
        <f>OF!C16</f>
        <v>Growing Degree Days</v>
      </c>
      <c r="C9" s="479" t="s">
        <v>406</v>
      </c>
      <c r="D9" s="320"/>
      <c r="E9" s="321"/>
      <c r="F9" s="321"/>
      <c r="G9" s="330" t="str">
        <f>IF((GrowDD=""),"",GrowDD)</f>
        <v/>
      </c>
      <c r="H9" s="544" t="s">
        <v>698</v>
      </c>
      <c r="I9" s="810" t="s">
        <v>980</v>
      </c>
      <c r="J9" s="1600"/>
    </row>
    <row r="10" spans="1:96" s="1325" customFormat="1" ht="360" customHeight="1" thickBot="1" x14ac:dyDescent="0.25">
      <c r="A10" s="418" t="str">
        <f>OF!A22</f>
        <v>OF21</v>
      </c>
      <c r="B10" s="548" t="str">
        <f>OF!C22</f>
        <v>% Natural Cover Within 1km</v>
      </c>
      <c r="C10" s="447" t="s">
        <v>406</v>
      </c>
      <c r="D10" s="324"/>
      <c r="E10" s="325"/>
      <c r="F10" s="325"/>
      <c r="G10" s="531" t="str">
        <f>IF((NatCov1k=""),"",NatCov1k)</f>
        <v/>
      </c>
      <c r="H10" s="545" t="s">
        <v>687</v>
      </c>
      <c r="I10" s="1374" t="s">
        <v>1887</v>
      </c>
      <c r="J10" s="151"/>
      <c r="K10" s="940"/>
      <c r="L10" s="940"/>
      <c r="M10" s="940"/>
      <c r="N10" s="940"/>
      <c r="O10" s="940"/>
      <c r="P10" s="940"/>
      <c r="Q10" s="940"/>
      <c r="R10" s="940"/>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c r="BF10" s="940"/>
      <c r="BG10" s="940"/>
      <c r="BH10" s="940"/>
      <c r="BI10" s="940"/>
      <c r="BJ10" s="940"/>
      <c r="BK10" s="940"/>
      <c r="BL10" s="940"/>
      <c r="BM10" s="940"/>
      <c r="BN10" s="5"/>
    </row>
    <row r="11" spans="1:96" s="1325" customFormat="1" ht="45" customHeight="1" thickBot="1" x14ac:dyDescent="0.25">
      <c r="A11" s="317" t="str">
        <f>OF!A30</f>
        <v>OF29</v>
      </c>
      <c r="B11" s="1697" t="str">
        <f>OF!C30</f>
        <v>Sensitive Raptor Nesting Area</v>
      </c>
      <c r="C11" s="479" t="s">
        <v>896</v>
      </c>
      <c r="D11" s="1259"/>
      <c r="E11" s="1260"/>
      <c r="F11" s="1260"/>
      <c r="G11" s="809" t="str">
        <f>IF((RaptorNest=""),"",IF((RaptorNest=1),1, ""))</f>
        <v/>
      </c>
      <c r="H11" s="1698" t="s">
        <v>692</v>
      </c>
      <c r="I11" s="1699" t="s">
        <v>981</v>
      </c>
      <c r="J11" s="1600"/>
    </row>
    <row r="12" spans="1:96" s="1325" customFormat="1" ht="30" customHeight="1" thickBot="1" x14ac:dyDescent="0.25">
      <c r="A12" s="317" t="str">
        <f>OF!A32</f>
        <v>OF31</v>
      </c>
      <c r="B12" s="549" t="str">
        <f>OF!C32</f>
        <v>Road Density Within 1km Buffer</v>
      </c>
      <c r="C12" s="479"/>
      <c r="D12" s="320"/>
      <c r="E12" s="321"/>
      <c r="F12" s="321"/>
      <c r="G12" s="502" t="str">
        <f>IF((RdDens1k=""),"",RdDens1k)</f>
        <v/>
      </c>
      <c r="H12" s="546" t="s">
        <v>688</v>
      </c>
      <c r="I12" s="767" t="s">
        <v>2442</v>
      </c>
      <c r="J12" s="151"/>
      <c r="K12" s="940"/>
      <c r="L12" s="940"/>
      <c r="M12" s="940"/>
      <c r="N12" s="940"/>
      <c r="O12" s="940"/>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0"/>
      <c r="AQ12" s="940"/>
      <c r="AR12" s="940"/>
      <c r="AS12" s="940"/>
      <c r="AT12" s="940"/>
      <c r="AU12" s="940"/>
      <c r="AV12" s="940"/>
      <c r="AW12" s="940"/>
      <c r="AX12" s="940"/>
      <c r="AY12" s="940"/>
      <c r="AZ12" s="940"/>
      <c r="BA12" s="940"/>
      <c r="BB12" s="940"/>
      <c r="BC12" s="940"/>
      <c r="BD12" s="940"/>
      <c r="BE12" s="940"/>
      <c r="BF12" s="940"/>
      <c r="BG12" s="940"/>
      <c r="BH12" s="940"/>
      <c r="BI12" s="940"/>
      <c r="BJ12" s="940"/>
      <c r="BK12" s="940"/>
      <c r="BL12" s="940"/>
      <c r="BM12" s="940"/>
      <c r="BN12" s="5"/>
    </row>
    <row r="13" spans="1:96" ht="30" customHeight="1" thickBot="1" x14ac:dyDescent="0.25">
      <c r="A13" s="317" t="str">
        <f>OF!A34</f>
        <v>OF33</v>
      </c>
      <c r="B13" s="808" t="str">
        <f>OF!C34</f>
        <v>Riparian or Floodway Location</v>
      </c>
      <c r="C13" s="479" t="s">
        <v>897</v>
      </c>
      <c r="D13" s="764"/>
      <c r="E13" s="765"/>
      <c r="F13" s="765"/>
      <c r="G13" s="809" t="str">
        <f>IF((RipFloodpl=""),"",IF((RipFloodpl=1),1,""))</f>
        <v/>
      </c>
      <c r="H13" s="544" t="s">
        <v>697</v>
      </c>
      <c r="I13" s="810" t="s">
        <v>982</v>
      </c>
      <c r="J13" s="1600"/>
      <c r="K13" s="1325"/>
      <c r="L13" s="1325"/>
      <c r="M13" s="1325"/>
      <c r="N13" s="1325"/>
      <c r="O13" s="1325"/>
      <c r="P13" s="1325"/>
      <c r="Q13" s="1325"/>
      <c r="R13" s="1325"/>
      <c r="S13" s="1325"/>
      <c r="T13" s="1325"/>
      <c r="U13" s="1325"/>
      <c r="V13" s="1325"/>
      <c r="W13" s="1325"/>
      <c r="X13" s="1325"/>
      <c r="Y13" s="1325"/>
      <c r="Z13" s="1325"/>
      <c r="AA13" s="1325"/>
      <c r="AB13" s="1325"/>
      <c r="AC13" s="1325"/>
      <c r="AD13" s="1325"/>
      <c r="AE13" s="1325"/>
      <c r="AF13" s="1325"/>
      <c r="AG13" s="1325"/>
      <c r="AH13" s="1325"/>
      <c r="AI13" s="1325"/>
      <c r="AJ13" s="1325"/>
      <c r="AK13" s="1325"/>
      <c r="AL13" s="1325"/>
      <c r="AM13" s="1325"/>
      <c r="AN13" s="1325"/>
      <c r="AO13" s="1325"/>
      <c r="AP13" s="1325"/>
      <c r="AQ13" s="1325"/>
      <c r="AR13" s="1325"/>
      <c r="AS13" s="1325"/>
      <c r="AT13" s="1325"/>
      <c r="AU13" s="1325"/>
      <c r="AV13" s="1325"/>
      <c r="AW13" s="1325"/>
      <c r="AX13" s="1325"/>
      <c r="AY13" s="1325"/>
      <c r="AZ13" s="1325"/>
      <c r="BA13" s="1325"/>
      <c r="BB13" s="1325"/>
      <c r="BC13" s="1325"/>
      <c r="BD13" s="1325"/>
      <c r="BE13" s="1325"/>
      <c r="BF13" s="1325"/>
      <c r="BG13" s="1325"/>
      <c r="BH13" s="1325"/>
      <c r="BI13" s="1325"/>
      <c r="BJ13" s="1325"/>
      <c r="BK13" s="1325"/>
      <c r="BL13" s="1325"/>
      <c r="BM13" s="1325"/>
      <c r="BN13" s="1325"/>
      <c r="BO13" s="1325"/>
      <c r="BP13" s="1325"/>
      <c r="BQ13" s="1325"/>
      <c r="BR13" s="1325"/>
      <c r="BS13" s="1325"/>
      <c r="BT13" s="1325"/>
      <c r="BU13" s="1325"/>
      <c r="BV13" s="1325"/>
      <c r="BW13" s="1325"/>
      <c r="BX13" s="1325"/>
      <c r="BY13" s="1325"/>
      <c r="BZ13" s="1325"/>
      <c r="CA13" s="1325"/>
      <c r="CB13" s="1325"/>
      <c r="CC13" s="1325"/>
      <c r="CD13" s="1325"/>
      <c r="CE13" s="1325"/>
      <c r="CF13" s="1325"/>
      <c r="CG13" s="1325"/>
      <c r="CH13" s="1325"/>
      <c r="CI13" s="1325"/>
      <c r="CJ13" s="1325"/>
      <c r="CK13" s="1325"/>
      <c r="CL13" s="1325"/>
      <c r="CM13" s="1325"/>
      <c r="CN13" s="1325"/>
      <c r="CO13" s="1325"/>
      <c r="CP13" s="1325"/>
      <c r="CQ13" s="1325"/>
      <c r="CR13" s="1325"/>
    </row>
    <row r="14" spans="1:96" ht="45" customHeight="1" thickBot="1" x14ac:dyDescent="0.25">
      <c r="A14" s="418" t="str">
        <f>OF!A41</f>
        <v>OF40</v>
      </c>
      <c r="B14" s="548" t="str">
        <f>OF!C41</f>
        <v>Local Uniqueness of Wetland's Class</v>
      </c>
      <c r="C14" s="447" t="s">
        <v>406</v>
      </c>
      <c r="D14" s="324"/>
      <c r="E14" s="325"/>
      <c r="F14" s="325"/>
      <c r="G14" s="485" t="str">
        <f>IF((UniqClass=""),"",UniqClass)</f>
        <v/>
      </c>
      <c r="H14" s="545" t="s">
        <v>799</v>
      </c>
      <c r="I14" s="1412" t="s">
        <v>983</v>
      </c>
      <c r="J14" s="1600"/>
      <c r="K14" s="1325"/>
      <c r="L14" s="1325"/>
      <c r="M14" s="1325"/>
      <c r="N14" s="1325"/>
      <c r="O14" s="1325"/>
      <c r="P14" s="1325"/>
      <c r="Q14" s="1325"/>
      <c r="R14" s="1325"/>
      <c r="S14" s="1325"/>
      <c r="T14" s="1325"/>
      <c r="U14" s="1325"/>
      <c r="V14" s="1325"/>
      <c r="W14" s="1325"/>
      <c r="X14" s="1325"/>
      <c r="Y14" s="1325"/>
      <c r="Z14" s="1325"/>
      <c r="AA14" s="1325"/>
      <c r="AB14" s="1325"/>
      <c r="AC14" s="1325"/>
      <c r="AD14" s="1325"/>
      <c r="AE14" s="1325"/>
      <c r="AF14" s="1325"/>
      <c r="AG14" s="1325"/>
      <c r="AH14" s="1325"/>
      <c r="AI14" s="1325"/>
      <c r="AJ14" s="1325"/>
      <c r="AK14" s="1325"/>
      <c r="AL14" s="1325"/>
      <c r="AM14" s="1325"/>
      <c r="AN14" s="1325"/>
      <c r="AO14" s="1325"/>
      <c r="AP14" s="1325"/>
      <c r="AQ14" s="1325"/>
      <c r="AR14" s="1325"/>
      <c r="AS14" s="1325"/>
      <c r="AT14" s="1325"/>
      <c r="AU14" s="1325"/>
      <c r="AV14" s="1325"/>
      <c r="AW14" s="1325"/>
      <c r="AX14" s="1325"/>
      <c r="AY14" s="1325"/>
      <c r="AZ14" s="1325"/>
      <c r="BA14" s="1325"/>
      <c r="BB14" s="1325"/>
      <c r="BC14" s="1325"/>
      <c r="BD14" s="1325"/>
      <c r="BE14" s="1325"/>
      <c r="BF14" s="1325"/>
      <c r="BG14" s="1325"/>
      <c r="BH14" s="1325"/>
      <c r="BI14" s="1325"/>
      <c r="BJ14" s="1325"/>
      <c r="BK14" s="1325"/>
      <c r="BL14" s="1325"/>
      <c r="BM14" s="1325"/>
      <c r="BN14" s="1325"/>
      <c r="BO14" s="1325"/>
      <c r="BP14" s="1325"/>
      <c r="BQ14" s="1325"/>
      <c r="BR14" s="1325"/>
      <c r="BS14" s="1325"/>
      <c r="BT14" s="1325"/>
      <c r="BU14" s="1325"/>
      <c r="BV14" s="1325"/>
      <c r="BW14" s="1325"/>
      <c r="BX14" s="1325"/>
      <c r="BY14" s="1325"/>
      <c r="BZ14" s="1325"/>
      <c r="CA14" s="1325"/>
      <c r="CB14" s="1325"/>
      <c r="CC14" s="1325"/>
      <c r="CD14" s="1325"/>
      <c r="CE14" s="1325"/>
      <c r="CF14" s="1325"/>
      <c r="CG14" s="1325"/>
      <c r="CH14" s="1325"/>
      <c r="CI14" s="1325"/>
      <c r="CJ14" s="1325"/>
      <c r="CK14" s="1325"/>
      <c r="CL14" s="1325"/>
      <c r="CM14" s="1325"/>
      <c r="CN14" s="1325"/>
      <c r="CO14" s="1325"/>
      <c r="CP14" s="1325"/>
      <c r="CQ14" s="1325"/>
      <c r="CR14" s="1325"/>
    </row>
    <row r="15" spans="1:96" s="1325" customFormat="1" ht="69" customHeight="1" thickBot="1" x14ac:dyDescent="0.25">
      <c r="A15" s="317" t="str">
        <f>OF!A45</f>
        <v>OF44</v>
      </c>
      <c r="B15" s="549" t="str">
        <f>OF!C45</f>
        <v>Wetland Density Within 1km</v>
      </c>
      <c r="C15" s="479" t="s">
        <v>406</v>
      </c>
      <c r="D15" s="320"/>
      <c r="E15" s="321"/>
      <c r="F15" s="321"/>
      <c r="G15" s="538" t="str">
        <f>IF((WetDens1k=""),"",WetDens1k)</f>
        <v/>
      </c>
      <c r="H15" s="546" t="s">
        <v>661</v>
      </c>
      <c r="I15" s="840" t="s">
        <v>748</v>
      </c>
      <c r="J15" s="151"/>
      <c r="K15" s="940"/>
      <c r="L15" s="940"/>
      <c r="M15" s="940"/>
      <c r="N15" s="940"/>
      <c r="O15" s="940"/>
      <c r="P15" s="940"/>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940"/>
      <c r="BI15" s="940"/>
      <c r="BJ15" s="940"/>
      <c r="BK15" s="940"/>
      <c r="BL15" s="940"/>
      <c r="BM15" s="940"/>
      <c r="BN15" s="5"/>
    </row>
    <row r="16" spans="1:96" s="1325" customFormat="1" ht="114" customHeight="1" thickBot="1" x14ac:dyDescent="0.25">
      <c r="A16" s="317" t="str">
        <f>OF!A49</f>
        <v>OF48</v>
      </c>
      <c r="B16" s="549" t="str">
        <f>OF!C49</f>
        <v>Upland Edge Index</v>
      </c>
      <c r="C16" s="479" t="s">
        <v>406</v>
      </c>
      <c r="D16" s="320"/>
      <c r="E16" s="321"/>
      <c r="F16" s="321"/>
      <c r="G16" s="330" t="str">
        <f>IF((WetPerim2Area=""),"",WetPerim2Area)</f>
        <v/>
      </c>
      <c r="H16" s="544" t="s">
        <v>657</v>
      </c>
      <c r="I16" s="810" t="s">
        <v>278</v>
      </c>
      <c r="J16" s="1600"/>
    </row>
    <row r="17" spans="1:10" s="1325" customFormat="1" ht="90.75" customHeight="1" thickBot="1" x14ac:dyDescent="0.25">
      <c r="A17" s="418" t="str">
        <f>OF!A50</f>
        <v>OF49</v>
      </c>
      <c r="B17" s="1341" t="str">
        <f>OF!C50</f>
        <v>Wetland Vegetated Area (in hectares)</v>
      </c>
      <c r="C17" s="1371" t="s">
        <v>406</v>
      </c>
      <c r="D17" s="413"/>
      <c r="E17" s="325"/>
      <c r="F17" s="325"/>
      <c r="G17" s="345" t="str">
        <f>IF((WetVegArea=""),"",WetVegArea)</f>
        <v/>
      </c>
      <c r="H17" s="547" t="s">
        <v>656</v>
      </c>
      <c r="I17" s="1412" t="s">
        <v>1888</v>
      </c>
      <c r="J17" s="141"/>
    </row>
    <row r="18" spans="1:10" s="1325" customFormat="1" ht="30" customHeight="1" thickBot="1" x14ac:dyDescent="0.25">
      <c r="A18" s="317" t="str">
        <f>OF!A53</f>
        <v>OF52</v>
      </c>
      <c r="B18" s="317" t="str">
        <f>OF!B53</f>
        <v>CaribouRange</v>
      </c>
      <c r="C18" s="1343"/>
      <c r="D18" s="414"/>
      <c r="E18" s="765"/>
      <c r="F18" s="765"/>
      <c r="G18" s="809" t="str">
        <f>IF((CaribouRange=""),"",CaribouRange)</f>
        <v/>
      </c>
      <c r="H18" s="797" t="s">
        <v>2038</v>
      </c>
      <c r="I18" s="455" t="s">
        <v>2406</v>
      </c>
      <c r="J18" s="141"/>
    </row>
    <row r="19" spans="1:10" s="1325" customFormat="1" ht="30" customHeight="1" thickBot="1" x14ac:dyDescent="0.25">
      <c r="A19" s="317" t="str">
        <f>OF!A54</f>
        <v>OF53</v>
      </c>
      <c r="B19" s="400" t="str">
        <f>OF!B54</f>
        <v>CaribouFound</v>
      </c>
      <c r="C19" s="1371"/>
      <c r="D19" s="1342"/>
      <c r="E19" s="401"/>
      <c r="F19" s="401"/>
      <c r="G19" s="402" t="str">
        <f>IF((CaribouFound=""),"", CaribouFound)</f>
        <v/>
      </c>
      <c r="H19" s="1414" t="s">
        <v>2039</v>
      </c>
      <c r="I19" s="1195" t="s">
        <v>2221</v>
      </c>
      <c r="J19" s="141"/>
    </row>
    <row r="20" spans="1:10" s="1325" customFormat="1" ht="30" customHeight="1" thickBot="1" x14ac:dyDescent="0.25">
      <c r="A20" s="317" t="str">
        <f>OF!A55</f>
        <v>OF54</v>
      </c>
      <c r="B20" s="317" t="s">
        <v>2411</v>
      </c>
      <c r="C20" s="1343"/>
      <c r="D20" s="1342"/>
      <c r="E20" s="401"/>
      <c r="F20" s="401"/>
      <c r="G20" s="1348"/>
      <c r="H20" s="1414" t="s">
        <v>2410</v>
      </c>
      <c r="I20" s="1500" t="s">
        <v>2412</v>
      </c>
      <c r="J20" s="141"/>
    </row>
    <row r="21" spans="1:10" s="1347" customFormat="1" ht="93" customHeight="1" thickBot="1" x14ac:dyDescent="0.25">
      <c r="A21" s="1345" t="str">
        <f>OF!A57</f>
        <v>OF56</v>
      </c>
      <c r="B21" s="1349" t="s">
        <v>2027</v>
      </c>
      <c r="C21" s="1418"/>
      <c r="D21" s="1473"/>
      <c r="E21" s="1474"/>
      <c r="F21" s="1474"/>
      <c r="G21" s="1714" t="str">
        <f>IF((Linear=""),"",Linear)</f>
        <v/>
      </c>
      <c r="H21" s="1195" t="s">
        <v>2002</v>
      </c>
      <c r="I21" s="1501" t="s">
        <v>2413</v>
      </c>
      <c r="J21" s="1346"/>
    </row>
    <row r="22" spans="1:10" s="1007" customFormat="1" ht="66.75" thickBot="1" x14ac:dyDescent="0.35">
      <c r="A22" s="997" t="s">
        <v>78</v>
      </c>
      <c r="B22" s="1326" t="s">
        <v>709</v>
      </c>
      <c r="C22" s="1344" t="s">
        <v>708</v>
      </c>
      <c r="D22" s="1327" t="s">
        <v>33</v>
      </c>
      <c r="E22" s="1328" t="s">
        <v>1131</v>
      </c>
      <c r="F22" s="1329" t="s">
        <v>1130</v>
      </c>
      <c r="G22" s="1330" t="s">
        <v>710</v>
      </c>
      <c r="H22" s="1331" t="s">
        <v>2028</v>
      </c>
      <c r="I22" s="1005" t="s">
        <v>917</v>
      </c>
      <c r="J22" s="1006"/>
    </row>
    <row r="23" spans="1:10" s="940" customFormat="1" ht="18.75" customHeight="1" thickBot="1" x14ac:dyDescent="0.25">
      <c r="A23" s="1992" t="str">
        <f>F!A5</f>
        <v>F1</v>
      </c>
      <c r="B23" s="2073" t="str">
        <f>F!B5</f>
        <v>Wetland Type - Predominant</v>
      </c>
      <c r="C23" s="1235" t="str">
        <f>F!C5</f>
        <v>Follow the key below and mark the ONE row that best describes MOST of the AA:</v>
      </c>
      <c r="D23" s="774"/>
      <c r="E23" s="368"/>
      <c r="F23" s="368"/>
      <c r="G23" s="225">
        <f>MAX(F24:F29)/MAX(E24:E29)</f>
        <v>0</v>
      </c>
      <c r="H23" s="2027" t="s">
        <v>749</v>
      </c>
      <c r="I23" s="2120" t="s">
        <v>2443</v>
      </c>
      <c r="J23" s="573"/>
    </row>
    <row r="24" spans="1:10" s="940" customFormat="1" ht="38.25" x14ac:dyDescent="0.2">
      <c r="A24" s="2222"/>
      <c r="B24" s="2229"/>
      <c r="C24" s="768" t="str">
        <f>F!C6</f>
        <v>A. Moss and/or lichen cover more than 25% of the ground. Substrate is mostly undecomposed peat. Choose between A1 and A2 and mark the choice with a 1 in their adjoining column. Otherwise go to B below.</v>
      </c>
      <c r="D24" s="760"/>
      <c r="E24" s="760"/>
      <c r="F24" s="760"/>
      <c r="G24" s="760"/>
      <c r="H24" s="2028"/>
      <c r="I24" s="1987"/>
      <c r="J24" s="573"/>
    </row>
    <row r="25" spans="1:10" s="940" customFormat="1" ht="89.25" x14ac:dyDescent="0.2">
      <c r="A25" s="2222"/>
      <c r="B25" s="2229"/>
      <c r="C25" s="813" t="str">
        <f>F!C7</f>
        <v xml:space="preserve">   A1. Surface water is usually absent or, if present, pH is typically &lt;4.5 and conductivity is &lt;100 µS/cm (about 64 ppm TDS).  Often dominated by ericaceous shrubs (e.g., Labrador tea, lingonberry), sometimes with pitcher plant, sundew. Sedge cover usually sparse or absent. Trees, if present, are mainly limited to black spruce.  Wetland surface is never sloping, except sometimes from wetland center towards outer edges (convex), and surrounding landscape is flat.  Inlet and outlet channels are usually absent.</v>
      </c>
      <c r="D25" s="737">
        <f>F!D7</f>
        <v>0</v>
      </c>
      <c r="E25" s="1475">
        <v>0.01</v>
      </c>
      <c r="F25" s="722">
        <f t="shared" ref="F25:F29" si="0">D25*E25</f>
        <v>0</v>
      </c>
      <c r="G25" s="760"/>
      <c r="H25" s="2028"/>
      <c r="I25" s="1987"/>
      <c r="J25" s="573"/>
    </row>
    <row r="26" spans="1:10" s="940" customFormat="1" ht="63.75" x14ac:dyDescent="0.2">
      <c r="A26" s="2222"/>
      <c r="B26" s="2229"/>
      <c r="C26" s="813" t="str">
        <f>F!C8</f>
        <v xml:space="preserve">   A2. Not A1. Surface water, if present, has pH typically &gt;4.5 and conductivity is &gt;100 µS/cm.  Sedges and/or cottongrass often dominate the ground cover, while ericaceous shrubs and black spruce may also be present. Sometimes at toe of slope or edge of water body. An exit channel is usually present. Wetter than A1, often with many small persistent pools.</v>
      </c>
      <c r="D26" s="737">
        <f>F!D8</f>
        <v>0</v>
      </c>
      <c r="E26" s="1475">
        <v>0.51</v>
      </c>
      <c r="F26" s="722">
        <f t="shared" si="0"/>
        <v>0</v>
      </c>
      <c r="G26" s="760"/>
      <c r="H26" s="2028"/>
      <c r="I26" s="1987"/>
      <c r="J26" s="573"/>
    </row>
    <row r="27" spans="1:10" s="940" customFormat="1" ht="38.25" x14ac:dyDescent="0.2">
      <c r="A27" s="2222"/>
      <c r="B27" s="2229"/>
      <c r="C27" s="813" t="str">
        <f>F!C9</f>
        <v>B. Moss and/or lichen cover less than 25% of the ground. Soil is mineral or decomposed organic (muck). Choose between B1 and B2 and mark the choice with a 1 in their adjoining column:</v>
      </c>
      <c r="D27" s="760"/>
      <c r="E27" s="760"/>
      <c r="F27" s="760"/>
      <c r="G27" s="760"/>
      <c r="H27" s="2028"/>
      <c r="I27" s="1987"/>
      <c r="J27" s="573"/>
    </row>
    <row r="28" spans="1:10" s="940" customFormat="1" ht="51" x14ac:dyDescent="0.2">
      <c r="A28" s="2222"/>
      <c r="B28" s="2229"/>
      <c r="C28" s="813" t="str">
        <f>F!C10</f>
        <v xml:space="preserve">   B1. Trees and shrubs taller than 1 m comprise more than 25% of the vegetated cover. Surface water is mostly absent or inundates the vegetation only seasonally (e.g., snowmelt pools or floodplain).  Often in riparian settings, abandoned beaver flowages.</v>
      </c>
      <c r="D28" s="737">
        <f>F!D10</f>
        <v>0</v>
      </c>
      <c r="E28" s="1475">
        <v>1</v>
      </c>
      <c r="F28" s="722">
        <f t="shared" si="0"/>
        <v>0</v>
      </c>
      <c r="G28" s="760"/>
      <c r="H28" s="2028"/>
      <c r="I28" s="1987"/>
      <c r="J28" s="573"/>
    </row>
    <row r="29" spans="1:10" s="940" customFormat="1" ht="77.25" thickBot="1" x14ac:dyDescent="0.25">
      <c r="A29" s="2223"/>
      <c r="B29" s="2230"/>
      <c r="C29" s="340" t="str">
        <f>F!C11</f>
        <v xml:space="preserve">   B2. Not B1.  Tree &amp; tall shrubs taller than 1 m comprise less than 25% of the vegetated cover. Vegetation is mostly herbaceous, e.g., cattail, bulrush, burreed, pond lily, horsetail.  Often in depressions (potholes, created ponds), or along lakes and rivers, or where fill has blocked water movement causing prolonged flooding of wetlands formerly covered by moss.  Surface water often fluctuates widely among seasons and years.</v>
      </c>
      <c r="D29" s="81">
        <f>F!D11</f>
        <v>0</v>
      </c>
      <c r="E29" s="1476">
        <v>0.57999999999999996</v>
      </c>
      <c r="F29" s="244">
        <f t="shared" si="0"/>
        <v>0</v>
      </c>
      <c r="G29" s="237"/>
      <c r="H29" s="2029"/>
      <c r="I29" s="1988"/>
      <c r="J29" s="573"/>
    </row>
    <row r="30" spans="1:10" s="940" customFormat="1" ht="54.75" customHeight="1" thickBot="1" x14ac:dyDescent="0.25">
      <c r="A30" s="2035" t="str">
        <f>F!A12</f>
        <v>F2</v>
      </c>
      <c r="B30" s="2028" t="str">
        <f>F!B12</f>
        <v>Wetland Types - Subordinate</v>
      </c>
      <c r="C30" s="1380" t="str">
        <f>F!C12</f>
        <v>If the AA is smaller than 1 ha, mark all other types that occupy more than 1% of the vegetated AA.  If the AA is larger than 1 ha, mark all other types which adjoin directly (are contiguous with) the AA and occupy more than 1 ha, as visible from the AA or as interpreted from aerial imagery.  Do not mark again the type marked in F1.</v>
      </c>
      <c r="D30" s="801"/>
      <c r="E30" s="801"/>
      <c r="F30" s="206"/>
      <c r="G30" s="219">
        <f>IF((D35=1),"",(SUM(D31:D34))/3)</f>
        <v>0</v>
      </c>
      <c r="H30" s="2028" t="s">
        <v>813</v>
      </c>
      <c r="I30" s="1987" t="s">
        <v>2407</v>
      </c>
      <c r="J30" s="573"/>
    </row>
    <row r="31" spans="1:10" s="940" customFormat="1" ht="15" customHeight="1" x14ac:dyDescent="0.2">
      <c r="A31" s="2035"/>
      <c r="B31" s="2028"/>
      <c r="C31" s="327" t="str">
        <f>F!C13</f>
        <v>A1</v>
      </c>
      <c r="D31" s="359">
        <f>F!D13</f>
        <v>0</v>
      </c>
      <c r="E31" s="748"/>
      <c r="F31" s="748"/>
      <c r="G31" s="760"/>
      <c r="H31" s="2028"/>
      <c r="I31" s="1987"/>
      <c r="J31" s="573"/>
    </row>
    <row r="32" spans="1:10" s="940" customFormat="1" ht="15" customHeight="1" x14ac:dyDescent="0.2">
      <c r="A32" s="2035"/>
      <c r="B32" s="2028"/>
      <c r="C32" s="342" t="str">
        <f>F!C14</f>
        <v>A2</v>
      </c>
      <c r="D32" s="359">
        <f>F!D14</f>
        <v>0</v>
      </c>
      <c r="E32" s="748"/>
      <c r="F32" s="748"/>
      <c r="G32" s="760"/>
      <c r="H32" s="2028"/>
      <c r="I32" s="1987"/>
      <c r="J32" s="573"/>
    </row>
    <row r="33" spans="1:10" s="940" customFormat="1" ht="15" customHeight="1" x14ac:dyDescent="0.2">
      <c r="A33" s="2035"/>
      <c r="B33" s="2028"/>
      <c r="C33" s="342" t="str">
        <f>F!C15</f>
        <v>B1</v>
      </c>
      <c r="D33" s="359">
        <f>F!D15</f>
        <v>0</v>
      </c>
      <c r="E33" s="748"/>
      <c r="F33" s="748"/>
      <c r="G33" s="760"/>
      <c r="H33" s="2028"/>
      <c r="I33" s="1987"/>
      <c r="J33" s="573"/>
    </row>
    <row r="34" spans="1:10" s="940" customFormat="1" ht="15" customHeight="1" x14ac:dyDescent="0.2">
      <c r="A34" s="2035"/>
      <c r="B34" s="2028"/>
      <c r="C34" s="342" t="str">
        <f>F!C16</f>
        <v>B2</v>
      </c>
      <c r="D34" s="359">
        <f>F!D16</f>
        <v>0</v>
      </c>
      <c r="E34" s="748"/>
      <c r="F34" s="748"/>
      <c r="G34" s="760"/>
      <c r="H34" s="2028"/>
      <c r="I34" s="1987"/>
      <c r="J34" s="573"/>
    </row>
    <row r="35" spans="1:10" s="940" customFormat="1" ht="15" customHeight="1" thickBot="1" x14ac:dyDescent="0.25">
      <c r="A35" s="2037"/>
      <c r="B35" s="2029"/>
      <c r="C35" s="340" t="str">
        <f>F!C17</f>
        <v>no types other than the predominant one in F1 meet the stated conditions.</v>
      </c>
      <c r="D35" s="81">
        <f>F!D17</f>
        <v>0</v>
      </c>
      <c r="E35" s="1089"/>
      <c r="F35" s="890"/>
      <c r="G35" s="237"/>
      <c r="H35" s="2029"/>
      <c r="I35" s="1988"/>
      <c r="J35" s="573"/>
    </row>
    <row r="36" spans="1:10" ht="45" customHeight="1" thickBot="1" x14ac:dyDescent="0.25">
      <c r="A36" s="2231" t="str">
        <f>F!A18</f>
        <v>F3</v>
      </c>
      <c r="B36" s="2148" t="str">
        <f>F!B18</f>
        <v>Woody Cover by Height</v>
      </c>
      <c r="C36" s="77" t="str">
        <f>F!C18</f>
        <v>Following EACH row below, indicate with a number code the percentage of the of the living vegetation in the AA occupied by that feature (5 if &gt;75%,   4 if 50-75%,   3 if 25-50%,   2 if 5-25%,   1 if &lt;5%, 0 if none).  If the AA has no trees or shrubs, SKIP to F8.</v>
      </c>
      <c r="D36" s="238"/>
      <c r="E36" s="239"/>
      <c r="F36" s="239"/>
      <c r="G36" s="358" t="str">
        <f>IF((SUM(D37:D42)=0),"",COUNTIF(D37:D42,"&gt;1")/6)</f>
        <v/>
      </c>
      <c r="H36" s="2027" t="s">
        <v>145</v>
      </c>
      <c r="I36" s="1987" t="s">
        <v>2033</v>
      </c>
    </row>
    <row r="37" spans="1:10" ht="15" customHeight="1" x14ac:dyDescent="0.2">
      <c r="A37" s="2231"/>
      <c r="B37" s="2148"/>
      <c r="C37" s="327" t="str">
        <f>F!C19</f>
        <v>coniferous trees (including tamarack) taller than 3 m.</v>
      </c>
      <c r="D37" s="1477">
        <f>F!D19</f>
        <v>0</v>
      </c>
      <c r="E37" s="1478"/>
      <c r="F37" s="241"/>
      <c r="G37" s="775"/>
      <c r="H37" s="2028"/>
      <c r="I37" s="1987"/>
    </row>
    <row r="38" spans="1:10" ht="15" customHeight="1" x14ac:dyDescent="0.2">
      <c r="A38" s="2231"/>
      <c r="B38" s="2148"/>
      <c r="C38" s="327" t="str">
        <f>F!C20</f>
        <v>deciduous trees taller than 3 m.</v>
      </c>
      <c r="D38" s="1477">
        <f>F!D20</f>
        <v>0</v>
      </c>
      <c r="E38" s="1478"/>
      <c r="F38" s="241"/>
      <c r="G38" s="775"/>
      <c r="H38" s="2028"/>
      <c r="I38" s="1987"/>
    </row>
    <row r="39" spans="1:10" ht="25.5" x14ac:dyDescent="0.2">
      <c r="A39" s="2231"/>
      <c r="B39" s="2148"/>
      <c r="C39" s="327" t="str">
        <f>F!C21</f>
        <v>coniferous or ericaceous shrubs or trees 1-3 m tall not directly below the canopy of trees.</v>
      </c>
      <c r="D39" s="1477">
        <f>F!D21</f>
        <v>0</v>
      </c>
      <c r="E39" s="1478"/>
      <c r="F39" s="241"/>
      <c r="G39" s="775"/>
      <c r="H39" s="2028"/>
      <c r="I39" s="1987"/>
    </row>
    <row r="40" spans="1:10" ht="27" customHeight="1" x14ac:dyDescent="0.2">
      <c r="A40" s="2231"/>
      <c r="B40" s="2148"/>
      <c r="C40" s="327" t="str">
        <f>F!C22</f>
        <v>deciduous shrubs or trees 1-3 m tall not directly below the canopy of trees &gt;3 m (e.g., deciduous saplings).</v>
      </c>
      <c r="D40" s="1477">
        <f>F!D22</f>
        <v>0</v>
      </c>
      <c r="E40" s="722"/>
      <c r="F40" s="722"/>
      <c r="G40" s="775"/>
      <c r="H40" s="2028"/>
      <c r="I40" s="1987"/>
    </row>
    <row r="41" spans="1:10" ht="25.5" x14ac:dyDescent="0.2">
      <c r="A41" s="2231"/>
      <c r="B41" s="2148"/>
      <c r="C41" s="327" t="str">
        <f>F!C23</f>
        <v>coniferous or ericaceous shrubs or trees &lt;1 m tall not directly below the canopy of taller vegetation.</v>
      </c>
      <c r="D41" s="1477">
        <f>F!D23</f>
        <v>0</v>
      </c>
      <c r="E41" s="1478"/>
      <c r="F41" s="241"/>
      <c r="G41" s="775"/>
      <c r="H41" s="2028"/>
      <c r="I41" s="1987"/>
    </row>
    <row r="42" spans="1:10" ht="15" customHeight="1" thickBot="1" x14ac:dyDescent="0.25">
      <c r="A42" s="2231"/>
      <c r="B42" s="2148"/>
      <c r="C42" s="327" t="str">
        <f>F!C24</f>
        <v>deciduous shrubs or trees &lt;1 m tall (e.g., deciduous seedlings).</v>
      </c>
      <c r="D42" s="1477">
        <f>F!D24</f>
        <v>0</v>
      </c>
      <c r="E42" s="380"/>
      <c r="F42" s="380"/>
      <c r="G42" s="721"/>
      <c r="H42" s="2029"/>
      <c r="I42" s="1987"/>
    </row>
    <row r="43" spans="1:10" ht="39" thickBot="1" x14ac:dyDescent="0.25">
      <c r="A43" s="1992" t="str">
        <f>F!A25</f>
        <v>F4</v>
      </c>
      <c r="B43" s="2073" t="str">
        <f>F!B25</f>
        <v>Woody Diameter Classes</v>
      </c>
      <c r="C43" s="421" t="str">
        <f>F!C25</f>
        <v>Mark all the diameter classes of woody plants within the AA, but only IF they comprise &gt;5% of the woody canopy or subcanopy within the AA.  Do not count trees that adjoin but are not within the AA.</v>
      </c>
      <c r="D43" s="581"/>
      <c r="E43" s="376"/>
      <c r="F43" s="262"/>
      <c r="G43" s="225" t="str">
        <f>IF((SUM(F!D19:D24)=0),"",IF((SUM(F!D19:D20)=0),"",((SUM(D44:D51)/8+ MAX(F44:F51)/MAX(E44:E51))/2)))</f>
        <v/>
      </c>
      <c r="H43" s="2027" t="s">
        <v>560</v>
      </c>
      <c r="I43" s="2120" t="s">
        <v>1256</v>
      </c>
    </row>
    <row r="44" spans="1:10" ht="15" customHeight="1" x14ac:dyDescent="0.2">
      <c r="A44" s="2222"/>
      <c r="B44" s="2224"/>
      <c r="C44" s="406" t="str">
        <f>F!C26</f>
        <v>coniferous, 1-9 cm diameter and &gt;1 m tall.</v>
      </c>
      <c r="D44" s="442">
        <f>F!D26</f>
        <v>0</v>
      </c>
      <c r="E44" s="377">
        <v>1</v>
      </c>
      <c r="F44" s="377">
        <f t="shared" ref="F44:F51" si="1">D44*E44</f>
        <v>0</v>
      </c>
      <c r="G44" s="202"/>
      <c r="H44" s="2028"/>
      <c r="I44" s="1987"/>
    </row>
    <row r="45" spans="1:10" ht="15" customHeight="1" x14ac:dyDescent="0.2">
      <c r="A45" s="2222"/>
      <c r="B45" s="2224"/>
      <c r="C45" s="339" t="str">
        <f>F!C27</f>
        <v>broad-leaved deciduous 1-9 cm diameter and &gt;1 m tall.</v>
      </c>
      <c r="D45" s="356">
        <f>F!D27</f>
        <v>0</v>
      </c>
      <c r="E45" s="377">
        <v>3</v>
      </c>
      <c r="F45" s="377">
        <f t="shared" si="1"/>
        <v>0</v>
      </c>
      <c r="G45" s="775"/>
      <c r="H45" s="2028"/>
      <c r="I45" s="1987"/>
    </row>
    <row r="46" spans="1:10" ht="15" customHeight="1" x14ac:dyDescent="0.2">
      <c r="A46" s="2222"/>
      <c r="B46" s="2224"/>
      <c r="C46" s="339" t="str">
        <f>F!C28</f>
        <v>coniferous, 10-19 cm diameter.</v>
      </c>
      <c r="D46" s="356">
        <f>F!D28</f>
        <v>0</v>
      </c>
      <c r="E46" s="377">
        <v>2</v>
      </c>
      <c r="F46" s="377">
        <f t="shared" si="1"/>
        <v>0</v>
      </c>
      <c r="G46" s="775"/>
      <c r="H46" s="2028"/>
      <c r="I46" s="1987"/>
    </row>
    <row r="47" spans="1:10" ht="15" customHeight="1" x14ac:dyDescent="0.2">
      <c r="A47" s="2222"/>
      <c r="B47" s="2224"/>
      <c r="C47" s="339" t="str">
        <f>F!C29</f>
        <v>broad-leaved deciduous 10-19 cm diameter.</v>
      </c>
      <c r="D47" s="356">
        <f>F!D29</f>
        <v>0</v>
      </c>
      <c r="E47" s="377">
        <v>4</v>
      </c>
      <c r="F47" s="377">
        <f t="shared" si="1"/>
        <v>0</v>
      </c>
      <c r="G47" s="775"/>
      <c r="H47" s="2028"/>
      <c r="I47" s="1987"/>
    </row>
    <row r="48" spans="1:10" ht="15" customHeight="1" x14ac:dyDescent="0.2">
      <c r="A48" s="2222"/>
      <c r="B48" s="2224"/>
      <c r="C48" s="339" t="str">
        <f>F!C30</f>
        <v>coniferous, 20-40 cm diameter.</v>
      </c>
      <c r="D48" s="356">
        <f>F!D30</f>
        <v>0</v>
      </c>
      <c r="E48" s="377">
        <v>3</v>
      </c>
      <c r="F48" s="377">
        <f t="shared" si="1"/>
        <v>0</v>
      </c>
      <c r="G48" s="775"/>
      <c r="H48" s="2028"/>
      <c r="I48" s="1987"/>
    </row>
    <row r="49" spans="1:9" ht="15" customHeight="1" x14ac:dyDescent="0.2">
      <c r="A49" s="2222"/>
      <c r="B49" s="2224"/>
      <c r="C49" s="339" t="str">
        <f>F!C31</f>
        <v>broad-leaved deciduous 20-40 cm diameter.</v>
      </c>
      <c r="D49" s="356">
        <f>F!D31</f>
        <v>0</v>
      </c>
      <c r="E49" s="377">
        <v>6</v>
      </c>
      <c r="F49" s="377">
        <f t="shared" si="1"/>
        <v>0</v>
      </c>
      <c r="G49" s="775"/>
      <c r="H49" s="2028"/>
      <c r="I49" s="1987"/>
    </row>
    <row r="50" spans="1:9" ht="15" customHeight="1" x14ac:dyDescent="0.2">
      <c r="A50" s="2222"/>
      <c r="B50" s="2224"/>
      <c r="C50" s="339" t="str">
        <f>F!C32</f>
        <v>coniferous, &gt;40 cm diameter.</v>
      </c>
      <c r="D50" s="356">
        <f>F!D32</f>
        <v>0</v>
      </c>
      <c r="E50" s="377">
        <v>5</v>
      </c>
      <c r="F50" s="377">
        <f t="shared" si="1"/>
        <v>0</v>
      </c>
      <c r="G50" s="775"/>
      <c r="H50" s="2028"/>
      <c r="I50" s="1987"/>
    </row>
    <row r="51" spans="1:9" ht="15" customHeight="1" thickBot="1" x14ac:dyDescent="0.25">
      <c r="A51" s="2222"/>
      <c r="B51" s="2224"/>
      <c r="C51" s="854" t="str">
        <f>F!C33</f>
        <v>broad-leaved deciduous &gt;40 cm diameter.</v>
      </c>
      <c r="D51" s="356">
        <f>F!D33</f>
        <v>0</v>
      </c>
      <c r="E51" s="380">
        <v>8</v>
      </c>
      <c r="F51" s="380">
        <f t="shared" si="1"/>
        <v>0</v>
      </c>
      <c r="G51" s="721"/>
      <c r="H51" s="2028"/>
      <c r="I51" s="1987"/>
    </row>
    <row r="52" spans="1:9" ht="21" customHeight="1" thickBot="1" x14ac:dyDescent="0.25">
      <c r="A52" s="1992" t="str">
        <f>F!A34</f>
        <v>F5</v>
      </c>
      <c r="B52" s="2073" t="str">
        <f>F!B34</f>
        <v>Interspersion of Tall and Short Vegetation</v>
      </c>
      <c r="C52" s="421" t="str">
        <f>F!C34</f>
        <v>Follow the key below and mark the ONE row that best describes MOST of the AA:</v>
      </c>
      <c r="D52" s="581"/>
      <c r="E52" s="376"/>
      <c r="F52" s="262"/>
      <c r="G52" s="225">
        <f>MAX(F53:F56)/MAX(E53:E56)</f>
        <v>0</v>
      </c>
      <c r="H52" s="2027" t="s">
        <v>804</v>
      </c>
      <c r="I52" s="2120" t="s">
        <v>625</v>
      </c>
    </row>
    <row r="53" spans="1:9" ht="51" x14ac:dyDescent="0.2">
      <c r="A53" s="2222"/>
      <c r="B53" s="2224"/>
      <c r="C53" s="406" t="str">
        <f>F!C35</f>
        <v>A. Neither the vegetation taller than 1m nor the vegetation shorter than that comprise &gt;70% of the vegetated part of the AA. They each comprise 30-70%.  If false, go to B below.  Otherwise choose between A1 and A2 and mark the choice with a 1 in the adjoining column:</v>
      </c>
      <c r="D53" s="442">
        <f>F!D35</f>
        <v>0</v>
      </c>
      <c r="E53" s="239">
        <v>3</v>
      </c>
      <c r="F53" s="377">
        <f>D53*E53</f>
        <v>0</v>
      </c>
      <c r="G53" s="202"/>
      <c r="H53" s="2028"/>
      <c r="I53" s="1987"/>
    </row>
    <row r="54" spans="1:9" ht="42" customHeight="1" x14ac:dyDescent="0.2">
      <c r="A54" s="2222"/>
      <c r="B54" s="2224"/>
      <c r="C54" s="339" t="str">
        <f>F!C38</f>
        <v>B. Either the vegetation taller than 1m or the vegetation shorter than 1m comprise &gt;70% of the vegetated part of the AA.  One size class might even be totally absent.  Choose between B1 and B2 and mark the choice with a 1 in the adjoining column:</v>
      </c>
      <c r="D54" s="356">
        <f>F!D38</f>
        <v>0</v>
      </c>
      <c r="E54" s="377">
        <v>2</v>
      </c>
      <c r="F54" s="377">
        <f>D54*E54</f>
        <v>0</v>
      </c>
      <c r="G54" s="202"/>
      <c r="H54" s="2028"/>
      <c r="I54" s="1987"/>
    </row>
    <row r="55" spans="1:9" ht="25.5" x14ac:dyDescent="0.2">
      <c r="A55" s="2222"/>
      <c r="B55" s="2224"/>
      <c r="C55" s="339" t="str">
        <f>F!C39</f>
        <v xml:space="preserve">   B1. The less prevalent height class is mostly scattered and intermixed within the prevalent one.</v>
      </c>
      <c r="D55" s="356">
        <f>F!D39</f>
        <v>0</v>
      </c>
      <c r="E55" s="377">
        <v>1</v>
      </c>
      <c r="F55" s="377">
        <f>D55*E55</f>
        <v>0</v>
      </c>
      <c r="G55" s="775"/>
      <c r="H55" s="2028"/>
      <c r="I55" s="1987"/>
    </row>
    <row r="56" spans="1:9" ht="29.25" customHeight="1" thickBot="1" x14ac:dyDescent="0.25">
      <c r="A56" s="2223"/>
      <c r="B56" s="2225"/>
      <c r="C56" s="340" t="str">
        <f>F!C40</f>
        <v xml:space="preserve">   B2. Not B1.  The less prevalent height class is mostly located apart from the prevalent one, in separate zones or clumps, or is completely absent</v>
      </c>
      <c r="D56" s="81">
        <f>F!D40</f>
        <v>0</v>
      </c>
      <c r="E56" s="244">
        <v>0</v>
      </c>
      <c r="F56" s="244">
        <f>D56*E56</f>
        <v>0</v>
      </c>
      <c r="G56" s="258"/>
      <c r="H56" s="2029"/>
      <c r="I56" s="1988"/>
    </row>
    <row r="57" spans="1:9" ht="45" customHeight="1" thickBot="1" x14ac:dyDescent="0.25">
      <c r="A57" s="2075" t="str">
        <f>F!A41</f>
        <v>F6</v>
      </c>
      <c r="B57" s="2053" t="str">
        <f>F!B41</f>
        <v>Downed Wood</v>
      </c>
      <c r="C57" s="1399" t="str">
        <f>F!C41</f>
        <v>If trees taller than 3 m comprise &lt;5% of the vegetative cover, SKIP to F10 (Sphagnum Moss Extent). Otherwise, answer this: The number of downed wood pieces longer than 2 m and with diameter &gt;5 cm, and not persistently submerged, is:</v>
      </c>
      <c r="D57" s="238"/>
      <c r="E57" s="239"/>
      <c r="F57" s="259"/>
      <c r="G57" s="219" t="str">
        <f>IF((SUM(F!D19:D24)=0),"",IF((SUM(F!D19:D20)=0),"", MAX(F58:F59)))</f>
        <v/>
      </c>
      <c r="H57" s="2028" t="s">
        <v>146</v>
      </c>
      <c r="I57" s="1987" t="s">
        <v>1202</v>
      </c>
    </row>
    <row r="58" spans="1:9" ht="15" customHeight="1" x14ac:dyDescent="0.2">
      <c r="A58" s="2226"/>
      <c r="B58" s="2224"/>
      <c r="C58" s="406" t="str">
        <f>F!C42</f>
        <v>Several (&gt;5 if AA is &gt;5 hectares, less for smaller AAs).</v>
      </c>
      <c r="D58" s="442">
        <f>F!D42</f>
        <v>0</v>
      </c>
      <c r="E58" s="241">
        <v>1</v>
      </c>
      <c r="F58" s="241">
        <f>D58*E58</f>
        <v>0</v>
      </c>
      <c r="G58" s="202"/>
      <c r="H58" s="2028"/>
      <c r="I58" s="1987"/>
    </row>
    <row r="59" spans="1:9" ht="17.25" customHeight="1" thickBot="1" x14ac:dyDescent="0.25">
      <c r="A59" s="2226"/>
      <c r="B59" s="2224"/>
      <c r="C59" s="854" t="str">
        <f>F!C43</f>
        <v>Few or none that meet these criteria.</v>
      </c>
      <c r="D59" s="356">
        <f>F!D43</f>
        <v>0</v>
      </c>
      <c r="E59" s="380">
        <v>0</v>
      </c>
      <c r="F59" s="380">
        <f>D59*E59</f>
        <v>0</v>
      </c>
      <c r="G59" s="721"/>
      <c r="H59" s="2028"/>
      <c r="I59" s="1987"/>
    </row>
    <row r="60" spans="1:9" ht="45" customHeight="1" thickBot="1" x14ac:dyDescent="0.25">
      <c r="A60" s="1992" t="str">
        <f>F!A44</f>
        <v>F7</v>
      </c>
      <c r="B60" s="2073" t="str">
        <f>F!B44</f>
        <v xml:space="preserve">Dominance of Most Abundant Shrub Species </v>
      </c>
      <c r="C60" s="421" t="str">
        <f>F!C44</f>
        <v>If shrubs shorter than 3 m comprise &lt;5% of the vegetative cover, proceed to next question. Otherwise, determine which two native shrub species (&lt;3 m tall) comprise the greatest portion of the native shrub cover. Then choose one of the following:</v>
      </c>
      <c r="D60" s="777"/>
      <c r="E60" s="376"/>
      <c r="F60" s="262"/>
      <c r="G60" s="225" t="str">
        <f>IF((SUM(D39:D42)=0),"",MAX(F61:F62)/MAX(E61:E62))</f>
        <v/>
      </c>
      <c r="H60" s="2027" t="s">
        <v>155</v>
      </c>
      <c r="I60" s="2120" t="s">
        <v>1203</v>
      </c>
    </row>
    <row r="61" spans="1:9" ht="15" customHeight="1" x14ac:dyDescent="0.2">
      <c r="A61" s="1991"/>
      <c r="B61" s="2224"/>
      <c r="C61" s="1479" t="str">
        <f>F!C45</f>
        <v>those species together comprise &gt; 50% of the areal cover of native shrub species.</v>
      </c>
      <c r="D61" s="737">
        <f>F!D45</f>
        <v>0</v>
      </c>
      <c r="E61" s="722">
        <v>1</v>
      </c>
      <c r="F61" s="722">
        <f>D61*E61</f>
        <v>0</v>
      </c>
      <c r="G61" s="202"/>
      <c r="H61" s="2028"/>
      <c r="I61" s="1987"/>
    </row>
    <row r="62" spans="1:9" ht="26.25" thickBot="1" x14ac:dyDescent="0.25">
      <c r="A62" s="1993"/>
      <c r="B62" s="2225"/>
      <c r="C62" s="1480" t="str">
        <f>F!C46</f>
        <v>those species together do not comprise &gt; 50% of the areal cover of native shrub species.</v>
      </c>
      <c r="D62" s="1481">
        <f>F!D46</f>
        <v>0</v>
      </c>
      <c r="E62" s="244">
        <v>2</v>
      </c>
      <c r="F62" s="244">
        <f>D62*E62</f>
        <v>0</v>
      </c>
      <c r="G62" s="258"/>
      <c r="H62" s="2029"/>
      <c r="I62" s="1988"/>
    </row>
    <row r="63" spans="1:9" ht="30" customHeight="1" thickBot="1" x14ac:dyDescent="0.25">
      <c r="A63" s="2036" t="str">
        <f>F!A53</f>
        <v>F9</v>
      </c>
      <c r="B63" s="2027" t="str">
        <f>F!B53</f>
        <v>Large Snags (Dead Standing Trees)</v>
      </c>
      <c r="C63" s="769" t="str">
        <f>F!C53</f>
        <v>The number of large snags (diameter &gt;20 cm) in the AA plus adjoining upland area within 10 m of the wetland edge is:</v>
      </c>
      <c r="D63" s="282"/>
      <c r="E63" s="376"/>
      <c r="F63" s="262"/>
      <c r="G63" s="225" t="str">
        <f>IF((SUM(F!D19:D24)=0),"",IF((SUM(F!D19:D20)=0),"", MAX(F64:F66)/MAX(E64:E66)))</f>
        <v/>
      </c>
      <c r="H63" s="2027" t="s">
        <v>760</v>
      </c>
      <c r="I63" s="2117" t="s">
        <v>1762</v>
      </c>
    </row>
    <row r="64" spans="1:9" ht="16.149999999999999" customHeight="1" x14ac:dyDescent="0.2">
      <c r="A64" s="2222"/>
      <c r="B64" s="2224"/>
      <c r="C64" s="768" t="str">
        <f>F!C54</f>
        <v>Few or none that meet these criteria.</v>
      </c>
      <c r="D64" s="737">
        <f>F!D54</f>
        <v>0</v>
      </c>
      <c r="E64" s="734">
        <v>0</v>
      </c>
      <c r="F64" s="722">
        <f>D64*E64</f>
        <v>0</v>
      </c>
      <c r="G64" s="202"/>
      <c r="H64" s="2028"/>
      <c r="I64" s="2118"/>
    </row>
    <row r="65" spans="1:9" ht="25.5" x14ac:dyDescent="0.2">
      <c r="A65" s="2222"/>
      <c r="B65" s="2224"/>
      <c r="C65" s="813" t="str">
        <f>F!C55</f>
        <v>Several ( &gt;5/hectare) and a pond, lake, or slow-flowing water wider than 10 m is within 1 km.</v>
      </c>
      <c r="D65" s="737">
        <f>F!D55</f>
        <v>0</v>
      </c>
      <c r="E65" s="734">
        <v>2</v>
      </c>
      <c r="F65" s="722">
        <f>D65*E65</f>
        <v>0</v>
      </c>
      <c r="G65" s="202"/>
      <c r="H65" s="2028"/>
      <c r="I65" s="2118"/>
    </row>
    <row r="66" spans="1:9" ht="15" customHeight="1" thickBot="1" x14ac:dyDescent="0.25">
      <c r="A66" s="2223"/>
      <c r="B66" s="2225"/>
      <c r="C66" s="340" t="str">
        <f>F!C56</f>
        <v>Several ( &gt;5/hectare) but above not true.</v>
      </c>
      <c r="D66" s="81">
        <f>F!D56</f>
        <v>0</v>
      </c>
      <c r="E66" s="272">
        <v>1</v>
      </c>
      <c r="F66" s="244">
        <f>D66*E66</f>
        <v>0</v>
      </c>
      <c r="G66" s="258"/>
      <c r="H66" s="2029"/>
      <c r="I66" s="2119"/>
    </row>
    <row r="67" spans="1:9" ht="21" customHeight="1" thickBot="1" x14ac:dyDescent="0.25">
      <c r="A67" s="1991" t="str">
        <f>F!A73</f>
        <v>F13</v>
      </c>
      <c r="B67" s="2053" t="str">
        <f>F!B73</f>
        <v>Upland Inclusions</v>
      </c>
      <c r="C67" s="1399" t="str">
        <f>F!C73</f>
        <v>Within the AA, inclusions of upland that individually are &gt;100 sq.m. are:</v>
      </c>
      <c r="D67" s="736"/>
      <c r="E67" s="239"/>
      <c r="F67" s="259"/>
      <c r="G67" s="219">
        <f>IF((D68=1),"", MAX(F68:F70)/MAX(E68:E70))</f>
        <v>0</v>
      </c>
      <c r="H67" s="2028" t="s">
        <v>147</v>
      </c>
      <c r="I67" s="1987" t="s">
        <v>32</v>
      </c>
    </row>
    <row r="68" spans="1:9" ht="15" customHeight="1" x14ac:dyDescent="0.2">
      <c r="A68" s="1991"/>
      <c r="B68" s="2053"/>
      <c r="C68" s="327" t="str">
        <f>F!C74</f>
        <v>Few or none.</v>
      </c>
      <c r="D68" s="40">
        <f>F!D74</f>
        <v>0</v>
      </c>
      <c r="E68" s="241">
        <v>0</v>
      </c>
      <c r="F68" s="241">
        <f>D68*E68</f>
        <v>0</v>
      </c>
      <c r="G68" s="202"/>
      <c r="H68" s="2028"/>
      <c r="I68" s="1987"/>
    </row>
    <row r="69" spans="1:9" ht="15" customHeight="1" x14ac:dyDescent="0.2">
      <c r="A69" s="1991"/>
      <c r="B69" s="2053"/>
      <c r="C69" s="342" t="str">
        <f>F!C75</f>
        <v>Intermediate (1 - 10% of vegetated part of the AA).</v>
      </c>
      <c r="D69" s="40">
        <f>F!D75</f>
        <v>0</v>
      </c>
      <c r="E69" s="241">
        <v>1</v>
      </c>
      <c r="F69" s="241">
        <f>D69*E69</f>
        <v>0</v>
      </c>
      <c r="G69" s="267"/>
      <c r="H69" s="2028"/>
      <c r="I69" s="1987"/>
    </row>
    <row r="70" spans="1:9" ht="15" customHeight="1" thickBot="1" x14ac:dyDescent="0.25">
      <c r="A70" s="1993"/>
      <c r="B70" s="2074"/>
      <c r="C70" s="340" t="str">
        <f>F!C76</f>
        <v>Many (e.g., wetland-upland "mosaic", &gt;10% of the vegetated AA).</v>
      </c>
      <c r="D70" s="81">
        <f>F!D76</f>
        <v>0</v>
      </c>
      <c r="E70" s="244">
        <v>2</v>
      </c>
      <c r="F70" s="244">
        <f>D70*E70</f>
        <v>0</v>
      </c>
      <c r="G70" s="258"/>
      <c r="H70" s="2029"/>
      <c r="I70" s="1988"/>
    </row>
    <row r="71" spans="1:9" ht="21" customHeight="1" thickBot="1" x14ac:dyDescent="0.25">
      <c r="A71" s="1992" t="str">
        <f>F!A95</f>
        <v>F17</v>
      </c>
      <c r="B71" s="2073" t="str">
        <f>F!B95</f>
        <v>Forb Cover</v>
      </c>
      <c r="C71" s="352" t="str">
        <f>F!C95</f>
        <v>The areal cover of forbs reaches an annual maximum of:</v>
      </c>
      <c r="D71" s="581"/>
      <c r="E71" s="376"/>
      <c r="F71" s="376"/>
      <c r="G71" s="225">
        <f>IF((NoHerbCov=1),"", MAX(F72:F76)/MAX(E72:E76))</f>
        <v>0</v>
      </c>
      <c r="H71" s="2027" t="s">
        <v>751</v>
      </c>
      <c r="I71" s="2120" t="s">
        <v>1204</v>
      </c>
    </row>
    <row r="72" spans="1:9" ht="15" customHeight="1" x14ac:dyDescent="0.2">
      <c r="A72" s="2222"/>
      <c r="B72" s="2229"/>
      <c r="C72" s="552" t="str">
        <f>F!C96</f>
        <v>&lt;5% of the vegetated AA.</v>
      </c>
      <c r="D72" s="180">
        <f>F!D96</f>
        <v>0</v>
      </c>
      <c r="E72" s="377">
        <v>0</v>
      </c>
      <c r="F72" s="377">
        <f>D72*E72</f>
        <v>0</v>
      </c>
      <c r="G72" s="775"/>
      <c r="H72" s="2028"/>
      <c r="I72" s="1987"/>
    </row>
    <row r="73" spans="1:9" ht="15" customHeight="1" x14ac:dyDescent="0.2">
      <c r="A73" s="2222"/>
      <c r="B73" s="2229"/>
      <c r="C73" s="576" t="str">
        <f>F!C97</f>
        <v>5-25% of the vegetated AA.</v>
      </c>
      <c r="D73" s="354">
        <f>F!D97</f>
        <v>0</v>
      </c>
      <c r="E73" s="377">
        <v>2</v>
      </c>
      <c r="F73" s="377">
        <f>D73*E73</f>
        <v>0</v>
      </c>
      <c r="G73" s="775"/>
      <c r="H73" s="2028"/>
      <c r="I73" s="1987"/>
    </row>
    <row r="74" spans="1:9" ht="15" customHeight="1" x14ac:dyDescent="0.2">
      <c r="A74" s="2222"/>
      <c r="B74" s="2229"/>
      <c r="C74" s="576" t="str">
        <f>F!C98</f>
        <v>25-50% of the vegetated AA.</v>
      </c>
      <c r="D74" s="354">
        <f>F!D98</f>
        <v>0</v>
      </c>
      <c r="E74" s="377">
        <v>3</v>
      </c>
      <c r="F74" s="377">
        <f>D74*E74</f>
        <v>0</v>
      </c>
      <c r="G74" s="775"/>
      <c r="H74" s="2028"/>
      <c r="I74" s="1987"/>
    </row>
    <row r="75" spans="1:9" ht="15" customHeight="1" x14ac:dyDescent="0.2">
      <c r="A75" s="2222"/>
      <c r="B75" s="2229"/>
      <c r="C75" s="576" t="str">
        <f>F!C99</f>
        <v>50-95% of the vegetated AA.</v>
      </c>
      <c r="D75" s="354">
        <f>F!D99</f>
        <v>0</v>
      </c>
      <c r="E75" s="377">
        <v>2</v>
      </c>
      <c r="F75" s="377">
        <f>D75*E75</f>
        <v>0</v>
      </c>
      <c r="G75" s="775"/>
      <c r="H75" s="2028"/>
      <c r="I75" s="1987"/>
    </row>
    <row r="76" spans="1:9" ht="15" customHeight="1" thickBot="1" x14ac:dyDescent="0.25">
      <c r="A76" s="2223"/>
      <c r="B76" s="2230"/>
      <c r="C76" s="445" t="str">
        <f>F!C100</f>
        <v>&gt;95% of the vegetated AA. SKIP to F20 (Invasive Plant Cover).</v>
      </c>
      <c r="D76" s="94">
        <f>F!D100</f>
        <v>0</v>
      </c>
      <c r="E76" s="244">
        <v>1</v>
      </c>
      <c r="F76" s="244">
        <f>D76*E76</f>
        <v>0</v>
      </c>
      <c r="G76" s="258"/>
      <c r="H76" s="2029"/>
      <c r="I76" s="1988"/>
    </row>
    <row r="77" spans="1:9" ht="21" customHeight="1" thickBot="1" x14ac:dyDescent="0.25">
      <c r="A77" s="2075" t="str">
        <f>F!A101</f>
        <v>F18</v>
      </c>
      <c r="B77" s="2053" t="str">
        <f>F!B101</f>
        <v>Sedge Cover</v>
      </c>
      <c r="C77" s="1397" t="str">
        <f>F!C101</f>
        <v>Sedges (Carex spp.) and/or cottongrass (Eriophorum spp.) occupy:</v>
      </c>
      <c r="D77" s="239"/>
      <c r="E77" s="239"/>
      <c r="F77" s="239"/>
      <c r="G77" s="219">
        <f>IF((NoHerbCov=1),"", MAX(F78:F82)/MAX(E78:E82))</f>
        <v>0</v>
      </c>
      <c r="H77" s="2027" t="s">
        <v>759</v>
      </c>
      <c r="I77" s="1987" t="s">
        <v>2444</v>
      </c>
    </row>
    <row r="78" spans="1:9" ht="15" customHeight="1" x14ac:dyDescent="0.2">
      <c r="A78" s="2075"/>
      <c r="B78" s="2053"/>
      <c r="C78" s="552" t="str">
        <f>F!C102</f>
        <v>&lt;0.01 hectare and &lt;1% of the herbaceous cover (excluding mosses).</v>
      </c>
      <c r="D78" s="180">
        <f>F!D102</f>
        <v>0</v>
      </c>
      <c r="E78" s="241">
        <v>1</v>
      </c>
      <c r="F78" s="241">
        <f>D78*E78</f>
        <v>0</v>
      </c>
      <c r="G78" s="775"/>
      <c r="H78" s="2028"/>
      <c r="I78" s="1987"/>
    </row>
    <row r="79" spans="1:9" ht="15" customHeight="1" x14ac:dyDescent="0.2">
      <c r="A79" s="2075"/>
      <c r="B79" s="2053"/>
      <c r="C79" s="576" t="str">
        <f>F!C103</f>
        <v>1-30% of the herbaceous cover.</v>
      </c>
      <c r="D79" s="91">
        <f>F!D103</f>
        <v>0</v>
      </c>
      <c r="E79" s="241">
        <v>2</v>
      </c>
      <c r="F79" s="241">
        <f>D79*E79</f>
        <v>0</v>
      </c>
      <c r="G79" s="775"/>
      <c r="H79" s="2028"/>
      <c r="I79" s="1987"/>
    </row>
    <row r="80" spans="1:9" ht="15" customHeight="1" x14ac:dyDescent="0.2">
      <c r="A80" s="2075"/>
      <c r="B80" s="2053"/>
      <c r="C80" s="576" t="str">
        <f>F!C104</f>
        <v>30-60% of the herbaceous cover.</v>
      </c>
      <c r="D80" s="91">
        <f>F!D104</f>
        <v>0</v>
      </c>
      <c r="E80" s="722">
        <v>3</v>
      </c>
      <c r="F80" s="722">
        <f>D80*E80</f>
        <v>0</v>
      </c>
      <c r="G80" s="775"/>
      <c r="H80" s="2028"/>
      <c r="I80" s="1987"/>
    </row>
    <row r="81" spans="1:10" ht="15" customHeight="1" x14ac:dyDescent="0.2">
      <c r="A81" s="2075"/>
      <c r="B81" s="2053"/>
      <c r="C81" s="576" t="str">
        <f>F!C105</f>
        <v>60-90% of the herbaceous cover.</v>
      </c>
      <c r="D81" s="91">
        <f>F!D105</f>
        <v>0</v>
      </c>
      <c r="E81" s="241">
        <v>4</v>
      </c>
      <c r="F81" s="241">
        <f>D81*E81</f>
        <v>0</v>
      </c>
      <c r="G81" s="775"/>
      <c r="H81" s="2028"/>
      <c r="I81" s="1987"/>
    </row>
    <row r="82" spans="1:10" ht="15" customHeight="1" thickBot="1" x14ac:dyDescent="0.25">
      <c r="A82" s="2075"/>
      <c r="B82" s="2053"/>
      <c r="C82" s="533" t="str">
        <f>F!C106</f>
        <v>&gt;90% of the herbaceous cover.</v>
      </c>
      <c r="D82" s="370">
        <f>F!D106</f>
        <v>0</v>
      </c>
      <c r="E82" s="380">
        <v>2</v>
      </c>
      <c r="F82" s="380">
        <f>D82*E82</f>
        <v>0</v>
      </c>
      <c r="G82" s="721"/>
      <c r="H82" s="2028"/>
      <c r="I82" s="1987"/>
    </row>
    <row r="83" spans="1:10" s="6" customFormat="1" ht="39" thickBot="1" x14ac:dyDescent="0.25">
      <c r="A83" s="1992" t="str">
        <f>F!A107</f>
        <v>F19</v>
      </c>
      <c r="B83" s="2073" t="str">
        <f>F!B107</f>
        <v xml:space="preserve">Dominance of Most Abundant Herbaceous Species </v>
      </c>
      <c r="C83" s="43" t="str">
        <f>F!C107</f>
        <v>Determine which two native herbaceous (forb and graminoid) species comprise the greatest portion of the herbaceous cover that is unshaded by a woody canopy.  Then choose one of the following:</v>
      </c>
      <c r="D83" s="581"/>
      <c r="E83" s="376"/>
      <c r="F83" s="376"/>
      <c r="G83" s="225" t="str">
        <f>IF((D85=1),1,"")</f>
        <v/>
      </c>
      <c r="H83" s="2073" t="s">
        <v>752</v>
      </c>
      <c r="I83" s="2120" t="s">
        <v>1205</v>
      </c>
      <c r="J83" s="137"/>
    </row>
    <row r="84" spans="1:10" s="6" customFormat="1" ht="27" customHeight="1" x14ac:dyDescent="0.2">
      <c r="A84" s="2222"/>
      <c r="B84" s="2229"/>
      <c r="C84" s="552" t="str">
        <f>F!C108</f>
        <v>those species together comprise &gt; 50% of the areal cover of native herbaceous plants at any time during the year.</v>
      </c>
      <c r="D84" s="354">
        <f>F!D108</f>
        <v>0</v>
      </c>
      <c r="E84" s="377"/>
      <c r="F84" s="377"/>
      <c r="G84" s="857"/>
      <c r="H84" s="2053"/>
      <c r="I84" s="1987"/>
      <c r="J84" s="137"/>
    </row>
    <row r="85" spans="1:10" s="6" customFormat="1" ht="27" customHeight="1" thickBot="1" x14ac:dyDescent="0.25">
      <c r="A85" s="2223"/>
      <c r="B85" s="2230"/>
      <c r="C85" s="445" t="str">
        <f>F!C109</f>
        <v>those species together do not comprise &gt; 50% of the areal cover of native herbaceous plants at any time during the year.</v>
      </c>
      <c r="D85" s="94">
        <f>F!D109</f>
        <v>0</v>
      </c>
      <c r="E85" s="244"/>
      <c r="F85" s="244"/>
      <c r="G85" s="266"/>
      <c r="H85" s="2074"/>
      <c r="I85" s="1988"/>
      <c r="J85" s="137"/>
    </row>
    <row r="86" spans="1:10" s="6" customFormat="1" ht="39" thickBot="1" x14ac:dyDescent="0.25">
      <c r="A86" s="2075" t="str">
        <f>F!A121</f>
        <v>F22</v>
      </c>
      <c r="B86" s="2053" t="str">
        <f>F!B121</f>
        <v>% Never With Surface Water</v>
      </c>
      <c r="C86" s="1397" t="str">
        <f>F!C121</f>
        <v>The percentage of the AA that never contains surface water during an average year (that is, except perhaps for a few hours after snowmelt or rainstorms), but which is still a wetland, is:</v>
      </c>
      <c r="D86" s="238"/>
      <c r="E86" s="238"/>
      <c r="F86" s="239"/>
      <c r="G86" s="219">
        <f>MAX(F87:F91)/MAX(E87:E91)</f>
        <v>0</v>
      </c>
      <c r="H86" s="2053" t="s">
        <v>286</v>
      </c>
      <c r="I86" s="1987" t="s">
        <v>540</v>
      </c>
      <c r="J86" s="441"/>
    </row>
    <row r="87" spans="1:10" s="6" customFormat="1" ht="38.25" x14ac:dyDescent="0.2">
      <c r="A87" s="2075"/>
      <c r="B87" s="2224"/>
      <c r="C87" s="135" t="str">
        <f>F!C122</f>
        <v>&lt;0.01 hectare (about 10 m on a side) and &lt;1% of the AA never has surface water.  In other words, all or nearly all of the AA is covered by water permanently or at least seasonally.</v>
      </c>
      <c r="D87" s="1482">
        <f>F!D122</f>
        <v>0</v>
      </c>
      <c r="E87" s="241">
        <v>1</v>
      </c>
      <c r="F87" s="241">
        <f>D87*E87</f>
        <v>0</v>
      </c>
      <c r="G87" s="721"/>
      <c r="H87" s="2053"/>
      <c r="I87" s="1987"/>
      <c r="J87" s="441"/>
    </row>
    <row r="88" spans="1:10" s="6" customFormat="1" ht="15" customHeight="1" x14ac:dyDescent="0.2">
      <c r="A88" s="2075"/>
      <c r="B88" s="2224"/>
      <c r="C88" s="1483" t="str">
        <f>F!C123</f>
        <v>1-25% of the AA never contains surface water.</v>
      </c>
      <c r="D88" s="1482">
        <f>F!D123</f>
        <v>0</v>
      </c>
      <c r="E88" s="241">
        <v>2</v>
      </c>
      <c r="F88" s="241">
        <f>D88*E88</f>
        <v>0</v>
      </c>
      <c r="G88" s="721"/>
      <c r="H88" s="2053"/>
      <c r="I88" s="1987"/>
      <c r="J88" s="441"/>
    </row>
    <row r="89" spans="1:10" s="6" customFormat="1" ht="15" customHeight="1" x14ac:dyDescent="0.2">
      <c r="A89" s="2075"/>
      <c r="B89" s="2224"/>
      <c r="C89" s="1483" t="str">
        <f>F!C124</f>
        <v>25-50% of the AA never contains surface water.</v>
      </c>
      <c r="D89" s="1482">
        <f>F!D124</f>
        <v>0</v>
      </c>
      <c r="E89" s="241">
        <v>3</v>
      </c>
      <c r="F89" s="241">
        <f>D89*E89</f>
        <v>0</v>
      </c>
      <c r="G89" s="721"/>
      <c r="H89" s="2053"/>
      <c r="I89" s="1987"/>
      <c r="J89" s="441"/>
    </row>
    <row r="90" spans="1:10" s="6" customFormat="1" ht="15" customHeight="1" x14ac:dyDescent="0.2">
      <c r="A90" s="2075"/>
      <c r="B90" s="2224"/>
      <c r="C90" s="1483" t="str">
        <f>F!C125</f>
        <v>50-99% of the AA never contains surface water.</v>
      </c>
      <c r="D90" s="1482">
        <f>F!D125</f>
        <v>0</v>
      </c>
      <c r="E90" s="241">
        <v>4</v>
      </c>
      <c r="F90" s="241">
        <f>D90*E90</f>
        <v>0</v>
      </c>
      <c r="G90" s="721"/>
      <c r="H90" s="2053"/>
      <c r="I90" s="1987"/>
      <c r="J90" s="441"/>
    </row>
    <row r="91" spans="1:10" s="6" customFormat="1" ht="39" thickBot="1" x14ac:dyDescent="0.25">
      <c r="A91" s="2075"/>
      <c r="B91" s="2224"/>
      <c r="C91" s="1483" t="str">
        <f>F!C126</f>
        <v>&gt;99% of the AA never contains surface water, except perhaps for water flowing in channels and/or in pools that occupy &lt;1% of the AA. SKIP to F48 (Channel Connection &amp; Outflow Duration).</v>
      </c>
      <c r="D91" s="1482">
        <f>F!D126</f>
        <v>0</v>
      </c>
      <c r="E91" s="241">
        <v>6</v>
      </c>
      <c r="F91" s="241">
        <f>D91*E91</f>
        <v>0</v>
      </c>
      <c r="G91" s="721"/>
      <c r="H91" s="2053"/>
      <c r="I91" s="1987"/>
      <c r="J91" s="441"/>
    </row>
    <row r="92" spans="1:10" ht="30" customHeight="1" thickBot="1" x14ac:dyDescent="0.25">
      <c r="A92" s="1992" t="str">
        <f>F!A127</f>
        <v>F23</v>
      </c>
      <c r="B92" s="2073" t="str">
        <f>F!B127</f>
        <v>% with Persistent Surface Water</v>
      </c>
      <c r="C92" s="352" t="str">
        <f>F!C127</f>
        <v>The percentage of the AA that has surface water (either ponded or flowing, either open or obscured by vegetation) during all of the growing season during most years is:</v>
      </c>
      <c r="D92" s="581"/>
      <c r="E92" s="376"/>
      <c r="F92" s="262"/>
      <c r="G92" s="225">
        <f>IF((AllSat1&gt;0),"", MAX(F93:F98)/MAX(E93:E98))</f>
        <v>0</v>
      </c>
      <c r="H92" s="2027" t="s">
        <v>144</v>
      </c>
      <c r="I92" s="2120" t="s">
        <v>1198</v>
      </c>
    </row>
    <row r="93" spans="1:10" x14ac:dyDescent="0.2">
      <c r="A93" s="2222"/>
      <c r="B93" s="2224"/>
      <c r="C93" s="338" t="str">
        <f>F!C128</f>
        <v>&lt;0.01 hectare and &lt;1% of the AA.  SKIP to F27 (% Flooded Only Seasonally).</v>
      </c>
      <c r="D93" s="187">
        <f>F!D128</f>
        <v>0</v>
      </c>
      <c r="E93" s="377">
        <v>5</v>
      </c>
      <c r="F93" s="377">
        <f t="shared" ref="F93:F98" si="2">D93*E93</f>
        <v>0</v>
      </c>
      <c r="G93" s="202"/>
      <c r="H93" s="2028"/>
      <c r="I93" s="1987"/>
    </row>
    <row r="94" spans="1:10" ht="15" customHeight="1" x14ac:dyDescent="0.2">
      <c r="A94" s="2222"/>
      <c r="B94" s="2224"/>
      <c r="C94" s="533" t="str">
        <f>F!C129</f>
        <v>1-5% of the AA.</v>
      </c>
      <c r="D94" s="370">
        <f>F!D129</f>
        <v>0</v>
      </c>
      <c r="E94" s="377">
        <v>4</v>
      </c>
      <c r="F94" s="377">
        <f t="shared" si="2"/>
        <v>0</v>
      </c>
      <c r="G94" s="775"/>
      <c r="H94" s="2028"/>
      <c r="I94" s="1987"/>
    </row>
    <row r="95" spans="1:10" ht="15" customHeight="1" x14ac:dyDescent="0.2">
      <c r="A95" s="2222"/>
      <c r="B95" s="2224"/>
      <c r="C95" s="533" t="str">
        <f>F!C130</f>
        <v>5-25% of the AA.</v>
      </c>
      <c r="D95" s="370">
        <f>F!D130</f>
        <v>0</v>
      </c>
      <c r="E95" s="377">
        <v>4</v>
      </c>
      <c r="F95" s="377">
        <f t="shared" si="2"/>
        <v>0</v>
      </c>
      <c r="G95" s="775"/>
      <c r="H95" s="2028"/>
      <c r="I95" s="1987"/>
    </row>
    <row r="96" spans="1:10" ht="15" customHeight="1" x14ac:dyDescent="0.2">
      <c r="A96" s="2222"/>
      <c r="B96" s="2224"/>
      <c r="C96" s="533" t="str">
        <f>F!C131</f>
        <v>25-50% of the AA.</v>
      </c>
      <c r="D96" s="370">
        <f>F!D131</f>
        <v>0</v>
      </c>
      <c r="E96" s="377">
        <v>3</v>
      </c>
      <c r="F96" s="377">
        <f t="shared" si="2"/>
        <v>0</v>
      </c>
      <c r="G96" s="775"/>
      <c r="H96" s="2028"/>
      <c r="I96" s="1987"/>
    </row>
    <row r="97" spans="1:9" ht="15" customHeight="1" x14ac:dyDescent="0.2">
      <c r="A97" s="2222"/>
      <c r="B97" s="2224"/>
      <c r="C97" s="533" t="str">
        <f>F!C132</f>
        <v>50-95% of the AA.</v>
      </c>
      <c r="D97" s="370">
        <f>F!D132</f>
        <v>0</v>
      </c>
      <c r="E97" s="377">
        <v>2</v>
      </c>
      <c r="F97" s="377">
        <f t="shared" si="2"/>
        <v>0</v>
      </c>
      <c r="G97" s="775"/>
      <c r="H97" s="2028"/>
      <c r="I97" s="1987"/>
    </row>
    <row r="98" spans="1:9" ht="15" customHeight="1" thickBot="1" x14ac:dyDescent="0.25">
      <c r="A98" s="2223"/>
      <c r="B98" s="2225"/>
      <c r="C98" s="445" t="str">
        <f>F!C133</f>
        <v>&gt;95% of the AA.</v>
      </c>
      <c r="D98" s="94">
        <f>F!D133</f>
        <v>0</v>
      </c>
      <c r="E98" s="272">
        <v>0</v>
      </c>
      <c r="F98" s="244">
        <f t="shared" si="2"/>
        <v>0</v>
      </c>
      <c r="G98" s="258"/>
      <c r="H98" s="2029"/>
      <c r="I98" s="1988"/>
    </row>
    <row r="99" spans="1:9" ht="39" thickBot="1" x14ac:dyDescent="0.25">
      <c r="A99" s="1992" t="str">
        <f>F!A173</f>
        <v>F33</v>
      </c>
      <c r="B99" s="2073" t="str">
        <f>F!B173</f>
        <v xml:space="preserve">% of Ponded Water That Is Open </v>
      </c>
      <c r="C99" s="1484" t="str">
        <f>F!C173</f>
        <v>In ducks-eye aerial view, the percentage of the ponded water that is open (lacking emergent vegetation during most of the growing season, and unhidden by a forest or shrub canopy) is:</v>
      </c>
      <c r="D99" s="1485"/>
      <c r="E99" s="376"/>
      <c r="F99" s="376"/>
      <c r="G99" s="225">
        <f>IF((AllSat1&gt;0),"", IF((SmallAA=1),"", MAX(F100:F105)/MAX(E100:E105)))</f>
        <v>0</v>
      </c>
      <c r="H99" s="2027" t="s">
        <v>750</v>
      </c>
      <c r="I99" s="2120" t="s">
        <v>1199</v>
      </c>
    </row>
    <row r="100" spans="1:9" ht="27" customHeight="1" x14ac:dyDescent="0.2">
      <c r="A100" s="2222"/>
      <c r="B100" s="2229"/>
      <c r="C100" s="934" t="str">
        <f>F!C174</f>
        <v>None, or &lt;1% of the AA and largest pool occupies &lt;0.01 hectares.  Enter "1" and SKIP to F41 (Floating Algae &amp; Duckweed).</v>
      </c>
      <c r="D100" s="354">
        <f>F!D174</f>
        <v>0</v>
      </c>
      <c r="E100" s="377">
        <v>4</v>
      </c>
      <c r="F100" s="377">
        <f t="shared" ref="F100:F105" si="3">D100*E100</f>
        <v>0</v>
      </c>
      <c r="G100" s="775"/>
      <c r="H100" s="2028"/>
      <c r="I100" s="1987"/>
    </row>
    <row r="101" spans="1:9" ht="15" customHeight="1" x14ac:dyDescent="0.2">
      <c r="A101" s="2222"/>
      <c r="B101" s="2229"/>
      <c r="C101" s="576" t="str">
        <f>F!C175</f>
        <v>1-5% of the ponded water.  Enter "1" and SKIP to F41.</v>
      </c>
      <c r="D101" s="354">
        <f>F!D175</f>
        <v>0</v>
      </c>
      <c r="E101" s="377">
        <v>5</v>
      </c>
      <c r="F101" s="377">
        <f t="shared" si="3"/>
        <v>0</v>
      </c>
      <c r="G101" s="775"/>
      <c r="H101" s="2028"/>
      <c r="I101" s="1987"/>
    </row>
    <row r="102" spans="1:9" ht="15" customHeight="1" x14ac:dyDescent="0.2">
      <c r="A102" s="2222"/>
      <c r="B102" s="2229"/>
      <c r="C102" s="576" t="str">
        <f>F!C176</f>
        <v>5-30% of the ponded water.</v>
      </c>
      <c r="D102" s="354">
        <f>F!D176</f>
        <v>0</v>
      </c>
      <c r="E102" s="377">
        <v>3</v>
      </c>
      <c r="F102" s="377">
        <f t="shared" si="3"/>
        <v>0</v>
      </c>
      <c r="G102" s="775"/>
      <c r="H102" s="2028"/>
      <c r="I102" s="1987"/>
    </row>
    <row r="103" spans="1:9" ht="15" customHeight="1" x14ac:dyDescent="0.2">
      <c r="A103" s="2222"/>
      <c r="B103" s="2229"/>
      <c r="C103" s="576" t="str">
        <f>F!C177</f>
        <v>30-70% of the ponded water.</v>
      </c>
      <c r="D103" s="354">
        <f>F!D177</f>
        <v>0</v>
      </c>
      <c r="E103" s="377">
        <v>2</v>
      </c>
      <c r="F103" s="377">
        <f t="shared" si="3"/>
        <v>0</v>
      </c>
      <c r="G103" s="775"/>
      <c r="H103" s="2028"/>
      <c r="I103" s="1987"/>
    </row>
    <row r="104" spans="1:9" ht="15" customHeight="1" x14ac:dyDescent="0.2">
      <c r="A104" s="2222"/>
      <c r="B104" s="2229"/>
      <c r="C104" s="576" t="str">
        <f>F!C178</f>
        <v>70-99% of the ponded water.</v>
      </c>
      <c r="D104" s="354">
        <f>F!D178</f>
        <v>0</v>
      </c>
      <c r="E104" s="377">
        <v>1</v>
      </c>
      <c r="F104" s="377">
        <f t="shared" si="3"/>
        <v>0</v>
      </c>
      <c r="G104" s="775"/>
      <c r="H104" s="2028"/>
      <c r="I104" s="1987"/>
    </row>
    <row r="105" spans="1:9" ht="15" customHeight="1" thickBot="1" x14ac:dyDescent="0.25">
      <c r="A105" s="2223"/>
      <c r="B105" s="2230"/>
      <c r="C105" s="445" t="str">
        <f>F!C179</f>
        <v xml:space="preserve">100% of the ponded water. </v>
      </c>
      <c r="D105" s="94">
        <f>F!D179</f>
        <v>0</v>
      </c>
      <c r="E105" s="244">
        <v>0</v>
      </c>
      <c r="F105" s="244">
        <f t="shared" si="3"/>
        <v>0</v>
      </c>
      <c r="G105" s="258"/>
      <c r="H105" s="2029"/>
      <c r="I105" s="1988"/>
    </row>
    <row r="106" spans="1:9" ht="39" thickBot="1" x14ac:dyDescent="0.25">
      <c r="A106" s="2036" t="str">
        <f>F!A180</f>
        <v>F34</v>
      </c>
      <c r="B106" s="2027" t="str">
        <f>F!B180</f>
        <v>Predominant Width of Vegetated Zone within Wetland</v>
      </c>
      <c r="C106" s="421" t="str">
        <f>F!C180</f>
        <v>At the time during the growing season when the AA's water level is lowest, the average width of vegetated area in the AA that separates adjoining uplands from open water within the AA is:</v>
      </c>
      <c r="D106" s="581"/>
      <c r="E106" s="581"/>
      <c r="F106" s="262"/>
      <c r="G106" s="225" t="str">
        <f>IF((AllSat1&gt;0),"", IF((OpenW=0),"", IF((SmallAA=1),"", MAX(F107:F112)/MAX(E107:E112))))</f>
        <v/>
      </c>
      <c r="H106" s="2027" t="s">
        <v>154</v>
      </c>
      <c r="I106" s="2120" t="s">
        <v>1200</v>
      </c>
    </row>
    <row r="107" spans="1:9" ht="18" customHeight="1" x14ac:dyDescent="0.2">
      <c r="A107" s="2222"/>
      <c r="B107" s="2224"/>
      <c r="C107" s="406" t="str">
        <f>F!C181</f>
        <v>&lt;1 m</v>
      </c>
      <c r="D107" s="356">
        <f>F!D181</f>
        <v>0</v>
      </c>
      <c r="E107" s="381">
        <v>0</v>
      </c>
      <c r="F107" s="377">
        <f t="shared" ref="F107:F112" si="4">D107*E107</f>
        <v>0</v>
      </c>
      <c r="G107" s="1715"/>
      <c r="H107" s="2028"/>
      <c r="I107" s="1987"/>
    </row>
    <row r="108" spans="1:9" ht="18" customHeight="1" x14ac:dyDescent="0.2">
      <c r="A108" s="2222"/>
      <c r="B108" s="2224"/>
      <c r="C108" s="339" t="str">
        <f>F!C182</f>
        <v>1 - 9 m</v>
      </c>
      <c r="D108" s="356">
        <f>F!D182</f>
        <v>0</v>
      </c>
      <c r="E108" s="381">
        <v>1</v>
      </c>
      <c r="F108" s="377">
        <f t="shared" si="4"/>
        <v>0</v>
      </c>
      <c r="G108" s="775"/>
      <c r="H108" s="2028"/>
      <c r="I108" s="1987"/>
    </row>
    <row r="109" spans="1:9" ht="18" customHeight="1" x14ac:dyDescent="0.2">
      <c r="A109" s="2222"/>
      <c r="B109" s="2224"/>
      <c r="C109" s="339" t="str">
        <f>F!C183</f>
        <v>10 - 29 m</v>
      </c>
      <c r="D109" s="356">
        <f>F!D183</f>
        <v>0</v>
      </c>
      <c r="E109" s="381">
        <v>2</v>
      </c>
      <c r="F109" s="377">
        <f t="shared" si="4"/>
        <v>0</v>
      </c>
      <c r="G109" s="775"/>
      <c r="H109" s="2028"/>
      <c r="I109" s="1987"/>
    </row>
    <row r="110" spans="1:9" ht="18" customHeight="1" x14ac:dyDescent="0.2">
      <c r="A110" s="2222"/>
      <c r="B110" s="2224"/>
      <c r="C110" s="339" t="str">
        <f>F!C184</f>
        <v>30 - 49 m</v>
      </c>
      <c r="D110" s="356">
        <f>F!D184</f>
        <v>0</v>
      </c>
      <c r="E110" s="381">
        <v>3</v>
      </c>
      <c r="F110" s="377">
        <f t="shared" si="4"/>
        <v>0</v>
      </c>
      <c r="G110" s="775"/>
      <c r="H110" s="2028"/>
      <c r="I110" s="1987"/>
    </row>
    <row r="111" spans="1:9" ht="18" customHeight="1" x14ac:dyDescent="0.2">
      <c r="A111" s="2222"/>
      <c r="B111" s="2224"/>
      <c r="C111" s="339" t="str">
        <f>F!C185</f>
        <v>50 - 100 m</v>
      </c>
      <c r="D111" s="356">
        <f>F!D185</f>
        <v>0</v>
      </c>
      <c r="E111" s="1486">
        <v>4</v>
      </c>
      <c r="F111" s="380">
        <f t="shared" si="4"/>
        <v>0</v>
      </c>
      <c r="G111" s="721"/>
      <c r="H111" s="2028"/>
      <c r="I111" s="1987"/>
    </row>
    <row r="112" spans="1:9" ht="18" customHeight="1" thickBot="1" x14ac:dyDescent="0.25">
      <c r="A112" s="2223"/>
      <c r="B112" s="2225"/>
      <c r="C112" s="340" t="str">
        <f>F!C186</f>
        <v>&gt; 100 m</v>
      </c>
      <c r="D112" s="81">
        <f>F!D186</f>
        <v>0</v>
      </c>
      <c r="E112" s="272">
        <v>6</v>
      </c>
      <c r="F112" s="244">
        <f t="shared" si="4"/>
        <v>0</v>
      </c>
      <c r="G112" s="258"/>
      <c r="H112" s="2029"/>
      <c r="I112" s="1988"/>
    </row>
    <row r="113" spans="1:9" ht="30" customHeight="1" thickBot="1" x14ac:dyDescent="0.25">
      <c r="A113" s="2100" t="str">
        <f>F!A199</f>
        <v>F37</v>
      </c>
      <c r="B113" s="2028" t="str">
        <f>F!B199</f>
        <v>Interspersion of Robust Emergents &amp; Open Water</v>
      </c>
      <c r="C113" s="1399" t="str">
        <f>F!C199</f>
        <v>During most of the part of the growing season when water is present, the spatial pattern of robust herbaceous vegetation (e.g., cattail, tall bulrush, buckbean) is mostly:</v>
      </c>
      <c r="D113" s="238"/>
      <c r="E113" s="238"/>
      <c r="F113" s="259"/>
      <c r="G113" s="219">
        <f>IF((AllSat1&gt;0),"",IF((NoPonded=1),"",IF((NoOpenPonded+NoOpenPonded1&gt;0),"",IF((AllOpenPond=1),"", IF((SmallAA=1),"", MAX(F114:F116)/MAX(E114:E116))))))</f>
        <v>0</v>
      </c>
      <c r="H113" s="2028" t="s">
        <v>153</v>
      </c>
      <c r="I113" s="1987" t="s">
        <v>1201</v>
      </c>
    </row>
    <row r="114" spans="1:9" ht="27" customHeight="1" x14ac:dyDescent="0.2">
      <c r="A114" s="2226"/>
      <c r="B114" s="2224"/>
      <c r="C114" s="327" t="str">
        <f>F!C200</f>
        <v>Scattered.  More than 30% of such vegetation forms small islands or corridors surrounded by water.</v>
      </c>
      <c r="D114" s="443">
        <f>F!D200</f>
        <v>0</v>
      </c>
      <c r="E114" s="245">
        <v>3</v>
      </c>
      <c r="F114" s="241">
        <f>D114*E114</f>
        <v>0</v>
      </c>
      <c r="G114" s="857"/>
      <c r="H114" s="2028"/>
      <c r="I114" s="1987"/>
    </row>
    <row r="115" spans="1:9" ht="15" customHeight="1" x14ac:dyDescent="0.2">
      <c r="A115" s="2226"/>
      <c r="B115" s="2224"/>
      <c r="C115" s="342" t="str">
        <f>F!C201</f>
        <v>Intermediate.</v>
      </c>
      <c r="D115" s="40">
        <f>F!D201</f>
        <v>0</v>
      </c>
      <c r="E115" s="245">
        <v>2</v>
      </c>
      <c r="F115" s="241">
        <f>D115*E115</f>
        <v>0</v>
      </c>
      <c r="G115" s="857"/>
      <c r="H115" s="2028"/>
      <c r="I115" s="1987"/>
    </row>
    <row r="116" spans="1:9" ht="27" customHeight="1" thickBot="1" x14ac:dyDescent="0.25">
      <c r="A116" s="2226"/>
      <c r="B116" s="2224"/>
      <c r="C116" s="342" t="str">
        <f>F!C202</f>
        <v>Clumped. More than 70% of such vegetation is in bands along the wetland perimeter or is clumped at one or a few sides of the surface water area.</v>
      </c>
      <c r="D116" s="40">
        <f>F!D202</f>
        <v>0</v>
      </c>
      <c r="E116" s="384">
        <v>1</v>
      </c>
      <c r="F116" s="380">
        <f>D116*E116</f>
        <v>0</v>
      </c>
      <c r="G116" s="720"/>
      <c r="H116" s="2029"/>
      <c r="I116" s="1987"/>
    </row>
    <row r="117" spans="1:9" ht="21" customHeight="1" thickBot="1" x14ac:dyDescent="0.25">
      <c r="A117" s="1992" t="str">
        <f>F!A222</f>
        <v>F45</v>
      </c>
      <c r="B117" s="2073" t="str">
        <f>F!B222</f>
        <v>Beaver Probability</v>
      </c>
      <c r="C117" s="421" t="str">
        <f>F!C222</f>
        <v>Use of the AA by beaver during the past 5 years is (select most applicable ONE):</v>
      </c>
      <c r="D117" s="777"/>
      <c r="E117" s="376"/>
      <c r="F117" s="262"/>
      <c r="G117" s="225">
        <f>IF((AllSat1&gt;0),"", MAX(F118:F120)/MAX(E118:E120))</f>
        <v>0</v>
      </c>
      <c r="H117" s="2027" t="s">
        <v>842</v>
      </c>
      <c r="I117" s="2120" t="s">
        <v>1356</v>
      </c>
    </row>
    <row r="118" spans="1:9" ht="27" customHeight="1" x14ac:dyDescent="0.2">
      <c r="A118" s="2222"/>
      <c r="B118" s="2224"/>
      <c r="C118" s="406" t="str">
        <f>F!C223</f>
        <v>evident from direct observation or presence of gnawed limbs, dams, tracks, dens, lodges, or extensive stands of water-killed trees (snags).</v>
      </c>
      <c r="D118" s="442">
        <f>F!D223</f>
        <v>0</v>
      </c>
      <c r="E118" s="239">
        <v>3</v>
      </c>
      <c r="F118" s="722">
        <f>D118*E118</f>
        <v>0</v>
      </c>
      <c r="G118" s="202"/>
      <c r="H118" s="2028"/>
      <c r="I118" s="1987"/>
    </row>
    <row r="119" spans="1:9" ht="54" customHeight="1" x14ac:dyDescent="0.2">
      <c r="A119" s="2222"/>
      <c r="B119" s="2224"/>
      <c r="C119" s="854"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119" s="356">
        <f>F!D224</f>
        <v>0</v>
      </c>
      <c r="E119" s="239">
        <v>2</v>
      </c>
      <c r="F119" s="722">
        <f>D119*E119</f>
        <v>0</v>
      </c>
      <c r="G119" s="775"/>
      <c r="H119" s="2028"/>
      <c r="I119" s="1987"/>
    </row>
    <row r="120" spans="1:9" ht="39" thickBot="1" x14ac:dyDescent="0.25">
      <c r="A120" s="2223"/>
      <c r="B120" s="2225"/>
      <c r="C120" s="340" t="str">
        <f>F!C225</f>
        <v>unlikely because site characteristics above are deficient, and/or this is a settled area or other area where beaver are routinely removed.  But beaver occur in this part of the region (i.e., within 25 km).</v>
      </c>
      <c r="D120" s="81">
        <f>F!D225</f>
        <v>0</v>
      </c>
      <c r="E120" s="276">
        <v>0</v>
      </c>
      <c r="F120" s="244">
        <f>D120*E120</f>
        <v>0</v>
      </c>
      <c r="G120" s="258"/>
      <c r="H120" s="2029"/>
      <c r="I120" s="1988"/>
    </row>
    <row r="121" spans="1:9" ht="48" customHeight="1" thickBot="1" x14ac:dyDescent="0.25">
      <c r="A121" s="2035" t="str">
        <f>F!A252</f>
        <v>F52</v>
      </c>
      <c r="B121" s="2028" t="str">
        <f>F!B252</f>
        <v>Percent of Buffer with Perennial Vegetation</v>
      </c>
      <c r="C121" s="1399" t="str">
        <f>F!C252</f>
        <v>Extending 30 m on all sides from the AA's edge,  the percentage that contains water or perennial vegetation taller than 10 cm during most of the growing season is:</v>
      </c>
      <c r="D121" s="736"/>
      <c r="E121" s="239"/>
      <c r="F121" s="259"/>
      <c r="G121" s="219">
        <f>MAX(F122:F126)/MAX(E122:E126)</f>
        <v>0</v>
      </c>
      <c r="H121" s="2028" t="s">
        <v>151</v>
      </c>
      <c r="I121" s="1987" t="s">
        <v>1637</v>
      </c>
    </row>
    <row r="122" spans="1:9" ht="30" customHeight="1" x14ac:dyDescent="0.2">
      <c r="A122" s="2222"/>
      <c r="B122" s="2224"/>
      <c r="C122" s="406" t="str">
        <f>F!C253</f>
        <v xml:space="preserve">&lt;5% </v>
      </c>
      <c r="D122" s="22">
        <f>F!D253</f>
        <v>0</v>
      </c>
      <c r="E122" s="241">
        <v>0</v>
      </c>
      <c r="F122" s="241">
        <f>D122*E122</f>
        <v>0</v>
      </c>
      <c r="G122" s="202"/>
      <c r="H122" s="2028"/>
      <c r="I122" s="1987"/>
    </row>
    <row r="123" spans="1:9" ht="30" customHeight="1" x14ac:dyDescent="0.2">
      <c r="A123" s="2222"/>
      <c r="B123" s="2224"/>
      <c r="C123" s="339" t="str">
        <f>F!C254</f>
        <v>5 to 30%</v>
      </c>
      <c r="D123" s="22">
        <f>F!D254</f>
        <v>0</v>
      </c>
      <c r="E123" s="241">
        <v>1</v>
      </c>
      <c r="F123" s="241">
        <f>D123*E123</f>
        <v>0</v>
      </c>
      <c r="G123" s="775"/>
      <c r="H123" s="2028"/>
      <c r="I123" s="1987"/>
    </row>
    <row r="124" spans="1:9" ht="30" customHeight="1" x14ac:dyDescent="0.2">
      <c r="A124" s="2222"/>
      <c r="B124" s="2224"/>
      <c r="C124" s="339" t="str">
        <f>F!C255</f>
        <v>30 to 60%</v>
      </c>
      <c r="D124" s="22">
        <f>F!D255</f>
        <v>0</v>
      </c>
      <c r="E124" s="241">
        <v>2</v>
      </c>
      <c r="F124" s="241">
        <f>D124*E124</f>
        <v>0</v>
      </c>
      <c r="G124" s="775"/>
      <c r="H124" s="2028"/>
      <c r="I124" s="1987"/>
    </row>
    <row r="125" spans="1:9" ht="30" customHeight="1" x14ac:dyDescent="0.2">
      <c r="A125" s="2222"/>
      <c r="B125" s="2224"/>
      <c r="C125" s="339" t="str">
        <f>F!C256</f>
        <v>60 to 90%</v>
      </c>
      <c r="D125" s="22">
        <f>F!D256</f>
        <v>0</v>
      </c>
      <c r="E125" s="241">
        <v>4</v>
      </c>
      <c r="F125" s="241">
        <f>D125*E125</f>
        <v>0</v>
      </c>
      <c r="G125" s="775"/>
      <c r="H125" s="2028"/>
      <c r="I125" s="1987"/>
    </row>
    <row r="126" spans="1:9" ht="30" customHeight="1" thickBot="1" x14ac:dyDescent="0.25">
      <c r="A126" s="2222"/>
      <c r="B126" s="2224"/>
      <c r="C126" s="339" t="str">
        <f>F!C257</f>
        <v>&gt;90%, or the AA does not adjoin any upland  SKIP to F54 (Cliffs).</v>
      </c>
      <c r="D126" s="356">
        <f>F!D257</f>
        <v>0</v>
      </c>
      <c r="E126" s="380">
        <v>5</v>
      </c>
      <c r="F126" s="436">
        <f>D126*E126</f>
        <v>0</v>
      </c>
      <c r="G126" s="721"/>
      <c r="H126" s="2028"/>
      <c r="I126" s="1987"/>
    </row>
    <row r="127" spans="1:9" ht="30" customHeight="1" thickBot="1" x14ac:dyDescent="0.25">
      <c r="A127" s="2036" t="str">
        <f>F!A258</f>
        <v>F53</v>
      </c>
      <c r="B127" s="2027" t="str">
        <f>F!B258</f>
        <v>Type of Cover in Buffer</v>
      </c>
      <c r="C127" s="421" t="str">
        <f>F!C258</f>
        <v>Within the 30 m zone described above, the area that is NOT perennial vegetation or water is mostly (mark ONE):</v>
      </c>
      <c r="D127" s="1487"/>
      <c r="E127" s="376"/>
      <c r="F127" s="262"/>
      <c r="G127" s="225">
        <f>IF((BuffAllNat=1),"", MAX(F128:F129)/MAX(E128:E129))</f>
        <v>0</v>
      </c>
      <c r="H127" s="2027" t="s">
        <v>152</v>
      </c>
      <c r="I127" s="2120" t="s">
        <v>1257</v>
      </c>
    </row>
    <row r="128" spans="1:9" ht="15" customHeight="1" x14ac:dyDescent="0.2">
      <c r="A128" s="2035"/>
      <c r="B128" s="2224"/>
      <c r="C128" s="406" t="str">
        <f>F!C259</f>
        <v>impervious surface, e.g., paved road, parking lot, building, exposed rock.</v>
      </c>
      <c r="D128" s="356">
        <f>F!D259</f>
        <v>0</v>
      </c>
      <c r="E128" s="377">
        <v>0</v>
      </c>
      <c r="F128" s="377">
        <f>D128*E128</f>
        <v>0</v>
      </c>
      <c r="G128" s="202"/>
      <c r="H128" s="2028"/>
      <c r="I128" s="1987"/>
    </row>
    <row r="129" spans="1:9" ht="27" customHeight="1" thickBot="1" x14ac:dyDescent="0.25">
      <c r="A129" s="2037"/>
      <c r="B129" s="2225"/>
      <c r="C129" s="340" t="str">
        <f>F!C260</f>
        <v>bare or nearly bare pervious surface or managed vegetation, e.g., lawn, annual crops, mostly-unvegetated clearcut, landslide, unpaved road, drill pad, dike.</v>
      </c>
      <c r="D129" s="81">
        <f>F!D260</f>
        <v>0</v>
      </c>
      <c r="E129" s="244">
        <v>1</v>
      </c>
      <c r="F129" s="244">
        <f>D129*E129</f>
        <v>0</v>
      </c>
      <c r="G129" s="258"/>
      <c r="H129" s="2029"/>
      <c r="I129" s="1988"/>
    </row>
    <row r="130" spans="1:9" ht="60" customHeight="1" thickBot="1" x14ac:dyDescent="0.25">
      <c r="A130" s="1388" t="str">
        <f>F!A261</f>
        <v>F54</v>
      </c>
      <c r="B130" s="1415" t="str">
        <f>F!B261</f>
        <v xml:space="preserve">Cliffs, Steep Banks, or Salt Lick </v>
      </c>
      <c r="C130" s="136" t="str">
        <f>F!C261</f>
        <v>In the AA or within 100 m, there is a known salt lick, or elevated terrestrial features such as cliffs, talus slopes, stream banks, or excavated pits (but not riprap) that extend at least 2 m nearly vertically, are unvegetated, and potentially contain crevices or other substrate suitable for nesting or den areas.  Enter 1 (yes) or 0 (no).</v>
      </c>
      <c r="D130" s="1488">
        <f>F!D261</f>
        <v>0</v>
      </c>
      <c r="E130" s="269">
        <v>1</v>
      </c>
      <c r="F130" s="279">
        <f>D130*E130</f>
        <v>0</v>
      </c>
      <c r="G130" s="491" t="str">
        <f>IF((D130=0),"",1)</f>
        <v/>
      </c>
      <c r="H130" s="1394" t="s">
        <v>148</v>
      </c>
      <c r="I130" s="1382" t="s">
        <v>254</v>
      </c>
    </row>
    <row r="131" spans="1:9" ht="70.5" customHeight="1" thickBot="1" x14ac:dyDescent="0.25">
      <c r="A131" s="1992" t="str">
        <f>F!A288</f>
        <v>F60</v>
      </c>
      <c r="B131" s="2073" t="str">
        <f>F!B288</f>
        <v xml:space="preserve">Unvisited Core Area </v>
      </c>
      <c r="C131" s="421" t="str">
        <f>F!C288</f>
        <v>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v>
      </c>
      <c r="D131" s="581"/>
      <c r="E131" s="376"/>
      <c r="F131" s="262"/>
      <c r="G131" s="225">
        <f>MAX(F132:F137)/MAX(E132:E137)</f>
        <v>0</v>
      </c>
      <c r="H131" s="2027" t="s">
        <v>149</v>
      </c>
      <c r="I131" s="2227"/>
    </row>
    <row r="132" spans="1:9" ht="15" customHeight="1" x14ac:dyDescent="0.2">
      <c r="A132" s="1991"/>
      <c r="B132" s="2224"/>
      <c r="C132" s="327" t="str">
        <f>F!C289</f>
        <v>&lt;5% and no inhabited building is within 100 m of the AA.</v>
      </c>
      <c r="D132" s="359">
        <f>F!D289</f>
        <v>0</v>
      </c>
      <c r="E132" s="369">
        <v>1</v>
      </c>
      <c r="F132" s="377">
        <f t="shared" ref="F132:F137" si="5">D132*E132</f>
        <v>0</v>
      </c>
      <c r="G132" s="202"/>
      <c r="H132" s="2028"/>
      <c r="I132" s="1987"/>
    </row>
    <row r="133" spans="1:9" ht="15" customHeight="1" x14ac:dyDescent="0.2">
      <c r="A133" s="1991"/>
      <c r="B133" s="2224"/>
      <c r="C133" s="342" t="str">
        <f>F!C290</f>
        <v>&lt;5% and inhabited building is within 100 m of the AA.</v>
      </c>
      <c r="D133" s="359">
        <f>F!D290</f>
        <v>0</v>
      </c>
      <c r="E133" s="369">
        <v>0</v>
      </c>
      <c r="F133" s="377">
        <f t="shared" si="5"/>
        <v>0</v>
      </c>
      <c r="G133" s="775"/>
      <c r="H133" s="2028"/>
      <c r="I133" s="1987"/>
    </row>
    <row r="134" spans="1:9" ht="15" customHeight="1" x14ac:dyDescent="0.2">
      <c r="A134" s="1991"/>
      <c r="B134" s="2224"/>
      <c r="C134" s="342" t="str">
        <f>F!C291</f>
        <v>5-50% and no inhabited building is within 100 m of the AA.</v>
      </c>
      <c r="D134" s="359">
        <f>F!D291</f>
        <v>0</v>
      </c>
      <c r="E134" s="369">
        <v>3</v>
      </c>
      <c r="F134" s="377">
        <f t="shared" si="5"/>
        <v>0</v>
      </c>
      <c r="G134" s="775"/>
      <c r="H134" s="2028"/>
      <c r="I134" s="1987"/>
    </row>
    <row r="135" spans="1:9" ht="15" customHeight="1" x14ac:dyDescent="0.2">
      <c r="A135" s="1991"/>
      <c r="B135" s="2224"/>
      <c r="C135" s="342" t="str">
        <f>F!C292</f>
        <v>5-50% and inhabited building is within 100 m of the AA.</v>
      </c>
      <c r="D135" s="359">
        <f>F!D292</f>
        <v>0</v>
      </c>
      <c r="E135" s="369">
        <v>2</v>
      </c>
      <c r="F135" s="377">
        <f t="shared" si="5"/>
        <v>0</v>
      </c>
      <c r="G135" s="721"/>
      <c r="H135" s="2028"/>
      <c r="I135" s="1987"/>
    </row>
    <row r="136" spans="1:9" ht="15" customHeight="1" x14ac:dyDescent="0.2">
      <c r="A136" s="1991"/>
      <c r="B136" s="2224"/>
      <c r="C136" s="342" t="str">
        <f>F!C293</f>
        <v>50-95%, with or without inhabited building nearby.</v>
      </c>
      <c r="D136" s="359">
        <f>F!D293</f>
        <v>0</v>
      </c>
      <c r="E136" s="369">
        <v>4</v>
      </c>
      <c r="F136" s="377">
        <f t="shared" si="5"/>
        <v>0</v>
      </c>
      <c r="G136" s="721"/>
      <c r="H136" s="2028"/>
      <c r="I136" s="1987"/>
    </row>
    <row r="137" spans="1:9" ht="15" customHeight="1" thickBot="1" x14ac:dyDescent="0.25">
      <c r="A137" s="1993"/>
      <c r="B137" s="2225"/>
      <c r="C137" s="340" t="str">
        <f>F!C294</f>
        <v>&gt;95% of the AA with or without inhabited building nearby.</v>
      </c>
      <c r="D137" s="81">
        <f>F!D294</f>
        <v>0</v>
      </c>
      <c r="E137" s="205">
        <v>5</v>
      </c>
      <c r="F137" s="244">
        <f t="shared" si="5"/>
        <v>0</v>
      </c>
      <c r="G137" s="258"/>
      <c r="H137" s="2029"/>
      <c r="I137" s="1988"/>
    </row>
    <row r="138" spans="1:9" ht="72" customHeight="1" thickBot="1" x14ac:dyDescent="0.25">
      <c r="A138" s="1991" t="str">
        <f>F!A295</f>
        <v>F61</v>
      </c>
      <c r="B138" s="2053" t="str">
        <f>F!B295</f>
        <v>Frequently Visited Area</v>
      </c>
      <c r="C138" s="1399" t="str">
        <f>F!C295</f>
        <v>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v>
      </c>
      <c r="D138" s="238"/>
      <c r="E138" s="206"/>
      <c r="F138" s="259"/>
      <c r="G138" s="219">
        <f>MAX(F139:F142)/MAX(E139:E142)</f>
        <v>0</v>
      </c>
      <c r="H138" s="2027" t="s">
        <v>150</v>
      </c>
      <c r="I138" s="1987" t="s">
        <v>75</v>
      </c>
    </row>
    <row r="139" spans="1:9" ht="15" customHeight="1" x14ac:dyDescent="0.2">
      <c r="A139" s="2222"/>
      <c r="B139" s="2224"/>
      <c r="C139" s="327" t="str">
        <f>F!C296</f>
        <v>&lt;5%.  If F62 was answered "&gt;95%", SKIP to F64 (Consumptive Uses).</v>
      </c>
      <c r="D139" s="443">
        <f>F!D296</f>
        <v>0</v>
      </c>
      <c r="E139" s="204">
        <v>3</v>
      </c>
      <c r="F139" s="241">
        <f>D139*E139</f>
        <v>0</v>
      </c>
      <c r="G139" s="202"/>
      <c r="H139" s="2028"/>
      <c r="I139" s="1987"/>
    </row>
    <row r="140" spans="1:9" ht="15" customHeight="1" x14ac:dyDescent="0.2">
      <c r="A140" s="2222"/>
      <c r="B140" s="2224"/>
      <c r="C140" s="342" t="str">
        <f>F!C297</f>
        <v>5-50%</v>
      </c>
      <c r="D140" s="40">
        <f>F!D297</f>
        <v>0</v>
      </c>
      <c r="E140" s="204">
        <v>2</v>
      </c>
      <c r="F140" s="241">
        <f>D140*E140</f>
        <v>0</v>
      </c>
      <c r="G140" s="775"/>
      <c r="H140" s="2028"/>
      <c r="I140" s="1987"/>
    </row>
    <row r="141" spans="1:9" ht="15" customHeight="1" x14ac:dyDescent="0.2">
      <c r="A141" s="2222"/>
      <c r="B141" s="2224"/>
      <c r="C141" s="342" t="str">
        <f>F!C298</f>
        <v>50-95%</v>
      </c>
      <c r="D141" s="40">
        <f>F!D298</f>
        <v>0</v>
      </c>
      <c r="E141" s="204">
        <v>1</v>
      </c>
      <c r="F141" s="241">
        <f>D141*E141</f>
        <v>0</v>
      </c>
      <c r="G141" s="775"/>
      <c r="H141" s="2028"/>
      <c r="I141" s="1987"/>
    </row>
    <row r="142" spans="1:9" ht="15" customHeight="1" thickBot="1" x14ac:dyDescent="0.25">
      <c r="A142" s="2222"/>
      <c r="B142" s="2224"/>
      <c r="C142" s="339" t="str">
        <f>F!C299</f>
        <v>&gt;95% of the AA.</v>
      </c>
      <c r="D142" s="22">
        <f>F!D299</f>
        <v>0</v>
      </c>
      <c r="E142" s="207">
        <v>0</v>
      </c>
      <c r="F142" s="242">
        <f>D142*E142</f>
        <v>0</v>
      </c>
      <c r="G142" s="721"/>
      <c r="H142" s="2029"/>
      <c r="I142" s="1987"/>
    </row>
    <row r="143" spans="1:9" ht="60" customHeight="1" thickBot="1" x14ac:dyDescent="0.25">
      <c r="A143" s="1716" t="str">
        <f>F!A301</f>
        <v>F63</v>
      </c>
      <c r="B143" s="1681" t="str">
        <f>F!B301</f>
        <v>BMP - Wildlife Protection</v>
      </c>
      <c r="C143" s="1489" t="str">
        <f>F!C301</f>
        <v xml:space="preserve">Fences, observation blinds, platforms, paved trails, exclusion periods, and/or well-enforced prohibitions on motorized boats, off-leash pets, and off road vehicles appear to effectively exclude or divert visitors and their pets from the AA at critical times in order to minimize disturbance of wildlife (except during hunting seasons).  Enter "1" if true. </v>
      </c>
      <c r="D143" s="1490">
        <f>F!D301</f>
        <v>0</v>
      </c>
      <c r="E143" s="1075"/>
      <c r="F143" s="1050"/>
      <c r="G143" s="232">
        <f>IF((D137+D139&gt;1),"",D143)</f>
        <v>0</v>
      </c>
      <c r="H143" s="1023" t="s">
        <v>811</v>
      </c>
      <c r="I143" s="131" t="s">
        <v>1206</v>
      </c>
    </row>
    <row r="144" spans="1:9" ht="75" customHeight="1" thickBot="1" x14ac:dyDescent="0.25">
      <c r="A144" s="2232" t="str">
        <f>F!A324</f>
        <v>F68</v>
      </c>
      <c r="B144" s="2198" t="str">
        <f>F!B324</f>
        <v>Plants or Animals of Conservation Concern</v>
      </c>
      <c r="C144" s="597" t="str">
        <f>F!C324</f>
        <v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v>
      </c>
      <c r="D144" s="206"/>
      <c r="E144" s="206"/>
      <c r="F144" s="259"/>
      <c r="G144" s="231" t="str">
        <f>IF((D145=0),"",1)</f>
        <v/>
      </c>
      <c r="H144" s="1989" t="s">
        <v>2007</v>
      </c>
      <c r="I144" s="1987" t="s">
        <v>2031</v>
      </c>
    </row>
    <row r="145" spans="1:10" ht="15" customHeight="1" thickBot="1" x14ac:dyDescent="0.25">
      <c r="A145" s="2232"/>
      <c r="B145" s="2198"/>
      <c r="C145" s="1491" t="str">
        <f>F!C329</f>
        <v>One or more of the rare songbird or mammal species was detected within the AA.</v>
      </c>
      <c r="D145" s="1492">
        <f>F!D329</f>
        <v>0</v>
      </c>
      <c r="E145" s="305"/>
      <c r="F145" s="380"/>
      <c r="G145" s="279"/>
      <c r="H145" s="1989"/>
      <c r="I145" s="1987"/>
    </row>
    <row r="146" spans="1:10" ht="45" customHeight="1" thickBot="1" x14ac:dyDescent="0.25">
      <c r="A146" s="1717" t="str">
        <f>S!A25</f>
        <v>S2</v>
      </c>
      <c r="B146" s="1717" t="str">
        <f>S!B25</f>
        <v>Accelerated Inputs of Contaminants and/or Salts</v>
      </c>
      <c r="C146" s="543"/>
      <c r="D146" s="1057">
        <f>S!F39</f>
        <v>0</v>
      </c>
      <c r="E146" s="1075"/>
      <c r="F146" s="798"/>
      <c r="G146" s="232">
        <f>1-D146</f>
        <v>1</v>
      </c>
      <c r="H146" s="794" t="s">
        <v>1763</v>
      </c>
      <c r="I146" s="352" t="s">
        <v>1335</v>
      </c>
    </row>
    <row r="147" spans="1:10" ht="21" customHeight="1" thickBot="1" x14ac:dyDescent="0.25">
      <c r="A147" s="110"/>
      <c r="B147" s="110"/>
      <c r="D147" s="489"/>
      <c r="E147" s="489"/>
      <c r="F147" s="489"/>
      <c r="G147" s="489"/>
      <c r="H147" s="119"/>
      <c r="I147" s="119"/>
    </row>
    <row r="148" spans="1:10" ht="21" customHeight="1" thickBot="1" x14ac:dyDescent="0.25">
      <c r="A148" s="6"/>
      <c r="C148" s="391" t="s">
        <v>756</v>
      </c>
      <c r="D148" s="610"/>
      <c r="E148" s="610"/>
      <c r="F148" s="610"/>
      <c r="G148" s="610"/>
      <c r="I148" s="115"/>
    </row>
    <row r="149" spans="1:10" ht="58.9" customHeight="1" thickBot="1" x14ac:dyDescent="0.25">
      <c r="A149" s="1350"/>
      <c r="B149" s="115"/>
      <c r="C149" s="553" t="s">
        <v>2440</v>
      </c>
      <c r="D149" s="293"/>
      <c r="E149" s="293"/>
      <c r="F149" s="293"/>
      <c r="G149" s="285" t="str">
        <f xml:space="preserve"> IFERROR((AVERAGE(WetVegArea, MAX(ClassRichIn,ClassRichIn14),Vwidth14) + AVERAGE(WetPerim2Area, Inclus14) + AVERAGE(SatPct14, PondedOWpct14) + AVERAGE(WoodyPct14, ShrubDiv14, HerbDom14, TreeTypes14, SnagD14, WoodDown14, Cliffs14) + AVERAGE(Interspers14, HerbWoodMix14)) /5,"")</f>
        <v/>
      </c>
      <c r="I149" s="115"/>
      <c r="J149" s="140"/>
    </row>
    <row r="150" spans="1:10" ht="21" customHeight="1" thickBot="1" x14ac:dyDescent="0.25">
      <c r="A150" s="1246"/>
      <c r="B150" s="1246"/>
      <c r="D150" s="827"/>
      <c r="E150" s="827"/>
      <c r="F150" s="827"/>
      <c r="G150" s="827"/>
      <c r="I150" s="115"/>
      <c r="J150" s="441"/>
    </row>
    <row r="151" spans="1:10" ht="21" customHeight="1" thickBot="1" x14ac:dyDescent="0.25">
      <c r="A151" s="1246"/>
      <c r="B151" s="1246"/>
      <c r="C151" s="391" t="s">
        <v>757</v>
      </c>
      <c r="D151" s="1027"/>
      <c r="E151" s="1027"/>
      <c r="F151" s="1027"/>
      <c r="G151" s="1027"/>
      <c r="I151" s="115"/>
      <c r="J151" s="441"/>
    </row>
    <row r="152" spans="1:10" ht="30" customHeight="1" thickBot="1" x14ac:dyDescent="0.25">
      <c r="A152" s="1350"/>
      <c r="B152" s="488"/>
      <c r="C152" s="554" t="s">
        <v>2281</v>
      </c>
      <c r="D152" s="1493"/>
      <c r="E152" s="1493"/>
      <c r="F152" s="1494"/>
      <c r="G152" s="285">
        <f>((MAX(RaptorNest, BioDivZone) + AVERAGE(GrowDD, RipFloodpl, Wettype14, Sedge14, ForbCov14,  Beaver14a)) /2)</f>
        <v>0</v>
      </c>
      <c r="I152" s="115"/>
      <c r="J152" s="5"/>
    </row>
    <row r="153" spans="1:10" ht="21" customHeight="1" thickBot="1" x14ac:dyDescent="0.25">
      <c r="A153" s="1246"/>
      <c r="B153" s="1246"/>
      <c r="D153" s="827"/>
      <c r="E153" s="827"/>
      <c r="F153" s="827"/>
      <c r="G153" s="827"/>
      <c r="I153" s="115"/>
      <c r="J153" s="441"/>
    </row>
    <row r="154" spans="1:10" ht="21" customHeight="1" thickBot="1" x14ac:dyDescent="0.25">
      <c r="A154" s="1246"/>
      <c r="B154" s="1246"/>
      <c r="C154" s="391" t="s">
        <v>758</v>
      </c>
      <c r="D154" s="1027"/>
      <c r="E154" s="1027"/>
      <c r="F154" s="1027"/>
      <c r="G154" s="1027"/>
      <c r="I154" s="115"/>
      <c r="J154" s="441"/>
    </row>
    <row r="155" spans="1:10" ht="21" customHeight="1" thickBot="1" x14ac:dyDescent="0.25">
      <c r="A155" s="488"/>
      <c r="B155" s="940"/>
      <c r="C155" s="541" t="s">
        <v>2441</v>
      </c>
      <c r="D155" s="1086"/>
      <c r="E155" s="507"/>
      <c r="F155" s="507"/>
      <c r="G155" s="285">
        <f>AVERAGE(NatCov1k, ClassRich1k, WetDens1k, CUbuffNatPct14)</f>
        <v>0</v>
      </c>
      <c r="I155" s="115"/>
      <c r="J155" s="441"/>
    </row>
    <row r="156" spans="1:10" s="6" customFormat="1" ht="21" customHeight="1" thickBot="1" x14ac:dyDescent="0.25">
      <c r="A156" s="21"/>
      <c r="B156" s="21"/>
      <c r="C156" s="135"/>
      <c r="D156" s="617"/>
      <c r="E156" s="617"/>
      <c r="F156" s="617"/>
      <c r="G156" s="617"/>
      <c r="H156" s="115"/>
      <c r="I156" s="115"/>
      <c r="J156" s="441"/>
    </row>
    <row r="157" spans="1:10" ht="21" customHeight="1" thickBot="1" x14ac:dyDescent="0.25">
      <c r="A157" s="21"/>
      <c r="B157" s="21"/>
      <c r="C157" s="391" t="s">
        <v>837</v>
      </c>
      <c r="D157" s="618"/>
      <c r="E157" s="618"/>
      <c r="F157" s="618"/>
      <c r="G157" s="618"/>
      <c r="I157" s="115"/>
      <c r="J157" s="441"/>
    </row>
    <row r="158" spans="1:10" ht="30" customHeight="1" thickBot="1" x14ac:dyDescent="0.25">
      <c r="A158" s="488"/>
      <c r="B158" s="940"/>
      <c r="C158" s="541" t="s">
        <v>2409</v>
      </c>
      <c r="D158" s="1086"/>
      <c r="E158" s="507"/>
      <c r="F158" s="1495"/>
      <c r="G158" s="285">
        <f>AVERAGE(Dist2DevCrop, 1-RdDens1k, Dist2Road, DistPop, 1-Linear,Dist2Industrial,Core14a, Core14b, BMP_14,ToxSource14)</f>
        <v>0.5</v>
      </c>
      <c r="I158" s="115"/>
      <c r="J158" s="441"/>
    </row>
    <row r="159" spans="1:10" ht="21" customHeight="1" thickBot="1" x14ac:dyDescent="0.25">
      <c r="A159" s="1246"/>
      <c r="B159" s="1246"/>
      <c r="D159" s="827"/>
      <c r="E159" s="827"/>
      <c r="F159" s="827"/>
      <c r="G159" s="827"/>
      <c r="I159" s="115"/>
      <c r="J159" s="441"/>
    </row>
    <row r="160" spans="1:10" ht="21" customHeight="1" thickBot="1" x14ac:dyDescent="0.25">
      <c r="A160" s="1246"/>
      <c r="B160" s="1246"/>
      <c r="C160" s="639" t="s">
        <v>846</v>
      </c>
      <c r="D160" s="5"/>
      <c r="E160" s="5"/>
      <c r="F160" s="5"/>
      <c r="G160" s="5"/>
      <c r="I160" s="115"/>
      <c r="J160" s="441"/>
    </row>
    <row r="161" spans="1:16" ht="21" customHeight="1" thickBot="1" x14ac:dyDescent="0.25">
      <c r="A161" s="1246"/>
      <c r="B161" s="1246"/>
      <c r="C161" s="417" t="s">
        <v>765</v>
      </c>
      <c r="D161" s="1027"/>
      <c r="E161" s="1027"/>
      <c r="F161" s="1027"/>
      <c r="G161" s="1027"/>
      <c r="I161" s="115"/>
      <c r="J161" s="441"/>
    </row>
    <row r="162" spans="1:16" ht="39" thickBot="1" x14ac:dyDescent="0.25">
      <c r="A162" s="1246"/>
      <c r="B162" s="1246"/>
      <c r="C162" s="78" t="s">
        <v>2037</v>
      </c>
      <c r="D162" s="507"/>
      <c r="E162" s="507"/>
      <c r="F162" s="1495"/>
      <c r="G162" s="582">
        <f>IF((RareSBM=1),10, IF((OR(CaribouRange=1,CaribouFound=1)),10, 10*MAX(CaribouFound,AVERAGE(UniqClass,HabStrucS1a, CfixS1a, LscapeS1a, StressS1a))))</f>
        <v>1.6666666666666665</v>
      </c>
      <c r="I162" s="115"/>
      <c r="J162" s="441"/>
    </row>
    <row r="163" spans="1:16" s="940" customFormat="1" ht="21" customHeight="1" thickBot="1" x14ac:dyDescent="0.25">
      <c r="A163" s="1246"/>
      <c r="B163" s="1246"/>
      <c r="C163" s="827"/>
      <c r="D163" s="827"/>
      <c r="E163" s="489"/>
      <c r="F163" s="489"/>
      <c r="G163" s="489"/>
      <c r="H163" s="591"/>
      <c r="I163" s="847" t="s">
        <v>293</v>
      </c>
      <c r="J163" s="141"/>
      <c r="K163" s="110"/>
      <c r="L163" s="110"/>
      <c r="M163" s="110"/>
      <c r="N163" s="110"/>
      <c r="O163" s="110"/>
      <c r="P163" s="110"/>
    </row>
    <row r="164" spans="1:16" s="940" customFormat="1" ht="28.5" customHeight="1" x14ac:dyDescent="0.2">
      <c r="A164" s="1550"/>
      <c r="B164" s="1550"/>
      <c r="C164" s="1496"/>
      <c r="D164" s="1497"/>
      <c r="E164" s="489"/>
      <c r="F164" s="489"/>
      <c r="G164" s="489"/>
      <c r="H164" s="591"/>
      <c r="I164" s="844" t="s">
        <v>361</v>
      </c>
      <c r="J164" s="141"/>
      <c r="K164" s="110"/>
      <c r="L164" s="110"/>
      <c r="M164" s="110"/>
      <c r="N164" s="110"/>
      <c r="O164" s="110"/>
      <c r="P164" s="110"/>
    </row>
    <row r="165" spans="1:16" s="122" customFormat="1" ht="38.25" x14ac:dyDescent="0.2">
      <c r="A165" s="1467"/>
      <c r="B165" s="1467"/>
      <c r="C165" s="1498"/>
      <c r="D165" s="1499"/>
      <c r="E165" s="489"/>
      <c r="F165" s="489"/>
      <c r="G165" s="489"/>
      <c r="H165" s="591"/>
      <c r="I165" s="846" t="s">
        <v>2408</v>
      </c>
      <c r="J165" s="140"/>
      <c r="K165" s="119"/>
      <c r="L165" s="119"/>
      <c r="M165" s="119"/>
      <c r="N165" s="119"/>
      <c r="O165" s="119"/>
      <c r="P165" s="119"/>
    </row>
    <row r="166" spans="1:16" s="122" customFormat="1" ht="25.5" x14ac:dyDescent="0.2">
      <c r="A166" s="1467"/>
      <c r="B166" s="1552"/>
      <c r="C166" s="1498"/>
      <c r="D166" s="1468"/>
      <c r="E166" s="489"/>
      <c r="F166" s="489"/>
      <c r="G166" s="489"/>
      <c r="H166" s="591"/>
      <c r="I166" s="846" t="s">
        <v>362</v>
      </c>
      <c r="J166" s="140"/>
      <c r="K166" s="119"/>
      <c r="L166" s="119"/>
      <c r="M166" s="119"/>
      <c r="N166" s="119"/>
      <c r="O166" s="119"/>
      <c r="P166" s="119"/>
    </row>
    <row r="167" spans="1:16" s="122" customFormat="1" ht="38.25" x14ac:dyDescent="0.2">
      <c r="A167" s="1467"/>
      <c r="B167" s="1552"/>
      <c r="C167" s="1498"/>
      <c r="D167" s="1468"/>
      <c r="E167" s="489"/>
      <c r="F167" s="489"/>
      <c r="G167" s="489"/>
      <c r="H167" s="591"/>
      <c r="I167" s="846" t="s">
        <v>2041</v>
      </c>
      <c r="J167" s="140"/>
      <c r="K167" s="119"/>
      <c r="L167" s="119"/>
      <c r="M167" s="119"/>
      <c r="N167" s="119"/>
      <c r="O167" s="119"/>
      <c r="P167" s="119"/>
    </row>
    <row r="168" spans="1:16" s="122" customFormat="1" ht="25.5" x14ac:dyDescent="0.2">
      <c r="A168" s="1467"/>
      <c r="B168" s="1552"/>
      <c r="C168" s="1498"/>
      <c r="D168" s="1468"/>
      <c r="E168" s="489"/>
      <c r="F168" s="489"/>
      <c r="G168" s="489"/>
      <c r="H168" s="591"/>
      <c r="I168" s="846" t="s">
        <v>494</v>
      </c>
      <c r="J168" s="140"/>
      <c r="K168" s="119"/>
      <c r="L168" s="119"/>
      <c r="M168" s="119"/>
      <c r="N168" s="119"/>
      <c r="O168" s="119"/>
      <c r="P168" s="119"/>
    </row>
    <row r="169" spans="1:16" s="122" customFormat="1" ht="25.5" x14ac:dyDescent="0.2">
      <c r="A169" s="1467"/>
      <c r="B169" s="1552"/>
      <c r="C169" s="1498"/>
      <c r="D169" s="1468"/>
      <c r="E169" s="489"/>
      <c r="F169" s="489"/>
      <c r="G169" s="489"/>
      <c r="H169" s="591"/>
      <c r="I169" s="846" t="s">
        <v>363</v>
      </c>
      <c r="J169" s="140"/>
      <c r="K169" s="119"/>
      <c r="L169" s="119"/>
      <c r="M169" s="119"/>
      <c r="N169" s="119"/>
      <c r="O169" s="119"/>
      <c r="P169" s="119"/>
    </row>
    <row r="170" spans="1:16" s="122" customFormat="1" ht="38.25" x14ac:dyDescent="0.2">
      <c r="A170" s="1467"/>
      <c r="B170" s="1552"/>
      <c r="C170" s="1498"/>
      <c r="D170" s="1468"/>
      <c r="E170" s="489"/>
      <c r="F170" s="489"/>
      <c r="G170" s="489"/>
      <c r="H170" s="591"/>
      <c r="I170" s="846" t="s">
        <v>364</v>
      </c>
      <c r="J170" s="140"/>
      <c r="K170" s="119"/>
      <c r="L170" s="119"/>
      <c r="M170" s="119"/>
      <c r="N170" s="119"/>
      <c r="O170" s="119"/>
      <c r="P170" s="119"/>
    </row>
    <row r="171" spans="1:16" s="122" customFormat="1" ht="38.25" x14ac:dyDescent="0.2">
      <c r="A171" s="1467"/>
      <c r="B171" s="1630"/>
      <c r="C171" s="1498"/>
      <c r="D171" s="1468"/>
      <c r="E171" s="489"/>
      <c r="F171" s="489"/>
      <c r="G171" s="489"/>
      <c r="H171" s="591"/>
      <c r="I171" s="846" t="s">
        <v>365</v>
      </c>
      <c r="J171" s="140"/>
      <c r="K171" s="119"/>
      <c r="L171" s="119"/>
      <c r="M171" s="119"/>
      <c r="N171" s="119"/>
      <c r="O171" s="119"/>
      <c r="P171" s="119"/>
    </row>
    <row r="172" spans="1:16" s="940" customFormat="1" ht="25.5" x14ac:dyDescent="0.2">
      <c r="A172" s="1467"/>
      <c r="B172" s="588"/>
      <c r="C172" s="412"/>
      <c r="D172" s="1469"/>
      <c r="E172" s="489"/>
      <c r="F172" s="489"/>
      <c r="G172" s="489"/>
      <c r="H172" s="591"/>
      <c r="I172" s="846" t="s">
        <v>1889</v>
      </c>
      <c r="J172" s="141"/>
      <c r="K172" s="110"/>
      <c r="L172" s="110"/>
      <c r="M172" s="110"/>
      <c r="N172" s="110"/>
      <c r="O172" s="110"/>
      <c r="P172" s="110"/>
    </row>
    <row r="173" spans="1:16" s="940" customFormat="1" ht="38.25" x14ac:dyDescent="0.2">
      <c r="A173" s="1467"/>
      <c r="B173" s="588"/>
      <c r="C173" s="1496"/>
      <c r="D173" s="1469"/>
      <c r="E173" s="489"/>
      <c r="F173" s="489"/>
      <c r="G173" s="489"/>
      <c r="H173" s="591"/>
      <c r="I173" s="846" t="s">
        <v>704</v>
      </c>
      <c r="J173" s="141"/>
      <c r="K173" s="110"/>
      <c r="L173" s="110"/>
      <c r="M173" s="110"/>
      <c r="N173" s="110"/>
      <c r="O173" s="110"/>
      <c r="P173" s="110"/>
    </row>
    <row r="174" spans="1:16" s="940" customFormat="1" ht="38.25" x14ac:dyDescent="0.2">
      <c r="A174" s="1467"/>
      <c r="B174" s="1467"/>
      <c r="C174" s="1498"/>
      <c r="D174" s="1469"/>
      <c r="E174" s="489"/>
      <c r="F174" s="489"/>
      <c r="G174" s="489"/>
      <c r="H174" s="591"/>
      <c r="I174" s="1407" t="s">
        <v>1960</v>
      </c>
      <c r="J174" s="141"/>
      <c r="K174" s="110"/>
      <c r="L174" s="110"/>
      <c r="M174" s="110"/>
      <c r="N174" s="110"/>
      <c r="O174" s="110"/>
      <c r="P174" s="110"/>
    </row>
    <row r="175" spans="1:16" s="940" customFormat="1" ht="28.5" customHeight="1" x14ac:dyDescent="0.2">
      <c r="A175" s="1467"/>
      <c r="B175" s="1630"/>
      <c r="C175" s="1498"/>
      <c r="D175" s="1468"/>
      <c r="E175" s="489"/>
      <c r="F175" s="489"/>
      <c r="G175" s="489"/>
      <c r="H175" s="591"/>
      <c r="I175" s="846" t="s">
        <v>493</v>
      </c>
      <c r="J175" s="141"/>
      <c r="K175" s="110"/>
      <c r="L175" s="110"/>
      <c r="M175" s="110"/>
      <c r="N175" s="110"/>
      <c r="O175" s="110"/>
      <c r="P175" s="110"/>
    </row>
    <row r="176" spans="1:16" s="940" customFormat="1" ht="25.5" x14ac:dyDescent="0.2">
      <c r="A176" s="1467"/>
      <c r="B176" s="1630"/>
      <c r="C176" s="1498"/>
      <c r="D176" s="1468"/>
      <c r="E176" s="489"/>
      <c r="F176" s="489"/>
      <c r="G176" s="489"/>
      <c r="H176" s="591"/>
      <c r="I176" s="846" t="s">
        <v>366</v>
      </c>
      <c r="J176" s="141"/>
      <c r="K176" s="110"/>
      <c r="L176" s="110"/>
      <c r="M176" s="110"/>
      <c r="N176" s="110"/>
      <c r="O176" s="110"/>
      <c r="P176" s="110"/>
    </row>
    <row r="177" spans="1:16" s="940" customFormat="1" ht="25.5" x14ac:dyDescent="0.2">
      <c r="A177" s="1467"/>
      <c r="B177" s="1630"/>
      <c r="C177" s="1498"/>
      <c r="D177" s="1468"/>
      <c r="E177" s="489"/>
      <c r="F177" s="489"/>
      <c r="G177" s="489"/>
      <c r="H177" s="591"/>
      <c r="I177" s="846" t="s">
        <v>1890</v>
      </c>
      <c r="J177" s="141"/>
      <c r="K177" s="110"/>
      <c r="L177" s="110"/>
      <c r="M177" s="110"/>
      <c r="N177" s="110"/>
      <c r="O177" s="110"/>
      <c r="P177" s="110"/>
    </row>
    <row r="178" spans="1:16" s="940" customFormat="1" ht="38.25" x14ac:dyDescent="0.2">
      <c r="A178" s="1467"/>
      <c r="B178" s="1630"/>
      <c r="C178" s="1498"/>
      <c r="D178" s="1468"/>
      <c r="E178" s="489"/>
      <c r="F178" s="489"/>
      <c r="G178" s="489"/>
      <c r="H178" s="591"/>
      <c r="I178" s="846" t="s">
        <v>367</v>
      </c>
      <c r="J178" s="141"/>
      <c r="K178" s="110"/>
      <c r="L178" s="110"/>
      <c r="M178" s="110"/>
      <c r="N178" s="110"/>
      <c r="O178" s="110"/>
      <c r="P178" s="110"/>
    </row>
    <row r="179" spans="1:16" s="940" customFormat="1" ht="38.25" x14ac:dyDescent="0.2">
      <c r="A179" s="1467"/>
      <c r="B179" s="1630"/>
      <c r="C179" s="1498"/>
      <c r="D179" s="1468"/>
      <c r="E179" s="489"/>
      <c r="F179" s="489"/>
      <c r="G179" s="489"/>
      <c r="H179" s="591"/>
      <c r="I179" s="846" t="s">
        <v>368</v>
      </c>
      <c r="J179" s="141"/>
      <c r="K179" s="110"/>
      <c r="L179" s="110"/>
      <c r="M179" s="110"/>
      <c r="N179" s="110"/>
      <c r="O179" s="110"/>
      <c r="P179" s="110"/>
    </row>
    <row r="180" spans="1:16" s="940" customFormat="1" ht="38.25" x14ac:dyDescent="0.2">
      <c r="A180" s="1467"/>
      <c r="B180" s="1630"/>
      <c r="C180" s="1498"/>
      <c r="D180" s="1468"/>
      <c r="E180" s="489"/>
      <c r="F180" s="489"/>
      <c r="G180" s="489"/>
      <c r="H180" s="591"/>
      <c r="I180" s="846" t="s">
        <v>1195</v>
      </c>
      <c r="J180" s="141"/>
      <c r="K180" s="110"/>
      <c r="L180" s="110"/>
      <c r="M180" s="110"/>
      <c r="N180" s="110"/>
      <c r="O180" s="110"/>
      <c r="P180" s="110"/>
    </row>
    <row r="181" spans="1:16" s="940" customFormat="1" ht="38.25" x14ac:dyDescent="0.2">
      <c r="A181" s="110"/>
      <c r="B181" s="588"/>
      <c r="C181" s="588"/>
      <c r="D181" s="588"/>
      <c r="E181" s="110"/>
      <c r="F181" s="110"/>
      <c r="G181" s="110"/>
      <c r="H181" s="1389"/>
      <c r="I181" s="846" t="s">
        <v>369</v>
      </c>
      <c r="J181" s="141"/>
      <c r="K181" s="110"/>
      <c r="L181" s="110"/>
      <c r="M181" s="110"/>
      <c r="N181" s="110"/>
      <c r="O181" s="110"/>
      <c r="P181" s="110"/>
    </row>
    <row r="182" spans="1:16" ht="40.5" customHeight="1" x14ac:dyDescent="0.2">
      <c r="A182" s="110"/>
      <c r="B182" s="588"/>
      <c r="C182" s="588"/>
      <c r="D182" s="588"/>
      <c r="E182" s="110"/>
      <c r="F182" s="110"/>
      <c r="G182" s="110"/>
      <c r="H182" s="1389"/>
      <c r="I182" s="1407" t="s">
        <v>1937</v>
      </c>
      <c r="J182" s="441"/>
    </row>
    <row r="183" spans="1:16" ht="38.25" x14ac:dyDescent="0.2">
      <c r="A183" s="110"/>
      <c r="B183" s="588"/>
      <c r="C183" s="588"/>
      <c r="D183" s="588"/>
      <c r="E183" s="110"/>
      <c r="F183" s="110"/>
      <c r="G183" s="110"/>
      <c r="H183" s="1389"/>
      <c r="I183" s="846" t="s">
        <v>371</v>
      </c>
      <c r="J183" s="441"/>
    </row>
    <row r="184" spans="1:16" ht="25.5" x14ac:dyDescent="0.2">
      <c r="A184" s="110"/>
      <c r="B184" s="110"/>
      <c r="C184" s="110"/>
      <c r="D184" s="110"/>
      <c r="E184" s="110"/>
      <c r="F184" s="110"/>
      <c r="G184" s="110"/>
      <c r="H184" s="1389"/>
      <c r="I184" s="846" t="s">
        <v>370</v>
      </c>
      <c r="J184" s="441"/>
    </row>
    <row r="185" spans="1:16" ht="25.5" x14ac:dyDescent="0.2">
      <c r="A185" s="110"/>
      <c r="B185" s="110"/>
      <c r="C185" s="110"/>
      <c r="D185" s="110"/>
      <c r="E185" s="110"/>
      <c r="F185" s="110"/>
      <c r="G185" s="110"/>
      <c r="H185" s="1389"/>
      <c r="I185" s="846" t="s">
        <v>1196</v>
      </c>
      <c r="J185" s="441"/>
    </row>
    <row r="186" spans="1:16" ht="25.5" x14ac:dyDescent="0.2">
      <c r="A186" s="110"/>
      <c r="B186" s="110"/>
      <c r="C186" s="110"/>
      <c r="D186" s="110"/>
      <c r="E186" s="110"/>
      <c r="F186" s="110"/>
      <c r="G186" s="110"/>
      <c r="H186" s="1389"/>
      <c r="I186" s="846" t="s">
        <v>372</v>
      </c>
      <c r="J186" s="441"/>
    </row>
    <row r="187" spans="1:16" ht="38.25" x14ac:dyDescent="0.2">
      <c r="A187" s="110"/>
      <c r="B187" s="110"/>
      <c r="C187" s="110"/>
      <c r="D187" s="110"/>
      <c r="E187" s="110"/>
      <c r="F187" s="110"/>
      <c r="G187" s="110"/>
      <c r="H187" s="1389"/>
      <c r="I187" s="846" t="s">
        <v>1340</v>
      </c>
      <c r="J187" s="441"/>
    </row>
    <row r="188" spans="1:16" ht="38.25" x14ac:dyDescent="0.2">
      <c r="A188" s="110"/>
      <c r="B188" s="110"/>
      <c r="C188" s="110"/>
      <c r="D188" s="110"/>
      <c r="E188" s="110"/>
      <c r="F188" s="110"/>
      <c r="G188" s="110"/>
      <c r="H188" s="1389"/>
      <c r="I188" s="846" t="s">
        <v>373</v>
      </c>
      <c r="J188" s="441"/>
    </row>
    <row r="189" spans="1:16" ht="51" x14ac:dyDescent="0.2">
      <c r="A189" s="110"/>
      <c r="B189" s="110"/>
      <c r="C189" s="110"/>
      <c r="D189" s="110"/>
      <c r="E189" s="110"/>
      <c r="F189" s="110"/>
      <c r="G189" s="110"/>
      <c r="H189" s="1389"/>
      <c r="I189" s="848" t="s">
        <v>1871</v>
      </c>
      <c r="J189" s="441"/>
    </row>
    <row r="190" spans="1:16" ht="38.25" x14ac:dyDescent="0.2">
      <c r="A190" s="110"/>
      <c r="B190" s="110"/>
      <c r="C190" s="110"/>
      <c r="D190" s="110"/>
      <c r="E190" s="110"/>
      <c r="F190" s="110"/>
      <c r="G190" s="110"/>
      <c r="H190" s="1389"/>
      <c r="I190" s="1407" t="s">
        <v>1938</v>
      </c>
      <c r="J190" s="441"/>
    </row>
    <row r="191" spans="1:16" ht="25.5" x14ac:dyDescent="0.2">
      <c r="A191" s="110"/>
      <c r="B191" s="110"/>
      <c r="C191" s="110"/>
      <c r="D191" s="110"/>
      <c r="E191" s="110"/>
      <c r="F191" s="110"/>
      <c r="G191" s="110"/>
      <c r="H191" s="1389"/>
      <c r="I191" s="1407" t="s">
        <v>1939</v>
      </c>
      <c r="J191" s="441"/>
    </row>
    <row r="192" spans="1:16" ht="38.25" x14ac:dyDescent="0.2">
      <c r="A192" s="110"/>
      <c r="B192" s="110"/>
      <c r="C192" s="110"/>
      <c r="D192" s="110"/>
      <c r="E192" s="110"/>
      <c r="F192" s="110"/>
      <c r="G192" s="110"/>
      <c r="H192" s="1389"/>
      <c r="I192" s="1407" t="s">
        <v>2035</v>
      </c>
      <c r="J192" s="441"/>
    </row>
    <row r="193" spans="1:10" ht="38.25" x14ac:dyDescent="0.2">
      <c r="A193" s="110"/>
      <c r="B193" s="110"/>
      <c r="C193" s="110"/>
      <c r="D193" s="110"/>
      <c r="E193" s="110"/>
      <c r="F193" s="110"/>
      <c r="G193" s="110"/>
      <c r="H193" s="1389"/>
      <c r="I193" s="846" t="s">
        <v>374</v>
      </c>
      <c r="J193" s="441"/>
    </row>
    <row r="194" spans="1:10" ht="25.5" x14ac:dyDescent="0.2">
      <c r="A194" s="110"/>
      <c r="B194" s="110"/>
      <c r="C194" s="110"/>
      <c r="D194" s="110"/>
      <c r="E194" s="110"/>
      <c r="F194" s="110"/>
      <c r="G194" s="110"/>
      <c r="H194" s="1389"/>
      <c r="I194" s="1407" t="s">
        <v>1940</v>
      </c>
      <c r="J194" s="441"/>
    </row>
    <row r="195" spans="1:10" ht="38.25" x14ac:dyDescent="0.2">
      <c r="A195" s="110"/>
      <c r="B195" s="110"/>
      <c r="C195" s="110"/>
      <c r="D195" s="110"/>
      <c r="E195" s="110"/>
      <c r="F195" s="110"/>
      <c r="G195" s="110"/>
      <c r="H195" s="1389"/>
      <c r="I195" s="846" t="s">
        <v>375</v>
      </c>
      <c r="J195" s="441"/>
    </row>
    <row r="196" spans="1:10" ht="51" x14ac:dyDescent="0.2">
      <c r="A196" s="110"/>
      <c r="B196" s="110"/>
      <c r="C196" s="110"/>
      <c r="D196" s="110"/>
      <c r="E196" s="110"/>
      <c r="F196" s="110"/>
      <c r="G196" s="110"/>
      <c r="H196" s="1389"/>
      <c r="I196" s="846" t="s">
        <v>1891</v>
      </c>
      <c r="J196" s="441"/>
    </row>
    <row r="197" spans="1:10" ht="25.5" x14ac:dyDescent="0.2">
      <c r="A197" s="110"/>
      <c r="B197" s="110"/>
      <c r="C197" s="110"/>
      <c r="D197" s="110"/>
      <c r="E197" s="110"/>
      <c r="F197" s="110"/>
      <c r="G197" s="110"/>
      <c r="H197" s="1389"/>
      <c r="I197" s="846" t="s">
        <v>377</v>
      </c>
      <c r="J197" s="441"/>
    </row>
    <row r="198" spans="1:10" ht="38.25" x14ac:dyDescent="0.2">
      <c r="A198" s="110"/>
      <c r="B198" s="110"/>
      <c r="C198" s="110"/>
      <c r="D198" s="110"/>
      <c r="E198" s="110"/>
      <c r="F198" s="110"/>
      <c r="G198" s="110"/>
      <c r="H198" s="1389"/>
      <c r="I198" s="846" t="s">
        <v>376</v>
      </c>
      <c r="J198" s="441"/>
    </row>
    <row r="199" spans="1:10" ht="25.5" x14ac:dyDescent="0.2">
      <c r="A199" s="110"/>
      <c r="B199" s="110"/>
      <c r="C199" s="110"/>
      <c r="D199" s="110"/>
      <c r="E199" s="110"/>
      <c r="F199" s="110"/>
      <c r="G199" s="110"/>
      <c r="H199" s="1389"/>
      <c r="I199" s="846" t="s">
        <v>378</v>
      </c>
      <c r="J199" s="441"/>
    </row>
    <row r="200" spans="1:10" ht="38.25" x14ac:dyDescent="0.2">
      <c r="A200" s="110"/>
      <c r="B200" s="110"/>
      <c r="C200" s="110"/>
      <c r="D200" s="110"/>
      <c r="E200" s="110"/>
      <c r="F200" s="110"/>
      <c r="G200" s="110"/>
      <c r="H200" s="1389"/>
      <c r="I200" s="1407" t="s">
        <v>1941</v>
      </c>
      <c r="J200" s="441"/>
    </row>
    <row r="201" spans="1:10" ht="63.75" x14ac:dyDescent="0.2">
      <c r="A201" s="110"/>
      <c r="B201" s="110"/>
      <c r="C201" s="110"/>
      <c r="D201" s="110"/>
      <c r="E201" s="110"/>
      <c r="F201" s="110"/>
      <c r="G201" s="110"/>
      <c r="H201" s="1389"/>
      <c r="I201" s="848" t="s">
        <v>1892</v>
      </c>
      <c r="J201" s="441"/>
    </row>
    <row r="202" spans="1:10" ht="43.5" customHeight="1" x14ac:dyDescent="0.2">
      <c r="A202" s="110"/>
      <c r="B202" s="110"/>
      <c r="C202" s="110"/>
      <c r="D202" s="110"/>
      <c r="E202" s="110"/>
      <c r="F202" s="110"/>
      <c r="G202" s="110"/>
      <c r="H202" s="1389"/>
      <c r="I202" s="846" t="s">
        <v>1893</v>
      </c>
      <c r="J202" s="441"/>
    </row>
    <row r="203" spans="1:10" ht="38.25" x14ac:dyDescent="0.2">
      <c r="A203" s="110"/>
      <c r="B203" s="110"/>
      <c r="C203" s="110"/>
      <c r="D203" s="110"/>
      <c r="E203" s="110"/>
      <c r="F203" s="110"/>
      <c r="G203" s="110"/>
      <c r="H203" s="1389"/>
      <c r="I203" s="846" t="s">
        <v>1894</v>
      </c>
      <c r="J203" s="441"/>
    </row>
    <row r="204" spans="1:10" ht="38.25" x14ac:dyDescent="0.2">
      <c r="A204" s="110"/>
      <c r="B204" s="110"/>
      <c r="C204" s="110"/>
      <c r="D204" s="110"/>
      <c r="E204" s="110"/>
      <c r="F204" s="110"/>
      <c r="G204" s="110"/>
      <c r="H204" s="1389"/>
      <c r="I204" s="846" t="s">
        <v>1197</v>
      </c>
      <c r="J204" s="441"/>
    </row>
    <row r="205" spans="1:10" ht="26.25" customHeight="1" x14ac:dyDescent="0.2">
      <c r="A205" s="110"/>
      <c r="B205" s="110"/>
      <c r="C205" s="110"/>
      <c r="D205" s="110"/>
      <c r="E205" s="110"/>
      <c r="F205" s="110"/>
      <c r="G205" s="110"/>
      <c r="H205" s="1389"/>
      <c r="I205" s="846" t="s">
        <v>1194</v>
      </c>
      <c r="J205" s="441"/>
    </row>
    <row r="206" spans="1:10" ht="25.5" x14ac:dyDescent="0.2">
      <c r="A206" s="110"/>
      <c r="B206" s="110"/>
      <c r="C206" s="110"/>
      <c r="D206" s="110"/>
      <c r="E206" s="110"/>
      <c r="F206" s="110"/>
      <c r="G206" s="110"/>
      <c r="H206" s="1389"/>
      <c r="I206" s="1407" t="s">
        <v>1942</v>
      </c>
      <c r="J206" s="441"/>
    </row>
    <row r="207" spans="1:10" ht="51" x14ac:dyDescent="0.2">
      <c r="A207" s="110"/>
      <c r="B207" s="110"/>
      <c r="C207" s="110"/>
      <c r="D207" s="110"/>
      <c r="E207" s="110"/>
      <c r="F207" s="110"/>
      <c r="G207" s="110"/>
      <c r="H207" s="1389"/>
      <c r="I207" s="1407" t="s">
        <v>2042</v>
      </c>
      <c r="J207" s="441"/>
    </row>
    <row r="208" spans="1:10" ht="38.25" x14ac:dyDescent="0.2">
      <c r="A208" s="110"/>
      <c r="B208" s="110"/>
      <c r="C208" s="110"/>
      <c r="D208" s="110"/>
      <c r="E208" s="110"/>
      <c r="F208" s="110"/>
      <c r="G208" s="110"/>
      <c r="H208" s="1389"/>
      <c r="I208" s="1407" t="s">
        <v>1943</v>
      </c>
      <c r="J208" s="441"/>
    </row>
    <row r="209" spans="1:10" ht="38.25" x14ac:dyDescent="0.2">
      <c r="A209" s="110"/>
      <c r="B209" s="110"/>
      <c r="C209" s="110"/>
      <c r="D209" s="110"/>
      <c r="E209" s="110"/>
      <c r="F209" s="110"/>
      <c r="G209" s="110"/>
      <c r="H209" s="1389"/>
      <c r="I209" s="846" t="s">
        <v>379</v>
      </c>
      <c r="J209" s="441"/>
    </row>
    <row r="210" spans="1:10" ht="25.5" x14ac:dyDescent="0.2">
      <c r="A210" s="110"/>
      <c r="B210" s="110"/>
      <c r="C210" s="110"/>
      <c r="D210" s="110"/>
      <c r="E210" s="110"/>
      <c r="F210" s="110"/>
      <c r="G210" s="110"/>
      <c r="H210" s="1389"/>
      <c r="I210" s="846" t="s">
        <v>380</v>
      </c>
      <c r="J210" s="441"/>
    </row>
    <row r="211" spans="1:10" ht="25.5" x14ac:dyDescent="0.2">
      <c r="A211" s="110"/>
      <c r="B211" s="110"/>
      <c r="C211" s="110"/>
      <c r="D211" s="110"/>
      <c r="E211" s="110"/>
      <c r="F211" s="110"/>
      <c r="G211" s="110"/>
      <c r="H211" s="1389"/>
      <c r="I211" s="846" t="s">
        <v>1895</v>
      </c>
      <c r="J211" s="441"/>
    </row>
    <row r="212" spans="1:10" ht="38.25" x14ac:dyDescent="0.2">
      <c r="A212" s="110"/>
      <c r="B212" s="110"/>
      <c r="C212" s="110"/>
      <c r="D212" s="110"/>
      <c r="E212" s="110"/>
      <c r="F212" s="110"/>
      <c r="G212" s="110"/>
      <c r="H212" s="1389"/>
      <c r="I212" s="846" t="s">
        <v>382</v>
      </c>
      <c r="J212" s="441"/>
    </row>
    <row r="213" spans="1:10" ht="38.25" x14ac:dyDescent="0.2">
      <c r="A213" s="110"/>
      <c r="B213" s="110"/>
      <c r="C213" s="110"/>
      <c r="D213" s="110"/>
      <c r="E213" s="110"/>
      <c r="F213" s="110"/>
      <c r="G213" s="110"/>
      <c r="H213" s="1389"/>
      <c r="I213" s="846" t="s">
        <v>383</v>
      </c>
      <c r="J213" s="441"/>
    </row>
    <row r="214" spans="1:10" ht="38.25" x14ac:dyDescent="0.2">
      <c r="A214" s="110"/>
      <c r="B214" s="110"/>
      <c r="C214" s="110"/>
      <c r="D214" s="110"/>
      <c r="E214" s="110"/>
      <c r="F214" s="110"/>
      <c r="G214" s="110"/>
      <c r="H214" s="1389"/>
      <c r="I214" s="846" t="s">
        <v>1193</v>
      </c>
      <c r="J214" s="441"/>
    </row>
    <row r="215" spans="1:10" ht="25.5" x14ac:dyDescent="0.2">
      <c r="A215" s="110"/>
      <c r="B215" s="110"/>
      <c r="C215" s="110"/>
      <c r="D215" s="110"/>
      <c r="E215" s="110"/>
      <c r="F215" s="110"/>
      <c r="G215" s="110"/>
      <c r="H215" s="1389"/>
      <c r="I215" s="1407" t="s">
        <v>1944</v>
      </c>
      <c r="J215" s="441"/>
    </row>
    <row r="216" spans="1:10" ht="25.5" x14ac:dyDescent="0.2">
      <c r="A216" s="110"/>
      <c r="B216" s="110"/>
      <c r="C216" s="110"/>
      <c r="D216" s="110"/>
      <c r="E216" s="110"/>
      <c r="F216" s="110"/>
      <c r="G216" s="110"/>
      <c r="H216" s="1389"/>
      <c r="I216" s="846" t="s">
        <v>384</v>
      </c>
      <c r="J216" s="441"/>
    </row>
    <row r="217" spans="1:10" ht="38.25" x14ac:dyDescent="0.2">
      <c r="A217" s="110"/>
      <c r="B217" s="110"/>
      <c r="C217" s="110"/>
      <c r="D217" s="110"/>
      <c r="E217" s="110"/>
      <c r="F217" s="110"/>
      <c r="G217" s="110"/>
      <c r="H217" s="1389"/>
      <c r="I217" s="846" t="s">
        <v>385</v>
      </c>
      <c r="J217" s="441"/>
    </row>
    <row r="218" spans="1:10" ht="25.5" x14ac:dyDescent="0.2">
      <c r="A218" s="110"/>
      <c r="B218" s="110"/>
      <c r="C218" s="110"/>
      <c r="D218" s="110"/>
      <c r="E218" s="110"/>
      <c r="F218" s="110"/>
      <c r="G218" s="110"/>
      <c r="H218" s="1389"/>
      <c r="I218" s="846" t="s">
        <v>386</v>
      </c>
      <c r="J218" s="441"/>
    </row>
    <row r="219" spans="1:10" ht="38.25" x14ac:dyDescent="0.2">
      <c r="A219" s="110"/>
      <c r="B219" s="110"/>
      <c r="C219" s="110"/>
      <c r="D219" s="110"/>
      <c r="E219" s="110"/>
      <c r="F219" s="110"/>
      <c r="G219" s="110"/>
      <c r="H219" s="1389"/>
      <c r="I219" s="846" t="s">
        <v>387</v>
      </c>
      <c r="J219" s="441"/>
    </row>
    <row r="220" spans="1:10" ht="51" x14ac:dyDescent="0.2">
      <c r="A220" s="110"/>
      <c r="B220" s="110"/>
      <c r="C220" s="110"/>
      <c r="D220" s="110"/>
      <c r="E220" s="110"/>
      <c r="F220" s="110"/>
      <c r="G220" s="110"/>
      <c r="H220" s="1389"/>
      <c r="I220" s="846" t="s">
        <v>1245</v>
      </c>
      <c r="J220" s="441"/>
    </row>
    <row r="221" spans="1:10" ht="25.5" x14ac:dyDescent="0.2">
      <c r="A221" s="110"/>
      <c r="B221" s="110"/>
      <c r="C221" s="110"/>
      <c r="D221" s="110"/>
      <c r="E221" s="110"/>
      <c r="F221" s="110"/>
      <c r="G221" s="110"/>
      <c r="H221" s="1389"/>
      <c r="I221" s="846" t="s">
        <v>388</v>
      </c>
      <c r="J221" s="441"/>
    </row>
    <row r="222" spans="1:10" ht="38.25" x14ac:dyDescent="0.2">
      <c r="A222" s="110"/>
      <c r="B222" s="110"/>
      <c r="C222" s="110"/>
      <c r="D222" s="110"/>
      <c r="E222" s="110"/>
      <c r="F222" s="110"/>
      <c r="G222" s="110"/>
      <c r="H222" s="1389"/>
      <c r="I222" s="846" t="s">
        <v>2043</v>
      </c>
      <c r="J222" s="441"/>
    </row>
    <row r="223" spans="1:10" ht="38.25" x14ac:dyDescent="0.2">
      <c r="A223" s="110"/>
      <c r="B223" s="110"/>
      <c r="C223" s="110"/>
      <c r="D223" s="110"/>
      <c r="E223" s="110"/>
      <c r="F223" s="110"/>
      <c r="G223" s="110"/>
      <c r="H223" s="1389"/>
      <c r="I223" s="846" t="s">
        <v>389</v>
      </c>
      <c r="J223" s="441"/>
    </row>
    <row r="224" spans="1:10" ht="25.5" x14ac:dyDescent="0.2">
      <c r="A224" s="110"/>
      <c r="B224" s="110"/>
      <c r="C224" s="110"/>
      <c r="D224" s="110"/>
      <c r="E224" s="110"/>
      <c r="F224" s="110"/>
      <c r="G224" s="110"/>
      <c r="H224" s="1389"/>
      <c r="I224" s="846" t="s">
        <v>390</v>
      </c>
      <c r="J224" s="441"/>
    </row>
    <row r="225" spans="1:10" ht="38.25" x14ac:dyDescent="0.2">
      <c r="A225" s="110"/>
      <c r="B225" s="110"/>
      <c r="C225" s="110"/>
      <c r="D225" s="110"/>
      <c r="E225" s="110"/>
      <c r="F225" s="110"/>
      <c r="G225" s="110"/>
      <c r="H225" s="110"/>
      <c r="I225" s="846" t="s">
        <v>1896</v>
      </c>
      <c r="J225" s="441"/>
    </row>
    <row r="226" spans="1:10" ht="25.5" x14ac:dyDescent="0.2">
      <c r="A226" s="110"/>
      <c r="B226" s="110"/>
      <c r="C226" s="110"/>
      <c r="D226" s="110"/>
      <c r="E226" s="110"/>
      <c r="F226" s="110"/>
      <c r="G226" s="110"/>
      <c r="H226" s="110"/>
      <c r="I226" s="846" t="s">
        <v>391</v>
      </c>
      <c r="J226" s="441"/>
    </row>
    <row r="227" spans="1:10" ht="25.5" x14ac:dyDescent="0.2">
      <c r="A227" s="110"/>
      <c r="B227" s="110"/>
      <c r="C227" s="110"/>
      <c r="D227" s="110"/>
      <c r="E227" s="110"/>
      <c r="F227" s="110"/>
      <c r="G227" s="110"/>
      <c r="H227" s="110"/>
      <c r="I227" s="846" t="s">
        <v>392</v>
      </c>
      <c r="J227" s="441"/>
    </row>
    <row r="228" spans="1:10" ht="38.25" x14ac:dyDescent="0.2">
      <c r="A228" s="110"/>
      <c r="B228" s="110"/>
      <c r="C228" s="110"/>
      <c r="D228" s="110"/>
      <c r="E228" s="110"/>
      <c r="F228" s="110"/>
      <c r="G228" s="110"/>
      <c r="H228" s="110"/>
      <c r="I228" s="846" t="s">
        <v>1897</v>
      </c>
      <c r="J228" s="441"/>
    </row>
    <row r="229" spans="1:10" ht="25.5" x14ac:dyDescent="0.2">
      <c r="A229" s="110"/>
      <c r="B229" s="110"/>
      <c r="C229" s="110"/>
      <c r="D229" s="110"/>
      <c r="E229" s="110"/>
      <c r="F229" s="110"/>
      <c r="G229" s="110"/>
      <c r="H229" s="110"/>
      <c r="I229" s="1407" t="s">
        <v>1945</v>
      </c>
      <c r="J229" s="441"/>
    </row>
    <row r="230" spans="1:10" ht="38.25" x14ac:dyDescent="0.2">
      <c r="A230" s="110"/>
      <c r="B230" s="110"/>
      <c r="C230" s="110"/>
      <c r="D230" s="110"/>
      <c r="E230" s="110"/>
      <c r="F230" s="110"/>
      <c r="G230" s="110"/>
      <c r="H230" s="110"/>
      <c r="I230" s="846" t="s">
        <v>1258</v>
      </c>
      <c r="J230" s="441"/>
    </row>
    <row r="231" spans="1:10" ht="25.5" x14ac:dyDescent="0.2">
      <c r="A231" s="110"/>
      <c r="B231" s="110"/>
      <c r="C231" s="110"/>
      <c r="D231" s="110"/>
      <c r="E231" s="110"/>
      <c r="F231" s="110"/>
      <c r="G231" s="110"/>
      <c r="H231" s="110"/>
      <c r="I231" s="846" t="s">
        <v>393</v>
      </c>
      <c r="J231" s="441"/>
    </row>
    <row r="232" spans="1:10" ht="51" x14ac:dyDescent="0.2">
      <c r="A232" s="110"/>
      <c r="B232" s="110"/>
      <c r="C232" s="110"/>
      <c r="D232" s="110"/>
      <c r="E232" s="110"/>
      <c r="F232" s="110"/>
      <c r="G232" s="110"/>
      <c r="H232" s="110"/>
      <c r="I232" s="846" t="s">
        <v>394</v>
      </c>
      <c r="J232" s="441"/>
    </row>
    <row r="233" spans="1:10" ht="38.25" x14ac:dyDescent="0.2">
      <c r="A233" s="110"/>
      <c r="B233" s="110"/>
      <c r="C233" s="110"/>
      <c r="D233" s="110"/>
      <c r="E233" s="110"/>
      <c r="F233" s="110"/>
      <c r="G233" s="110"/>
      <c r="H233" s="110"/>
      <c r="I233" s="1407" t="s">
        <v>1946</v>
      </c>
      <c r="J233" s="441"/>
    </row>
    <row r="234" spans="1:10" ht="38.25" x14ac:dyDescent="0.2">
      <c r="A234" s="110"/>
      <c r="B234" s="110"/>
      <c r="C234" s="110"/>
      <c r="D234" s="110"/>
      <c r="E234" s="110"/>
      <c r="F234" s="110"/>
      <c r="G234" s="110"/>
      <c r="H234" s="110"/>
      <c r="I234" s="933" t="s">
        <v>1247</v>
      </c>
      <c r="J234" s="441"/>
    </row>
    <row r="235" spans="1:10" ht="38.25" x14ac:dyDescent="0.2">
      <c r="A235" s="110"/>
      <c r="B235" s="110"/>
      <c r="C235" s="110"/>
      <c r="D235" s="110"/>
      <c r="E235" s="110"/>
      <c r="F235" s="110"/>
      <c r="G235" s="110"/>
      <c r="H235" s="110"/>
      <c r="I235" s="738" t="s">
        <v>2036</v>
      </c>
      <c r="J235" s="441"/>
    </row>
    <row r="236" spans="1:10" ht="38.25" x14ac:dyDescent="0.2">
      <c r="A236" s="110"/>
      <c r="B236" s="110"/>
      <c r="C236" s="110"/>
      <c r="D236" s="110"/>
      <c r="E236" s="110"/>
      <c r="F236" s="110"/>
      <c r="G236" s="110"/>
      <c r="H236" s="110"/>
      <c r="I236" s="846" t="s">
        <v>1898</v>
      </c>
      <c r="J236" s="441"/>
    </row>
    <row r="237" spans="1:10" ht="38.25" x14ac:dyDescent="0.2">
      <c r="A237" s="110"/>
      <c r="B237" s="110"/>
      <c r="C237" s="110"/>
      <c r="D237" s="110"/>
      <c r="E237" s="110"/>
      <c r="F237" s="110"/>
      <c r="G237" s="110"/>
      <c r="H237" s="110"/>
      <c r="I237" s="846" t="s">
        <v>1899</v>
      </c>
      <c r="J237" s="441"/>
    </row>
    <row r="238" spans="1:10" ht="38.25" x14ac:dyDescent="0.2">
      <c r="A238" s="110"/>
      <c r="B238" s="110"/>
      <c r="C238" s="110"/>
      <c r="D238" s="110"/>
      <c r="E238" s="110"/>
      <c r="F238" s="110"/>
      <c r="G238" s="110"/>
      <c r="H238" s="110"/>
      <c r="I238" s="846" t="s">
        <v>397</v>
      </c>
      <c r="J238" s="441"/>
    </row>
    <row r="239" spans="1:10" ht="38.25" x14ac:dyDescent="0.2">
      <c r="A239" s="110"/>
      <c r="B239" s="110"/>
      <c r="C239" s="110"/>
      <c r="D239" s="110"/>
      <c r="E239" s="110"/>
      <c r="F239" s="110"/>
      <c r="G239" s="110"/>
      <c r="H239" s="110"/>
      <c r="I239" s="846" t="s">
        <v>396</v>
      </c>
      <c r="J239" s="441"/>
    </row>
    <row r="240" spans="1:10" ht="25.5" x14ac:dyDescent="0.2">
      <c r="A240" s="110"/>
      <c r="B240" s="110"/>
      <c r="C240" s="110"/>
      <c r="D240" s="110"/>
      <c r="E240" s="110"/>
      <c r="F240" s="110"/>
      <c r="G240" s="110"/>
      <c r="H240" s="110"/>
      <c r="I240" s="846" t="s">
        <v>398</v>
      </c>
      <c r="J240" s="441"/>
    </row>
    <row r="241" spans="1:10" ht="38.25" x14ac:dyDescent="0.2">
      <c r="A241" s="110"/>
      <c r="B241" s="110"/>
      <c r="C241" s="110"/>
      <c r="D241" s="110"/>
      <c r="E241" s="110"/>
      <c r="F241" s="110"/>
      <c r="G241" s="110"/>
      <c r="H241" s="110"/>
      <c r="I241" s="846" t="s">
        <v>399</v>
      </c>
      <c r="J241" s="441"/>
    </row>
    <row r="242" spans="1:10" ht="29.25" customHeight="1" x14ac:dyDescent="0.2">
      <c r="A242" s="110"/>
      <c r="B242" s="110"/>
      <c r="C242" s="110"/>
      <c r="D242" s="110"/>
      <c r="E242" s="110"/>
      <c r="F242" s="110"/>
      <c r="G242" s="110"/>
      <c r="H242" s="110"/>
      <c r="I242" s="846" t="s">
        <v>1900</v>
      </c>
      <c r="J242" s="441"/>
    </row>
    <row r="243" spans="1:10" ht="38.25" x14ac:dyDescent="0.2">
      <c r="A243" s="110"/>
      <c r="B243" s="110"/>
      <c r="C243" s="110"/>
      <c r="D243" s="110"/>
      <c r="E243" s="110"/>
      <c r="F243" s="110"/>
      <c r="G243" s="110"/>
      <c r="H243" s="110"/>
      <c r="I243" s="846" t="s">
        <v>1901</v>
      </c>
      <c r="J243" s="441"/>
    </row>
    <row r="244" spans="1:10" ht="38.25" x14ac:dyDescent="0.2">
      <c r="C244" s="5"/>
      <c r="H244" s="119"/>
      <c r="I244" s="846" t="s">
        <v>400</v>
      </c>
      <c r="J244" s="441"/>
    </row>
    <row r="245" spans="1:10" ht="25.5" x14ac:dyDescent="0.2">
      <c r="C245" s="5"/>
      <c r="H245" s="119"/>
      <c r="I245" s="846" t="s">
        <v>401</v>
      </c>
      <c r="J245" s="441"/>
    </row>
    <row r="246" spans="1:10" ht="30" customHeight="1" x14ac:dyDescent="0.2">
      <c r="C246" s="5"/>
      <c r="H246" s="119"/>
      <c r="I246" s="846" t="s">
        <v>402</v>
      </c>
      <c r="J246" s="441"/>
    </row>
    <row r="247" spans="1:10" ht="25.5" x14ac:dyDescent="0.2">
      <c r="C247" s="5"/>
      <c r="H247" s="119"/>
      <c r="I247" s="848" t="s">
        <v>1246</v>
      </c>
      <c r="J247" s="441"/>
    </row>
    <row r="248" spans="1:10" ht="26.25" thickBot="1" x14ac:dyDescent="0.25">
      <c r="C248" s="5"/>
      <c r="H248" s="119"/>
      <c r="I248" s="125" t="s">
        <v>403</v>
      </c>
      <c r="J248" s="441"/>
    </row>
    <row r="249" spans="1:10" x14ac:dyDescent="0.2">
      <c r="C249" s="5"/>
      <c r="H249" s="119"/>
      <c r="J249" s="441"/>
    </row>
    <row r="250" spans="1:10" x14ac:dyDescent="0.2">
      <c r="C250" s="5"/>
      <c r="H250" s="119"/>
      <c r="J250" s="441"/>
    </row>
    <row r="251" spans="1:10" x14ac:dyDescent="0.2">
      <c r="C251" s="5"/>
      <c r="H251" s="119"/>
      <c r="J251" s="441"/>
    </row>
    <row r="252" spans="1:10" x14ac:dyDescent="0.2">
      <c r="C252" s="5"/>
      <c r="H252" s="119"/>
      <c r="J252" s="441"/>
    </row>
    <row r="253" spans="1:10" x14ac:dyDescent="0.2">
      <c r="C253" s="5"/>
      <c r="H253" s="119"/>
      <c r="J253" s="441"/>
    </row>
    <row r="254" spans="1:10" x14ac:dyDescent="0.2">
      <c r="C254" s="5"/>
      <c r="H254" s="119"/>
      <c r="J254" s="441"/>
    </row>
    <row r="255" spans="1:10" x14ac:dyDescent="0.2">
      <c r="C255" s="5"/>
      <c r="H255" s="119"/>
      <c r="J255" s="441"/>
    </row>
    <row r="256" spans="1:10" x14ac:dyDescent="0.2">
      <c r="C256" s="5"/>
      <c r="H256" s="119"/>
      <c r="J256" s="441"/>
    </row>
    <row r="257" spans="1:10" x14ac:dyDescent="0.2">
      <c r="C257" s="5"/>
      <c r="H257" s="119"/>
      <c r="J257" s="441"/>
    </row>
    <row r="258" spans="1:10" x14ac:dyDescent="0.2">
      <c r="C258" s="5"/>
      <c r="H258" s="119"/>
      <c r="J258" s="441"/>
    </row>
    <row r="259" spans="1:10" x14ac:dyDescent="0.2">
      <c r="C259" s="5"/>
      <c r="H259" s="119"/>
      <c r="J259" s="441"/>
    </row>
    <row r="260" spans="1:10" x14ac:dyDescent="0.2">
      <c r="C260" s="5"/>
      <c r="H260" s="119"/>
      <c r="J260" s="441"/>
    </row>
    <row r="261" spans="1:10" x14ac:dyDescent="0.2">
      <c r="C261" s="5"/>
      <c r="H261" s="119"/>
    </row>
    <row r="262" spans="1:10" x14ac:dyDescent="0.2">
      <c r="C262" s="5"/>
      <c r="H262" s="119"/>
    </row>
    <row r="263" spans="1:10" x14ac:dyDescent="0.2">
      <c r="H263" s="119"/>
    </row>
    <row r="264" spans="1:10" s="940" customFormat="1" x14ac:dyDescent="0.2">
      <c r="A264" s="135"/>
      <c r="B264" s="110"/>
      <c r="C264" s="136"/>
      <c r="D264" s="579"/>
      <c r="E264" s="579"/>
      <c r="F264" s="579"/>
      <c r="G264" s="230"/>
      <c r="H264" s="119"/>
      <c r="I264" s="25"/>
      <c r="J264" s="573"/>
    </row>
    <row r="265" spans="1:10" s="940" customFormat="1" x14ac:dyDescent="0.2">
      <c r="A265" s="135"/>
      <c r="B265" s="110"/>
      <c r="C265" s="136"/>
      <c r="D265" s="579"/>
      <c r="E265" s="579"/>
      <c r="F265" s="579"/>
      <c r="G265" s="230"/>
      <c r="H265" s="119"/>
      <c r="I265" s="25"/>
      <c r="J265" s="573"/>
    </row>
    <row r="266" spans="1:10" s="940" customFormat="1" x14ac:dyDescent="0.2">
      <c r="A266" s="135"/>
      <c r="B266" s="110"/>
      <c r="C266" s="136"/>
      <c r="D266" s="579"/>
      <c r="E266" s="579"/>
      <c r="F266" s="579"/>
      <c r="G266" s="230"/>
      <c r="H266" s="115"/>
      <c r="I266" s="25"/>
      <c r="J266" s="573"/>
    </row>
    <row r="267" spans="1:10" s="940" customFormat="1" x14ac:dyDescent="0.2">
      <c r="A267" s="135"/>
      <c r="B267" s="110"/>
      <c r="C267" s="136"/>
      <c r="D267" s="579"/>
      <c r="E267" s="579"/>
      <c r="F267" s="579"/>
      <c r="G267" s="230"/>
      <c r="H267" s="115"/>
      <c r="I267" s="25"/>
      <c r="J267" s="573"/>
    </row>
  </sheetData>
  <sheetProtection password="C4B9" sheet="1" objects="1" scenarios="1"/>
  <sortState ref="I189:I272">
    <sortCondition ref="I189:I272"/>
  </sortState>
  <customSheetViews>
    <customSheetView guid="{B8E02330-2419-4DE6-AD01-7ACC7A5D18DD}" scale="80" topLeftCell="D35">
      <selection activeCell="J44" sqref="J44"/>
      <pageMargins left="0.75" right="0.75" top="1" bottom="1" header="0.5" footer="0.5"/>
      <pageSetup orientation="portrait" horizontalDpi="4294967294" r:id="rId1"/>
      <headerFooter alignWithMargins="0"/>
    </customSheetView>
  </customSheetViews>
  <mergeCells count="94">
    <mergeCell ref="B138:B142"/>
    <mergeCell ref="B131:B137"/>
    <mergeCell ref="A121:A126"/>
    <mergeCell ref="A131:A137"/>
    <mergeCell ref="I144:I145"/>
    <mergeCell ref="B144:B145"/>
    <mergeCell ref="A144:A145"/>
    <mergeCell ref="H144:H145"/>
    <mergeCell ref="A138:A142"/>
    <mergeCell ref="I138:I142"/>
    <mergeCell ref="H138:H142"/>
    <mergeCell ref="H131:H137"/>
    <mergeCell ref="A30:A35"/>
    <mergeCell ref="H86:H91"/>
    <mergeCell ref="H92:H98"/>
    <mergeCell ref="B36:B42"/>
    <mergeCell ref="A36:A42"/>
    <mergeCell ref="A86:A91"/>
    <mergeCell ref="B92:B98"/>
    <mergeCell ref="A83:A85"/>
    <mergeCell ref="A67:A70"/>
    <mergeCell ref="A52:A56"/>
    <mergeCell ref="B71:B76"/>
    <mergeCell ref="B77:B82"/>
    <mergeCell ref="B57:B59"/>
    <mergeCell ref="A63:A66"/>
    <mergeCell ref="B43:B51"/>
    <mergeCell ref="A43:A51"/>
    <mergeCell ref="A77:A82"/>
    <mergeCell ref="A113:A116"/>
    <mergeCell ref="H106:H112"/>
    <mergeCell ref="H113:H116"/>
    <mergeCell ref="B117:B120"/>
    <mergeCell ref="B99:B105"/>
    <mergeCell ref="B86:B91"/>
    <mergeCell ref="B63:B66"/>
    <mergeCell ref="B67:B70"/>
    <mergeCell ref="B83:B85"/>
    <mergeCell ref="B52:B56"/>
    <mergeCell ref="H23:H29"/>
    <mergeCell ref="I30:I35"/>
    <mergeCell ref="H57:H59"/>
    <mergeCell ref="I23:I29"/>
    <mergeCell ref="I67:I70"/>
    <mergeCell ref="I57:I59"/>
    <mergeCell ref="I60:I62"/>
    <mergeCell ref="H60:H62"/>
    <mergeCell ref="H43:H51"/>
    <mergeCell ref="I36:I42"/>
    <mergeCell ref="H52:H56"/>
    <mergeCell ref="H36:H42"/>
    <mergeCell ref="I52:I56"/>
    <mergeCell ref="A1:B1"/>
    <mergeCell ref="I106:I112"/>
    <mergeCell ref="I43:I51"/>
    <mergeCell ref="I99:I105"/>
    <mergeCell ref="A23:A29"/>
    <mergeCell ref="B30:B35"/>
    <mergeCell ref="H30:H35"/>
    <mergeCell ref="B106:B112"/>
    <mergeCell ref="A92:A98"/>
    <mergeCell ref="A106:A112"/>
    <mergeCell ref="A99:A105"/>
    <mergeCell ref="B23:B29"/>
    <mergeCell ref="E1:I1"/>
    <mergeCell ref="H67:H70"/>
    <mergeCell ref="H71:H76"/>
    <mergeCell ref="H99:H105"/>
    <mergeCell ref="A71:A76"/>
    <mergeCell ref="A60:A62"/>
    <mergeCell ref="A57:A59"/>
    <mergeCell ref="I131:I137"/>
    <mergeCell ref="I77:I82"/>
    <mergeCell ref="I121:I126"/>
    <mergeCell ref="I127:I129"/>
    <mergeCell ref="I63:I66"/>
    <mergeCell ref="I113:I116"/>
    <mergeCell ref="I117:I120"/>
    <mergeCell ref="I83:I85"/>
    <mergeCell ref="H63:H66"/>
    <mergeCell ref="H83:H85"/>
    <mergeCell ref="H77:H82"/>
    <mergeCell ref="I71:I76"/>
    <mergeCell ref="B60:B62"/>
    <mergeCell ref="I86:I91"/>
    <mergeCell ref="I92:I98"/>
    <mergeCell ref="A117:A120"/>
    <mergeCell ref="B113:B116"/>
    <mergeCell ref="H127:H129"/>
    <mergeCell ref="H121:H126"/>
    <mergeCell ref="B127:B129"/>
    <mergeCell ref="A127:A129"/>
    <mergeCell ref="B121:B126"/>
    <mergeCell ref="H117:H120"/>
  </mergeCells>
  <phoneticPr fontId="12" type="noConversion"/>
  <pageMargins left="0.75" right="0.75" top="1" bottom="1" header="0.5" footer="0.5"/>
  <pageSetup orientation="portrait" horizontalDpi="4294967294" r:id="rId2"/>
  <headerFooter alignWithMargins="0"/>
  <ignoredErrors>
    <ignoredError sqref="G127"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R271"/>
  <sheetViews>
    <sheetView zoomScaleNormal="100" workbookViewId="0">
      <selection activeCell="C1" sqref="C1"/>
    </sheetView>
  </sheetViews>
  <sheetFormatPr defaultColWidth="9.33203125" defaultRowHeight="12.75" x14ac:dyDescent="0.2"/>
  <cols>
    <col min="1" max="1" width="5.83203125" style="1555" customWidth="1"/>
    <col min="2" max="2" width="18.83203125" style="25" customWidth="1"/>
    <col min="3" max="3" width="69.83203125" style="25" customWidth="1"/>
    <col min="4" max="4" width="6.83203125" style="574" customWidth="1"/>
    <col min="5" max="5" width="6.83203125" style="577" customWidth="1"/>
    <col min="6" max="6" width="6.83203125" style="574" customWidth="1"/>
    <col min="7" max="7" width="10.83203125" style="179" customWidth="1"/>
    <col min="8" max="8" width="14.33203125" style="25" customWidth="1"/>
    <col min="9" max="9" width="67.83203125" style="39" customWidth="1"/>
    <col min="10" max="10" width="9.33203125" style="153"/>
    <col min="11" max="16384" width="9.33203125" style="33"/>
  </cols>
  <sheetData>
    <row r="1" spans="1:96" s="64" customFormat="1" ht="87" customHeight="1" thickBot="1" x14ac:dyDescent="0.25">
      <c r="A1" s="2241" t="s">
        <v>2173</v>
      </c>
      <c r="B1" s="2242"/>
      <c r="C1" s="556" t="s">
        <v>821</v>
      </c>
      <c r="D1" s="557" t="s">
        <v>519</v>
      </c>
      <c r="E1" s="2083"/>
      <c r="F1" s="2084"/>
      <c r="G1" s="2084"/>
      <c r="H1" s="2084"/>
      <c r="I1" s="2085"/>
      <c r="J1" s="152"/>
    </row>
    <row r="2" spans="1:96" s="1014" customFormat="1" ht="50.25" thickBot="1" x14ac:dyDescent="0.25">
      <c r="A2" s="1008" t="s">
        <v>78</v>
      </c>
      <c r="B2" s="1009" t="s">
        <v>701</v>
      </c>
      <c r="C2" s="1010" t="s">
        <v>866</v>
      </c>
      <c r="D2" s="1008"/>
      <c r="E2" s="1011"/>
      <c r="F2" s="1012"/>
      <c r="G2" s="1013" t="s">
        <v>710</v>
      </c>
      <c r="H2" s="1009" t="s">
        <v>2028</v>
      </c>
      <c r="I2" s="1009" t="s">
        <v>255</v>
      </c>
    </row>
    <row r="3" spans="1:96" s="111" customFormat="1" ht="38.25" customHeight="1" thickBot="1" x14ac:dyDescent="0.25">
      <c r="A3" s="418" t="str">
        <f>OF!A6</f>
        <v>OF5</v>
      </c>
      <c r="B3" s="323" t="str">
        <f>OF!C6</f>
        <v>Wetland Class Richness Within Wetland</v>
      </c>
      <c r="C3" s="447" t="s">
        <v>406</v>
      </c>
      <c r="D3" s="324"/>
      <c r="E3" s="325"/>
      <c r="F3" s="325"/>
      <c r="G3" s="345" t="str">
        <f>IF((ClassRichIn=""),"",ClassRichIn)</f>
        <v/>
      </c>
      <c r="H3" s="1360" t="s">
        <v>685</v>
      </c>
      <c r="I3" s="840" t="s">
        <v>915</v>
      </c>
      <c r="J3" s="146"/>
    </row>
    <row r="4" spans="1:96" s="111" customFormat="1" ht="45" customHeight="1" thickBot="1" x14ac:dyDescent="0.25">
      <c r="A4" s="317" t="str">
        <f>OF!A7</f>
        <v>OF6</v>
      </c>
      <c r="B4" s="318" t="str">
        <f>OF!C7</f>
        <v>Distance to Nearest Annual Cropland or Developed Land</v>
      </c>
      <c r="C4" s="479" t="s">
        <v>406</v>
      </c>
      <c r="D4" s="320"/>
      <c r="E4" s="321"/>
      <c r="F4" s="321"/>
      <c r="G4" s="330" t="str">
        <f>IF((Dist2DevCrop=""),"",Dist2DevCrop)</f>
        <v/>
      </c>
      <c r="H4" s="332" t="s">
        <v>802</v>
      </c>
      <c r="I4" s="831" t="s">
        <v>1902</v>
      </c>
      <c r="J4" s="146"/>
      <c r="L4" s="163"/>
    </row>
    <row r="5" spans="1:96" s="111" customFormat="1" ht="45" customHeight="1" thickBot="1" x14ac:dyDescent="0.25">
      <c r="A5" s="418" t="str">
        <f>OF!A9</f>
        <v>OF8</v>
      </c>
      <c r="B5" s="323" t="str">
        <f>OF!C9</f>
        <v>Distance to Nearest Well-settled Area</v>
      </c>
      <c r="C5" s="447" t="s">
        <v>406</v>
      </c>
      <c r="D5" s="324"/>
      <c r="E5" s="325"/>
      <c r="F5" s="325"/>
      <c r="G5" s="345" t="str">
        <f>IF((DistPop=""),"",DistPop)</f>
        <v/>
      </c>
      <c r="H5" s="1360" t="s">
        <v>673</v>
      </c>
      <c r="I5" s="1412" t="s">
        <v>1903</v>
      </c>
      <c r="J5" s="146"/>
      <c r="L5" s="162"/>
    </row>
    <row r="6" spans="1:96" s="111" customFormat="1" ht="114" customHeight="1" thickBot="1" x14ac:dyDescent="0.25">
      <c r="A6" s="317" t="str">
        <f>OF!A8</f>
        <v>OF7</v>
      </c>
      <c r="B6" s="318" t="str">
        <f>OF!C8</f>
        <v>Distance to Nearest Road (from Wetland Edge)</v>
      </c>
      <c r="C6" s="479" t="s">
        <v>406</v>
      </c>
      <c r="D6" s="320"/>
      <c r="E6" s="321"/>
      <c r="F6" s="321"/>
      <c r="G6" s="330" t="str">
        <f>IF((Dist2Road=""),"",Dist2Road)</f>
        <v/>
      </c>
      <c r="H6" s="331" t="s">
        <v>812</v>
      </c>
      <c r="I6" s="810" t="s">
        <v>1357</v>
      </c>
      <c r="J6" s="146"/>
      <c r="L6" s="161"/>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row>
    <row r="7" spans="1:96" s="111" customFormat="1" ht="39" thickBot="1" x14ac:dyDescent="0.25">
      <c r="A7" s="317" t="str">
        <f>OF!A16</f>
        <v>OF15</v>
      </c>
      <c r="B7" s="318" t="str">
        <f>OF!C16</f>
        <v>Growing Degree Days</v>
      </c>
      <c r="C7" s="479" t="s">
        <v>406</v>
      </c>
      <c r="D7" s="320"/>
      <c r="E7" s="321"/>
      <c r="F7" s="321"/>
      <c r="G7" s="330" t="str">
        <f>IF((GrowDD=""),"",GrowDD)</f>
        <v/>
      </c>
      <c r="H7" s="331" t="s">
        <v>698</v>
      </c>
      <c r="I7" s="810" t="s">
        <v>466</v>
      </c>
      <c r="J7" s="146"/>
      <c r="L7" s="164"/>
    </row>
    <row r="8" spans="1:96" s="111" customFormat="1" ht="105" customHeight="1" thickBot="1" x14ac:dyDescent="0.25">
      <c r="A8" s="418" t="str">
        <f>OF!A22</f>
        <v>OF21</v>
      </c>
      <c r="B8" s="323" t="str">
        <f>OF!C22</f>
        <v>% Natural Cover Within 1km</v>
      </c>
      <c r="C8" s="447" t="s">
        <v>406</v>
      </c>
      <c r="D8" s="324"/>
      <c r="E8" s="325"/>
      <c r="F8" s="325"/>
      <c r="G8" s="531" t="str">
        <f>IF((NatCov1k=""),"",NatCov1k)</f>
        <v/>
      </c>
      <c r="H8" s="1412" t="s">
        <v>687</v>
      </c>
      <c r="I8" s="1374" t="s">
        <v>1904</v>
      </c>
      <c r="J8" s="151"/>
      <c r="K8" s="159"/>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5"/>
    </row>
    <row r="9" spans="1:96" s="5" customFormat="1" ht="49.9" customHeight="1" thickBot="1" x14ac:dyDescent="0.25">
      <c r="A9" s="317" t="str">
        <f>OF!A32</f>
        <v>OF31</v>
      </c>
      <c r="B9" s="1308" t="str">
        <f>OF!C32</f>
        <v>Road Density Within 1km Buffer</v>
      </c>
      <c r="C9" s="479"/>
      <c r="D9" s="1259"/>
      <c r="E9" s="1260"/>
      <c r="F9" s="1260"/>
      <c r="G9" s="766" t="str">
        <f>IF((RdDens1k=""),"",RdDens1k)</f>
        <v/>
      </c>
      <c r="H9" s="1194" t="s">
        <v>688</v>
      </c>
      <c r="I9" s="1502" t="s">
        <v>2418</v>
      </c>
      <c r="J9" s="151"/>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row>
    <row r="10" spans="1:96" s="111" customFormat="1" ht="45" customHeight="1" thickBot="1" x14ac:dyDescent="0.25">
      <c r="A10" s="317" t="str">
        <f>OF!A34</f>
        <v>OF33</v>
      </c>
      <c r="B10" s="318" t="str">
        <f>OF!C34</f>
        <v>Riparian or Floodway Location</v>
      </c>
      <c r="C10" s="479" t="s">
        <v>406</v>
      </c>
      <c r="D10" s="320"/>
      <c r="E10" s="321"/>
      <c r="F10" s="321"/>
      <c r="G10" s="330" t="str">
        <f>IF((RipFloodpl=""),"",RipFloodpl)</f>
        <v/>
      </c>
      <c r="H10" s="331" t="s">
        <v>697</v>
      </c>
      <c r="I10" s="810" t="s">
        <v>919</v>
      </c>
      <c r="J10" s="146"/>
      <c r="L10" s="161"/>
    </row>
    <row r="11" spans="1:96" s="111" customFormat="1" ht="35.25" customHeight="1" thickBot="1" x14ac:dyDescent="0.25">
      <c r="A11" s="317" t="str">
        <f>OF!A41</f>
        <v>OF40</v>
      </c>
      <c r="B11" s="318" t="str">
        <f>OF!C41</f>
        <v>Local Uniqueness of Wetland's Class</v>
      </c>
      <c r="C11" s="479" t="s">
        <v>406</v>
      </c>
      <c r="D11" s="320"/>
      <c r="E11" s="321"/>
      <c r="F11" s="321"/>
      <c r="G11" s="502" t="str">
        <f>IF((UniqClass=""),"",UniqClass)</f>
        <v/>
      </c>
      <c r="H11" s="464" t="s">
        <v>799</v>
      </c>
      <c r="I11" s="810" t="s">
        <v>920</v>
      </c>
      <c r="J11" s="146"/>
      <c r="K11" s="159"/>
    </row>
    <row r="12" spans="1:96" s="111" customFormat="1" ht="68.25" thickBot="1" x14ac:dyDescent="0.25">
      <c r="A12" s="317" t="str">
        <f>OF!A45</f>
        <v>OF44</v>
      </c>
      <c r="B12" s="318" t="str">
        <f>OF!C45</f>
        <v>Wetland Density Within 1km</v>
      </c>
      <c r="C12" s="479" t="s">
        <v>406</v>
      </c>
      <c r="D12" s="320"/>
      <c r="E12" s="321"/>
      <c r="F12" s="321"/>
      <c r="G12" s="502" t="str">
        <f>IF((WetDens1k=""),"",WetDens1k)</f>
        <v/>
      </c>
      <c r="H12" s="464" t="s">
        <v>661</v>
      </c>
      <c r="I12" s="840" t="s">
        <v>1688</v>
      </c>
      <c r="J12" s="151"/>
      <c r="K12" s="159"/>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5"/>
    </row>
    <row r="13" spans="1:96" s="111" customFormat="1" ht="120" customHeight="1" thickBot="1" x14ac:dyDescent="0.25">
      <c r="A13" s="418" t="str">
        <f>OF!A50</f>
        <v>OF49</v>
      </c>
      <c r="B13" s="323" t="str">
        <f>OF!C50</f>
        <v>Wetland Vegetated Area (in hectares)</v>
      </c>
      <c r="C13" s="447" t="s">
        <v>406</v>
      </c>
      <c r="D13" s="324"/>
      <c r="E13" s="325"/>
      <c r="F13" s="325"/>
      <c r="G13" s="345" t="str">
        <f>IF((WetVegArea=""),"",WetVegArea)</f>
        <v/>
      </c>
      <c r="H13" s="351" t="s">
        <v>656</v>
      </c>
      <c r="I13" s="1412" t="s">
        <v>626</v>
      </c>
      <c r="J13" s="146"/>
    </row>
    <row r="14" spans="1:96" s="1007" customFormat="1" ht="66.75" thickBot="1" x14ac:dyDescent="0.35">
      <c r="A14" s="997" t="s">
        <v>78</v>
      </c>
      <c r="B14" s="998" t="s">
        <v>709</v>
      </c>
      <c r="C14" s="1021" t="s">
        <v>708</v>
      </c>
      <c r="D14" s="1000" t="s">
        <v>33</v>
      </c>
      <c r="E14" s="1001" t="s">
        <v>1131</v>
      </c>
      <c r="F14" s="1002" t="s">
        <v>1130</v>
      </c>
      <c r="G14" s="1003" t="s">
        <v>710</v>
      </c>
      <c r="H14" s="1004" t="s">
        <v>2028</v>
      </c>
      <c r="I14" s="1005" t="s">
        <v>917</v>
      </c>
      <c r="J14" s="1006"/>
    </row>
    <row r="15" spans="1:96" s="8" customFormat="1" ht="51.75" thickBot="1" x14ac:dyDescent="0.25">
      <c r="A15" s="1992" t="str">
        <f>F!A12</f>
        <v>F2</v>
      </c>
      <c r="B15" s="1867" t="str">
        <f>F!B12</f>
        <v>Wetland Types - Subordinate</v>
      </c>
      <c r="C15" s="791" t="str">
        <f>F!C12</f>
        <v>If the AA is smaller than 1 ha, mark all other types that occupy more than 1% of the vegetated AA.  If the AA is larger than 1 ha, mark all other types which adjoin directly (are contiguous with) the AA and occupy more than 1 ha, as visible from the AA or as interpreted from aerial imagery.  Do not mark again the type marked in F1.</v>
      </c>
      <c r="D15" s="282"/>
      <c r="E15" s="282"/>
      <c r="F15" s="105"/>
      <c r="G15" s="784">
        <f>IF((D20=1),"",SUM(D16:D19)/3)</f>
        <v>0</v>
      </c>
      <c r="H15" s="1910" t="s">
        <v>818</v>
      </c>
      <c r="I15" s="1867" t="s">
        <v>2414</v>
      </c>
      <c r="J15" s="138"/>
      <c r="L15" s="165"/>
    </row>
    <row r="16" spans="1:96" s="8" customFormat="1" ht="15" customHeight="1" x14ac:dyDescent="0.2">
      <c r="A16" s="1991"/>
      <c r="B16" s="1911"/>
      <c r="C16" s="934" t="str">
        <f>F!C13</f>
        <v>A1</v>
      </c>
      <c r="D16" s="733">
        <f>F!D13</f>
        <v>0</v>
      </c>
      <c r="E16" s="722"/>
      <c r="F16" s="812"/>
      <c r="G16" s="775"/>
      <c r="H16" s="1881"/>
      <c r="I16" s="1911"/>
      <c r="J16" s="138"/>
      <c r="L16" s="165"/>
    </row>
    <row r="17" spans="1:12" s="8" customFormat="1" ht="15" customHeight="1" x14ac:dyDescent="0.2">
      <c r="A17" s="1991"/>
      <c r="B17" s="1911"/>
      <c r="C17" s="935" t="str">
        <f>F!C14</f>
        <v>A2</v>
      </c>
      <c r="D17" s="733">
        <f>F!D14</f>
        <v>0</v>
      </c>
      <c r="E17" s="722"/>
      <c r="F17" s="812"/>
      <c r="G17" s="775"/>
      <c r="H17" s="1881"/>
      <c r="I17" s="1911"/>
      <c r="J17" s="138"/>
      <c r="L17" s="165"/>
    </row>
    <row r="18" spans="1:12" s="8" customFormat="1" ht="15" customHeight="1" x14ac:dyDescent="0.2">
      <c r="A18" s="1991"/>
      <c r="B18" s="1911"/>
      <c r="C18" s="935" t="str">
        <f>F!C15</f>
        <v>B1</v>
      </c>
      <c r="D18" s="733">
        <f>F!D15</f>
        <v>0</v>
      </c>
      <c r="E18" s="722"/>
      <c r="F18" s="812"/>
      <c r="G18" s="775"/>
      <c r="H18" s="1881"/>
      <c r="I18" s="1911"/>
      <c r="J18" s="138"/>
      <c r="L18" s="165"/>
    </row>
    <row r="19" spans="1:12" s="8" customFormat="1" ht="15" customHeight="1" x14ac:dyDescent="0.2">
      <c r="A19" s="1991"/>
      <c r="B19" s="1911"/>
      <c r="C19" s="935" t="str">
        <f>F!C16</f>
        <v>B2</v>
      </c>
      <c r="D19" s="733">
        <f>F!D16</f>
        <v>0</v>
      </c>
      <c r="E19" s="722"/>
      <c r="F19" s="812"/>
      <c r="G19" s="775"/>
      <c r="H19" s="1881"/>
      <c r="I19" s="1911"/>
      <c r="J19" s="138"/>
      <c r="L19" s="165"/>
    </row>
    <row r="20" spans="1:12" s="8" customFormat="1" ht="15" customHeight="1" thickBot="1" x14ac:dyDescent="0.25">
      <c r="A20" s="1993"/>
      <c r="B20" s="1978"/>
      <c r="C20" s="445" t="str">
        <f>F!C17</f>
        <v>no types other than the predominant one in F1 meet the stated conditions.</v>
      </c>
      <c r="D20" s="94">
        <f>F!D17</f>
        <v>0</v>
      </c>
      <c r="E20" s="244"/>
      <c r="F20" s="88"/>
      <c r="G20" s="258"/>
      <c r="H20" s="1882"/>
      <c r="I20" s="1978"/>
      <c r="J20" s="138"/>
      <c r="L20" s="165"/>
    </row>
    <row r="21" spans="1:12" s="34" customFormat="1" ht="65.45" customHeight="1" thickBot="1" x14ac:dyDescent="0.25">
      <c r="A21" s="2243" t="str">
        <f>F!A18</f>
        <v>F3</v>
      </c>
      <c r="B21" s="1911" t="str">
        <f>F!B18</f>
        <v>Woody Cover by Height</v>
      </c>
      <c r="C21" s="43" t="str">
        <f>F!C18</f>
        <v>Following EACH row below, indicate with a number code the percentage of the of the living vegetation in the AA occupied by that feature (5 if &gt;75%,   4 if 50-75%,   3 if 25-50%,   2 if 5-25%,   1 if &lt;5%, 0 if none).  If the AA has no trees or shrubs, SKIP to F8.</v>
      </c>
      <c r="D21" s="238"/>
      <c r="E21" s="239"/>
      <c r="F21" s="127"/>
      <c r="G21" s="219" t="str">
        <f>IF((SUM(D22:D27)=0),"",IF((MAX(D22,D24)=5),0,IF((MAX(D22,D24)=4),0.2,(COUNTIF(D22:D27,"&gt;0"))/6)))</f>
        <v/>
      </c>
      <c r="H21" s="1881" t="s">
        <v>761</v>
      </c>
      <c r="I21" s="1867" t="s">
        <v>2230</v>
      </c>
      <c r="J21" s="138"/>
      <c r="K21" s="8"/>
      <c r="L21" s="8"/>
    </row>
    <row r="22" spans="1:12" s="34" customFormat="1" ht="24" customHeight="1" x14ac:dyDescent="0.2">
      <c r="A22" s="2243"/>
      <c r="B22" s="1911"/>
      <c r="C22" s="1503" t="str">
        <f>F!C19</f>
        <v>coniferous trees (including tamarack) taller than 3 m.</v>
      </c>
      <c r="D22" s="91">
        <f>F!D19</f>
        <v>0</v>
      </c>
      <c r="E22" s="254"/>
      <c r="F22" s="42"/>
      <c r="G22" s="257"/>
      <c r="H22" s="1881"/>
      <c r="I22" s="1911"/>
      <c r="J22" s="138"/>
      <c r="K22" s="8"/>
      <c r="L22" s="8"/>
    </row>
    <row r="23" spans="1:12" s="34" customFormat="1" ht="24" customHeight="1" x14ac:dyDescent="0.2">
      <c r="A23" s="2243"/>
      <c r="B23" s="1911"/>
      <c r="C23" s="1503" t="str">
        <f>F!C20</f>
        <v>deciduous trees taller than 3 m.</v>
      </c>
      <c r="D23" s="91">
        <f>F!D20</f>
        <v>0</v>
      </c>
      <c r="E23" s="254"/>
      <c r="F23" s="42"/>
      <c r="G23" s="257"/>
      <c r="H23" s="1881"/>
      <c r="I23" s="1911"/>
      <c r="J23" s="138"/>
      <c r="K23" s="8"/>
      <c r="L23" s="8"/>
    </row>
    <row r="24" spans="1:12" s="34" customFormat="1" ht="33" customHeight="1" x14ac:dyDescent="0.2">
      <c r="A24" s="2243"/>
      <c r="B24" s="1911"/>
      <c r="C24" s="1503" t="str">
        <f>F!C21</f>
        <v>coniferous or ericaceous shrubs or trees 1-3 m tall not directly below the canopy of trees.</v>
      </c>
      <c r="D24" s="91">
        <f>F!D21</f>
        <v>0</v>
      </c>
      <c r="E24" s="254"/>
      <c r="F24" s="42"/>
      <c r="G24" s="257"/>
      <c r="H24" s="1881"/>
      <c r="I24" s="1911"/>
      <c r="J24" s="138"/>
      <c r="K24" s="8"/>
      <c r="L24" s="8"/>
    </row>
    <row r="25" spans="1:12" s="34" customFormat="1" ht="33" customHeight="1" x14ac:dyDescent="0.2">
      <c r="A25" s="2243"/>
      <c r="B25" s="1911"/>
      <c r="C25" s="1503" t="str">
        <f>F!C22</f>
        <v>deciduous shrubs or trees 1-3 m tall not directly below the canopy of trees &gt;3 m (e.g., deciduous saplings).</v>
      </c>
      <c r="D25" s="91">
        <f>F!D22</f>
        <v>0</v>
      </c>
      <c r="E25" s="1504"/>
      <c r="F25" s="42"/>
      <c r="G25" s="775"/>
      <c r="H25" s="1881"/>
      <c r="I25" s="1911"/>
      <c r="J25" s="138"/>
      <c r="K25" s="8"/>
      <c r="L25" s="8"/>
    </row>
    <row r="26" spans="1:12" s="34" customFormat="1" ht="33" customHeight="1" x14ac:dyDescent="0.2">
      <c r="A26" s="2243"/>
      <c r="B26" s="1911"/>
      <c r="C26" s="1503" t="str">
        <f>F!C23</f>
        <v>coniferous or ericaceous shrubs or trees &lt;1 m tall not directly below the canopy of taller vegetation.</v>
      </c>
      <c r="D26" s="91">
        <f>F!D23</f>
        <v>0</v>
      </c>
      <c r="E26" s="1504"/>
      <c r="F26" s="42"/>
      <c r="G26" s="775"/>
      <c r="H26" s="1881"/>
      <c r="I26" s="1911"/>
      <c r="J26" s="138"/>
      <c r="K26" s="8"/>
      <c r="L26" s="8"/>
    </row>
    <row r="27" spans="1:12" s="34" customFormat="1" ht="43.5" customHeight="1" thickBot="1" x14ac:dyDescent="0.25">
      <c r="A27" s="2243"/>
      <c r="B27" s="1911"/>
      <c r="C27" s="135" t="str">
        <f>F!C24</f>
        <v>deciduous shrubs or trees &lt;1 m tall (e.g., deciduous seedlings).</v>
      </c>
      <c r="D27" s="370">
        <f>F!D24</f>
        <v>0</v>
      </c>
      <c r="E27" s="430"/>
      <c r="F27" s="561"/>
      <c r="G27" s="721"/>
      <c r="H27" s="1881"/>
      <c r="I27" s="1911"/>
      <c r="J27" s="138"/>
      <c r="K27" s="8"/>
      <c r="L27" s="8"/>
    </row>
    <row r="28" spans="1:12" ht="39" thickBot="1" x14ac:dyDescent="0.25">
      <c r="A28" s="2236" t="str">
        <f>F!A25</f>
        <v>F4</v>
      </c>
      <c r="B28" s="2233" t="str">
        <f>F!B25</f>
        <v>Woody Diameter Classes</v>
      </c>
      <c r="C28" s="1318" t="str">
        <f>F!C25</f>
        <v>Mark all the diameter classes of woody plants within the AA, but only IF they comprise &gt;5% of the woody canopy or subcanopy within the AA.  Do not count trees that adjoin but are not within the AA.</v>
      </c>
      <c r="D28" s="777"/>
      <c r="E28" s="376"/>
      <c r="F28" s="563"/>
      <c r="G28" s="225" t="str">
        <f>IF((SUM(D22:D27)=0),"",((SUM(D29:D36)/8+ MAX(F29:F36)/MAX(E29:E36))/2))</f>
        <v/>
      </c>
      <c r="H28" s="1910" t="s">
        <v>762</v>
      </c>
      <c r="I28" s="2000" t="s">
        <v>2034</v>
      </c>
      <c r="J28" s="182"/>
      <c r="K28" s="2"/>
      <c r="L28" s="2"/>
    </row>
    <row r="29" spans="1:12" ht="15" customHeight="1" x14ac:dyDescent="0.2">
      <c r="A29" s="2237"/>
      <c r="B29" s="2234"/>
      <c r="C29" s="934" t="str">
        <f>F!C26</f>
        <v>coniferous, 1-9 cm diameter and &gt;1 m tall.</v>
      </c>
      <c r="D29" s="733">
        <f>F!D26</f>
        <v>0</v>
      </c>
      <c r="E29" s="722">
        <v>1</v>
      </c>
      <c r="F29" s="812">
        <f t="shared" ref="F29:F46" si="0">D29*E29</f>
        <v>0</v>
      </c>
      <c r="G29" s="775"/>
      <c r="H29" s="1881"/>
      <c r="I29" s="1989"/>
      <c r="J29" s="182"/>
      <c r="K29" s="2"/>
      <c r="L29" s="2"/>
    </row>
    <row r="30" spans="1:12" ht="15" customHeight="1" x14ac:dyDescent="0.2">
      <c r="A30" s="2237"/>
      <c r="B30" s="2234"/>
      <c r="C30" s="935" t="str">
        <f>F!C27</f>
        <v>broad-leaved deciduous 1-9 cm diameter and &gt;1 m tall.</v>
      </c>
      <c r="D30" s="733">
        <f>F!D27</f>
        <v>0</v>
      </c>
      <c r="E30" s="722">
        <v>3</v>
      </c>
      <c r="F30" s="812">
        <f t="shared" si="0"/>
        <v>0</v>
      </c>
      <c r="G30" s="775"/>
      <c r="H30" s="1881"/>
      <c r="I30" s="1989"/>
      <c r="J30" s="182"/>
      <c r="K30" s="2"/>
      <c r="L30" s="2"/>
    </row>
    <row r="31" spans="1:12" ht="15" customHeight="1" x14ac:dyDescent="0.2">
      <c r="A31" s="2237"/>
      <c r="B31" s="2234"/>
      <c r="C31" s="935" t="str">
        <f>F!C28</f>
        <v>coniferous, 10-19 cm diameter.</v>
      </c>
      <c r="D31" s="733">
        <f>F!D28</f>
        <v>0</v>
      </c>
      <c r="E31" s="722">
        <v>2</v>
      </c>
      <c r="F31" s="812">
        <f t="shared" si="0"/>
        <v>0</v>
      </c>
      <c r="G31" s="775"/>
      <c r="H31" s="1881"/>
      <c r="I31" s="1989"/>
      <c r="J31" s="182"/>
      <c r="K31" s="2"/>
      <c r="L31" s="2"/>
    </row>
    <row r="32" spans="1:12" ht="15" customHeight="1" x14ac:dyDescent="0.2">
      <c r="A32" s="2237"/>
      <c r="B32" s="2234"/>
      <c r="C32" s="935" t="str">
        <f>F!C29</f>
        <v>broad-leaved deciduous 10-19 cm diameter.</v>
      </c>
      <c r="D32" s="733">
        <f>F!D29</f>
        <v>0</v>
      </c>
      <c r="E32" s="722">
        <v>4</v>
      </c>
      <c r="F32" s="812">
        <f t="shared" si="0"/>
        <v>0</v>
      </c>
      <c r="G32" s="775"/>
      <c r="H32" s="1881"/>
      <c r="I32" s="1989"/>
      <c r="J32" s="182"/>
      <c r="K32" s="2"/>
      <c r="L32" s="2"/>
    </row>
    <row r="33" spans="1:12" ht="15" customHeight="1" x14ac:dyDescent="0.2">
      <c r="A33" s="2237"/>
      <c r="B33" s="2234"/>
      <c r="C33" s="935" t="str">
        <f>F!C30</f>
        <v>coniferous, 20-40 cm diameter.</v>
      </c>
      <c r="D33" s="733">
        <f>F!D30</f>
        <v>0</v>
      </c>
      <c r="E33" s="722">
        <v>3</v>
      </c>
      <c r="F33" s="812">
        <f t="shared" si="0"/>
        <v>0</v>
      </c>
      <c r="G33" s="775"/>
      <c r="H33" s="1881"/>
      <c r="I33" s="1989"/>
      <c r="J33" s="182"/>
      <c r="K33" s="2"/>
      <c r="L33" s="2"/>
    </row>
    <row r="34" spans="1:12" ht="15" customHeight="1" x14ac:dyDescent="0.2">
      <c r="A34" s="2237"/>
      <c r="B34" s="2234"/>
      <c r="C34" s="935" t="str">
        <f>F!C31</f>
        <v>broad-leaved deciduous 20-40 cm diameter.</v>
      </c>
      <c r="D34" s="733">
        <f>F!D31</f>
        <v>0</v>
      </c>
      <c r="E34" s="722">
        <v>6</v>
      </c>
      <c r="F34" s="812">
        <f t="shared" si="0"/>
        <v>0</v>
      </c>
      <c r="G34" s="775"/>
      <c r="H34" s="1881"/>
      <c r="I34" s="1989"/>
      <c r="J34" s="182"/>
      <c r="K34" s="2"/>
      <c r="L34" s="2"/>
    </row>
    <row r="35" spans="1:12" ht="15" customHeight="1" x14ac:dyDescent="0.2">
      <c r="A35" s="2237"/>
      <c r="B35" s="2234"/>
      <c r="C35" s="935" t="str">
        <f>F!C32</f>
        <v>coniferous, &gt;40 cm diameter.</v>
      </c>
      <c r="D35" s="733">
        <f>F!D32</f>
        <v>0</v>
      </c>
      <c r="E35" s="722">
        <v>5</v>
      </c>
      <c r="F35" s="812">
        <f t="shared" si="0"/>
        <v>0</v>
      </c>
      <c r="G35" s="775"/>
      <c r="H35" s="1881"/>
      <c r="I35" s="1989"/>
      <c r="J35" s="182"/>
      <c r="K35" s="2"/>
      <c r="L35" s="2"/>
    </row>
    <row r="36" spans="1:12" ht="15" customHeight="1" thickBot="1" x14ac:dyDescent="0.25">
      <c r="A36" s="2238"/>
      <c r="B36" s="2235"/>
      <c r="C36" s="445" t="str">
        <f>F!C33</f>
        <v>broad-leaved deciduous &gt;40 cm diameter.</v>
      </c>
      <c r="D36" s="94">
        <f>F!D33</f>
        <v>0</v>
      </c>
      <c r="E36" s="244">
        <v>8</v>
      </c>
      <c r="F36" s="88">
        <f t="shared" si="0"/>
        <v>0</v>
      </c>
      <c r="G36" s="258"/>
      <c r="H36" s="1882"/>
      <c r="I36" s="1990"/>
      <c r="J36" s="182"/>
      <c r="K36" s="2"/>
      <c r="L36" s="2"/>
    </row>
    <row r="37" spans="1:12" s="34" customFormat="1" ht="17.25" customHeight="1" thickBot="1" x14ac:dyDescent="0.25">
      <c r="A37" s="1992" t="str">
        <f>F!A34</f>
        <v>F5</v>
      </c>
      <c r="B37" s="1867" t="str">
        <f>F!B34</f>
        <v>Interspersion of Tall and Short Vegetation</v>
      </c>
      <c r="C37" s="43" t="str">
        <f>F!C34</f>
        <v>Follow the key below and mark the ONE row that best describes MOST of the AA:</v>
      </c>
      <c r="D37" s="581"/>
      <c r="E37" s="243"/>
      <c r="F37" s="166"/>
      <c r="G37" s="225" t="str">
        <f>IF((SUM(D22:D27)=0),"",MAX(F38:F43)/MAX(E38:E43))</f>
        <v/>
      </c>
      <c r="H37" s="1910" t="s">
        <v>921</v>
      </c>
      <c r="I37" s="1867" t="s">
        <v>918</v>
      </c>
      <c r="J37" s="138"/>
      <c r="K37" s="8"/>
      <c r="L37" s="8"/>
    </row>
    <row r="38" spans="1:12" s="34" customFormat="1" ht="51" x14ac:dyDescent="0.2">
      <c r="A38" s="1991"/>
      <c r="B38" s="1911"/>
      <c r="C38" s="135" t="str">
        <f>F!C35</f>
        <v>A. Neither the vegetation taller than 1m nor the vegetation shorter than that comprise &gt;70% of the vegetated part of the AA. They each comprise 30-70%.  If false, go to B below.  Otherwise choose between A1 and A2 and mark the choice with a 1 in the adjoining column:</v>
      </c>
      <c r="D38" s="812"/>
      <c r="E38" s="812"/>
      <c r="F38" s="812"/>
      <c r="G38" s="298"/>
      <c r="H38" s="1881"/>
      <c r="I38" s="1911"/>
      <c r="J38" s="138"/>
      <c r="K38" s="8"/>
      <c r="L38" s="8"/>
    </row>
    <row r="39" spans="1:12" s="34" customFormat="1" ht="16.5" customHeight="1" x14ac:dyDescent="0.2">
      <c r="A39" s="1991"/>
      <c r="B39" s="1991"/>
      <c r="C39" s="1505" t="str">
        <f>F!C36</f>
        <v xml:space="preserve">   A1. The two height classes are mostly scattered and intermixed throughout the AA.</v>
      </c>
      <c r="D39" s="733">
        <f>F!D36</f>
        <v>0</v>
      </c>
      <c r="E39" s="722">
        <v>3</v>
      </c>
      <c r="F39" s="42">
        <f t="shared" ref="F39:F43" si="1">D39*E39</f>
        <v>0</v>
      </c>
      <c r="G39" s="884"/>
      <c r="H39" s="1881"/>
      <c r="I39" s="1911"/>
      <c r="J39" s="138"/>
      <c r="K39" s="8"/>
      <c r="L39" s="8"/>
    </row>
    <row r="40" spans="1:12" s="34" customFormat="1" ht="30" customHeight="1" x14ac:dyDescent="0.2">
      <c r="A40" s="1991"/>
      <c r="B40" s="1991"/>
      <c r="C40" s="1505" t="str">
        <f>F!C37</f>
        <v xml:space="preserve">   A2. Not A1.  The two height classes are mostly in separate zones or bands, or in proportionately large clumps.</v>
      </c>
      <c r="D40" s="733">
        <f>F!D37</f>
        <v>0</v>
      </c>
      <c r="E40" s="722">
        <v>2</v>
      </c>
      <c r="F40" s="42">
        <f t="shared" si="1"/>
        <v>0</v>
      </c>
      <c r="G40" s="884"/>
      <c r="H40" s="1881"/>
      <c r="I40" s="1911"/>
      <c r="J40" s="138"/>
      <c r="K40" s="8"/>
      <c r="L40" s="8"/>
    </row>
    <row r="41" spans="1:12" s="34" customFormat="1" ht="42" customHeight="1" x14ac:dyDescent="0.2">
      <c r="A41" s="1991"/>
      <c r="B41" s="1911"/>
      <c r="C41" s="1483" t="str">
        <f>F!C38</f>
        <v>B. Either the vegetation taller than 1m or the vegetation shorter than 1m comprise &gt;70% of the vegetated part of the AA.  One size class might even be totally absent.  Choose between B1 and B2 and mark the choice with a 1 in the adjoining column:</v>
      </c>
      <c r="D41" s="812"/>
      <c r="E41" s="812"/>
      <c r="F41" s="812"/>
      <c r="G41" s="298"/>
      <c r="H41" s="1881"/>
      <c r="I41" s="1911"/>
      <c r="J41" s="138"/>
      <c r="K41" s="8"/>
      <c r="L41" s="8"/>
    </row>
    <row r="42" spans="1:12" s="34" customFormat="1" ht="25.5" x14ac:dyDescent="0.2">
      <c r="A42" s="1991"/>
      <c r="B42" s="1911"/>
      <c r="C42" s="1483" t="str">
        <f>F!C39</f>
        <v xml:space="preserve">   B1. The less prevalent height class is mostly scattered and intermixed within the prevalent one.</v>
      </c>
      <c r="D42" s="1482">
        <f>F!D39</f>
        <v>0</v>
      </c>
      <c r="E42" s="241">
        <v>1</v>
      </c>
      <c r="F42" s="42">
        <f t="shared" si="1"/>
        <v>0</v>
      </c>
      <c r="G42" s="298"/>
      <c r="H42" s="1881"/>
      <c r="I42" s="1911"/>
      <c r="J42" s="138"/>
      <c r="K42" s="8"/>
      <c r="L42" s="8"/>
    </row>
    <row r="43" spans="1:12" s="34" customFormat="1" ht="26.25" thickBot="1" x14ac:dyDescent="0.25">
      <c r="A43" s="1993"/>
      <c r="B43" s="1978"/>
      <c r="C43" s="1506" t="str">
        <f>F!C40</f>
        <v xml:space="preserve">   B2. Not B1.  The less prevalent height class is mostly located apart from the prevalent one, in separate zones or clumps, or is completely absent</v>
      </c>
      <c r="D43" s="1507">
        <f>F!D40</f>
        <v>0</v>
      </c>
      <c r="E43" s="244">
        <v>0</v>
      </c>
      <c r="F43" s="88">
        <f t="shared" si="1"/>
        <v>0</v>
      </c>
      <c r="G43" s="559"/>
      <c r="H43" s="1882"/>
      <c r="I43" s="1978"/>
      <c r="J43" s="138"/>
      <c r="K43" s="8"/>
      <c r="L43" s="8"/>
    </row>
    <row r="44" spans="1:12" ht="45" customHeight="1" thickBot="1" x14ac:dyDescent="0.25">
      <c r="A44" s="2233" t="str">
        <f>F!A41</f>
        <v>F6</v>
      </c>
      <c r="B44" s="2233" t="str">
        <f>F!B41</f>
        <v>Downed Wood</v>
      </c>
      <c r="C44" s="43" t="str">
        <f>F!C41</f>
        <v>If trees taller than 3 m comprise &lt;5% of the vegetative cover, SKIP to F10 (Sphagnum Moss Extent). Otherwise, answer this: The number of downed wood pieces longer than 2 m and with diameter &gt;5 cm, and not persistently submerged, is:</v>
      </c>
      <c r="D44" s="581"/>
      <c r="E44" s="376"/>
      <c r="F44" s="563"/>
      <c r="G44" s="225" t="str">
        <f>IF((SUM(D22:D27)=0),"", MAX(F45:F46))</f>
        <v/>
      </c>
      <c r="H44" s="1910" t="s">
        <v>815</v>
      </c>
      <c r="I44" s="2000" t="s">
        <v>1213</v>
      </c>
      <c r="J44" s="182"/>
      <c r="K44" s="2"/>
      <c r="L44" s="2"/>
    </row>
    <row r="45" spans="1:12" ht="15" customHeight="1" x14ac:dyDescent="0.2">
      <c r="A45" s="2234"/>
      <c r="B45" s="2234"/>
      <c r="C45" s="338" t="str">
        <f>F!C42</f>
        <v>Several (&gt;5 if AA is &gt;5 hectares, less for smaller AAs).</v>
      </c>
      <c r="D45" s="370">
        <f>F!D42</f>
        <v>0</v>
      </c>
      <c r="E45" s="377">
        <v>1</v>
      </c>
      <c r="F45" s="561">
        <f t="shared" si="0"/>
        <v>0</v>
      </c>
      <c r="G45" s="257"/>
      <c r="H45" s="1881"/>
      <c r="I45" s="1989"/>
      <c r="J45" s="182"/>
      <c r="K45" s="2"/>
      <c r="L45" s="2"/>
    </row>
    <row r="46" spans="1:12" ht="15" customHeight="1" thickBot="1" x14ac:dyDescent="0.25">
      <c r="A46" s="2235"/>
      <c r="B46" s="2235"/>
      <c r="C46" s="445" t="str">
        <f>F!C43</f>
        <v>Few or none that meet these criteria.</v>
      </c>
      <c r="D46" s="94">
        <f>F!D43</f>
        <v>0</v>
      </c>
      <c r="E46" s="244">
        <v>0</v>
      </c>
      <c r="F46" s="88">
        <f t="shared" si="0"/>
        <v>0</v>
      </c>
      <c r="G46" s="258"/>
      <c r="H46" s="1882"/>
      <c r="I46" s="1990"/>
      <c r="J46" s="182"/>
      <c r="K46" s="2"/>
      <c r="L46" s="2"/>
    </row>
    <row r="47" spans="1:12" ht="45" customHeight="1" thickBot="1" x14ac:dyDescent="0.25">
      <c r="A47" s="1992" t="str">
        <f>F!A44</f>
        <v>F7</v>
      </c>
      <c r="B47" s="1867" t="str">
        <f>F!B44</f>
        <v xml:space="preserve">Dominance of Most Abundant Shrub Species </v>
      </c>
      <c r="C47" s="352" t="str">
        <f>F!C44</f>
        <v>If shrubs shorter than 3 m comprise &lt;5% of the vegetative cover, proceed to next question. Otherwise, determine which two native shrub species (&lt;3 m tall) comprise the greatest portion of the native shrub cover. Then choose one of the following:</v>
      </c>
      <c r="D47" s="1508"/>
      <c r="E47" s="376"/>
      <c r="F47" s="87"/>
      <c r="G47" s="225" t="str">
        <f>IF((SUM(D24:D27)=0),"",MAX(F48:F49))</f>
        <v/>
      </c>
      <c r="H47" s="1910" t="s">
        <v>170</v>
      </c>
      <c r="I47" s="2000" t="s">
        <v>1214</v>
      </c>
      <c r="J47" s="182"/>
      <c r="K47" s="2"/>
      <c r="L47" s="2"/>
    </row>
    <row r="48" spans="1:12" ht="15" customHeight="1" x14ac:dyDescent="0.2">
      <c r="A48" s="2035"/>
      <c r="B48" s="1989"/>
      <c r="C48" s="552" t="str">
        <f>F!C45</f>
        <v>those species together comprise &gt; 50% of the areal cover of native shrub species.</v>
      </c>
      <c r="D48" s="354">
        <f>F!D45</f>
        <v>0</v>
      </c>
      <c r="E48" s="435">
        <v>0</v>
      </c>
      <c r="F48" s="564">
        <f>D48*E48</f>
        <v>0</v>
      </c>
      <c r="G48" s="202"/>
      <c r="H48" s="1881"/>
      <c r="I48" s="1989"/>
      <c r="J48" s="182"/>
      <c r="K48" s="2"/>
      <c r="L48" s="2"/>
    </row>
    <row r="49" spans="1:12" ht="15" customHeight="1" thickBot="1" x14ac:dyDescent="0.25">
      <c r="A49" s="2037"/>
      <c r="B49" s="1990"/>
      <c r="C49" s="445" t="str">
        <f>F!C46</f>
        <v>those species together do not comprise &gt; 50% of the areal cover of native shrub species.</v>
      </c>
      <c r="D49" s="94">
        <f>F!D46</f>
        <v>0</v>
      </c>
      <c r="E49" s="263">
        <v>1</v>
      </c>
      <c r="F49" s="88">
        <f>D49*E49</f>
        <v>0</v>
      </c>
      <c r="G49" s="258"/>
      <c r="H49" s="1882"/>
      <c r="I49" s="1990"/>
      <c r="J49" s="182"/>
      <c r="K49" s="2"/>
      <c r="L49" s="2"/>
    </row>
    <row r="50" spans="1:12" ht="30" customHeight="1" thickBot="1" x14ac:dyDescent="0.25">
      <c r="A50" s="1992" t="str">
        <f>F!A47</f>
        <v>F8</v>
      </c>
      <c r="B50" s="1867" t="str">
        <f>F!B47</f>
        <v>N Fixers</v>
      </c>
      <c r="C50" s="352" t="str">
        <f>F!C47</f>
        <v>The percent of the AA's vegetated cover that is nitrogen-fixing plants (e.g., alder, baltic (wire) rush, sweetgale, lupine, clover, other legumes) is:</v>
      </c>
      <c r="D50" s="1509"/>
      <c r="E50" s="87"/>
      <c r="F50" s="87"/>
      <c r="G50" s="225">
        <f>MAX(F51:F55)/MAX(E51:E55)</f>
        <v>0</v>
      </c>
      <c r="H50" s="1910" t="s">
        <v>182</v>
      </c>
      <c r="I50" s="1867" t="s">
        <v>1259</v>
      </c>
      <c r="J50" s="182"/>
      <c r="K50" s="2"/>
      <c r="L50" s="2"/>
    </row>
    <row r="51" spans="1:12" ht="15" customHeight="1" x14ac:dyDescent="0.2">
      <c r="A51" s="1991"/>
      <c r="B51" s="1911"/>
      <c r="C51" s="552" t="str">
        <f>F!C48</f>
        <v>&lt;1% or none.</v>
      </c>
      <c r="D51" s="354">
        <f>F!D48</f>
        <v>0</v>
      </c>
      <c r="E51" s="435">
        <v>0</v>
      </c>
      <c r="F51" s="564">
        <f>D51*E51</f>
        <v>0</v>
      </c>
      <c r="G51" s="202"/>
      <c r="H51" s="1881"/>
      <c r="I51" s="1911"/>
      <c r="J51" s="182"/>
      <c r="K51" s="2"/>
      <c r="L51" s="2"/>
    </row>
    <row r="52" spans="1:12" ht="25.5" x14ac:dyDescent="0.2">
      <c r="A52" s="1991"/>
      <c r="B52" s="1911"/>
      <c r="C52" s="576" t="str">
        <f>F!C49</f>
        <v>1-25% of the shrub plus ground cover, in the AA or along its water edge (whichever has more).</v>
      </c>
      <c r="D52" s="354">
        <f>F!D49</f>
        <v>0</v>
      </c>
      <c r="E52" s="435">
        <v>2</v>
      </c>
      <c r="F52" s="564">
        <f>D52*E52</f>
        <v>0</v>
      </c>
      <c r="G52" s="257"/>
      <c r="H52" s="1881"/>
      <c r="I52" s="1911"/>
      <c r="J52" s="182"/>
      <c r="K52" s="2"/>
      <c r="L52" s="2"/>
    </row>
    <row r="53" spans="1:12" ht="25.5" x14ac:dyDescent="0.2">
      <c r="A53" s="1991"/>
      <c r="B53" s="1911"/>
      <c r="C53" s="576" t="str">
        <f>F!C50</f>
        <v>25-50% of the shrub plus ground cover, in the AA or along its water edge (whichever has more).</v>
      </c>
      <c r="D53" s="354">
        <f>F!D50</f>
        <v>0</v>
      </c>
      <c r="E53" s="435">
        <v>3</v>
      </c>
      <c r="F53" s="564">
        <f>D53*E53</f>
        <v>0</v>
      </c>
      <c r="G53" s="257"/>
      <c r="H53" s="1881"/>
      <c r="I53" s="1911"/>
      <c r="J53" s="182"/>
      <c r="K53" s="2"/>
      <c r="L53" s="2"/>
    </row>
    <row r="54" spans="1:12" ht="25.5" x14ac:dyDescent="0.2">
      <c r="A54" s="1991"/>
      <c r="B54" s="1911"/>
      <c r="C54" s="576" t="str">
        <f>F!C51</f>
        <v>50-75% of the shrub plus ground cover, in the AA or along its water edge (whichever has more).</v>
      </c>
      <c r="D54" s="354">
        <f>F!D51</f>
        <v>0</v>
      </c>
      <c r="E54" s="435">
        <v>2</v>
      </c>
      <c r="F54" s="564">
        <f>D54*E54</f>
        <v>0</v>
      </c>
      <c r="G54" s="257"/>
      <c r="H54" s="1881"/>
      <c r="I54" s="1911"/>
      <c r="J54" s="182"/>
      <c r="K54" s="2"/>
      <c r="L54" s="2"/>
    </row>
    <row r="55" spans="1:12" ht="15" customHeight="1" thickBot="1" x14ac:dyDescent="0.25">
      <c r="A55" s="1993"/>
      <c r="B55" s="1978"/>
      <c r="C55" s="445" t="str">
        <f>F!C52</f>
        <v>&gt;75% of the shrub plus ground cover, in the AA or along its water edge (whichever has more).</v>
      </c>
      <c r="D55" s="94">
        <f>F!D52</f>
        <v>0</v>
      </c>
      <c r="E55" s="263">
        <v>1</v>
      </c>
      <c r="F55" s="88">
        <f>D55*E55</f>
        <v>0</v>
      </c>
      <c r="G55" s="258"/>
      <c r="H55" s="1882"/>
      <c r="I55" s="1978"/>
      <c r="J55" s="182"/>
      <c r="K55" s="2"/>
      <c r="L55" s="2"/>
    </row>
    <row r="56" spans="1:12" ht="30" customHeight="1" thickBot="1" x14ac:dyDescent="0.25">
      <c r="A56" s="1992" t="str">
        <f>F!A53</f>
        <v>F9</v>
      </c>
      <c r="B56" s="1867" t="str">
        <f>F!B53</f>
        <v>Large Snags (Dead Standing Trees)</v>
      </c>
      <c r="C56" s="352" t="str">
        <f>F!C53</f>
        <v>The number of large snags (diameter &gt;20 cm) in the AA plus adjoining upland area within 10 m of the wetland edge is:</v>
      </c>
      <c r="D56" s="1510"/>
      <c r="E56" s="440"/>
      <c r="F56" s="563"/>
      <c r="G56" s="784" t="str">
        <f>IF((SUM(D22:D27)=0),"",MAX(F57:F59))</f>
        <v/>
      </c>
      <c r="H56" s="1910" t="s">
        <v>816</v>
      </c>
      <c r="I56" s="1867" t="s">
        <v>973</v>
      </c>
      <c r="J56" s="182"/>
      <c r="K56" s="2"/>
      <c r="L56" s="2"/>
    </row>
    <row r="57" spans="1:12" ht="16.149999999999999" customHeight="1" x14ac:dyDescent="0.2">
      <c r="A57" s="1991"/>
      <c r="B57" s="1911"/>
      <c r="C57" s="934" t="str">
        <f>F!C54</f>
        <v>Few or none that meet these criteria.</v>
      </c>
      <c r="D57" s="733">
        <f>F!D54</f>
        <v>0</v>
      </c>
      <c r="E57" s="1511">
        <v>0</v>
      </c>
      <c r="F57" s="812">
        <f>D57*E57</f>
        <v>0</v>
      </c>
      <c r="G57" s="859"/>
      <c r="H57" s="1881"/>
      <c r="I57" s="1911"/>
      <c r="J57" s="182"/>
      <c r="K57" s="2"/>
      <c r="L57" s="2"/>
    </row>
    <row r="58" spans="1:12" ht="25.5" x14ac:dyDescent="0.2">
      <c r="A58" s="1991"/>
      <c r="B58" s="1911"/>
      <c r="C58" s="935" t="str">
        <f>F!C55</f>
        <v>Several ( &gt;5/hectare) and a pond, lake, or slow-flowing water wider than 10 m is within 1 km.</v>
      </c>
      <c r="D58" s="733">
        <f>F!D55</f>
        <v>0</v>
      </c>
      <c r="E58" s="1511">
        <v>1</v>
      </c>
      <c r="F58" s="812">
        <f>D58*E58</f>
        <v>0</v>
      </c>
      <c r="G58" s="859"/>
      <c r="H58" s="1881"/>
      <c r="I58" s="1911"/>
      <c r="J58" s="182"/>
      <c r="K58" s="2"/>
      <c r="L58" s="2"/>
    </row>
    <row r="59" spans="1:12" ht="15" customHeight="1" thickBot="1" x14ac:dyDescent="0.25">
      <c r="A59" s="1991"/>
      <c r="B59" s="1911"/>
      <c r="C59" s="762" t="str">
        <f>F!C56</f>
        <v>Several ( &gt;5/hectare) but above not true.</v>
      </c>
      <c r="D59" s="370">
        <f>F!D56</f>
        <v>0</v>
      </c>
      <c r="E59" s="1512">
        <v>1</v>
      </c>
      <c r="F59" s="561">
        <f>D59*E59</f>
        <v>0</v>
      </c>
      <c r="G59" s="1054"/>
      <c r="H59" s="1881"/>
      <c r="I59" s="1911"/>
      <c r="J59" s="182"/>
      <c r="K59" s="2"/>
      <c r="L59" s="2"/>
    </row>
    <row r="60" spans="1:12" ht="60" customHeight="1" thickBot="1" x14ac:dyDescent="0.25">
      <c r="A60" s="1992" t="str">
        <f>F!A69</f>
        <v>F12</v>
      </c>
      <c r="B60" s="1867" t="str">
        <f>F!B69</f>
        <v>Ground Irregularity</v>
      </c>
      <c r="C60" s="352" t="str">
        <f>F!C69</f>
        <v>Consider the parts of the AA that lack surface water at some time of the year.  The number of hummocks, small pits, raised mounds, upturned trees, animal burrows, gullies, natural levees, microdepressions, and other areas of peat or mineral soil that are raised or depressed &gt;10 cm compared to most of the area immediately surrounding them is:</v>
      </c>
      <c r="D60" s="1513"/>
      <c r="E60" s="376"/>
      <c r="F60" s="87"/>
      <c r="G60" s="225">
        <f>MAX(F61:F63)/MAX(E61:E63)</f>
        <v>0</v>
      </c>
      <c r="H60" s="1910" t="s">
        <v>171</v>
      </c>
      <c r="I60" s="2000" t="s">
        <v>1907</v>
      </c>
      <c r="J60" s="182"/>
      <c r="K60" s="2"/>
      <c r="L60" s="2"/>
    </row>
    <row r="61" spans="1:12" ht="25.5" x14ac:dyDescent="0.2">
      <c r="A61" s="1991"/>
      <c r="B61" s="1911"/>
      <c r="C61" s="1514" t="str">
        <f>F!C70</f>
        <v xml:space="preserve">Few or none (minimal microtopography; &lt;1% of the land has such features, or entire site is always water-covered). </v>
      </c>
      <c r="D61" s="1285">
        <f>F!D70</f>
        <v>0</v>
      </c>
      <c r="E61" s="722">
        <v>0</v>
      </c>
      <c r="F61" s="812">
        <f>D61*E61</f>
        <v>0</v>
      </c>
      <c r="G61" s="202"/>
      <c r="H61" s="1881"/>
      <c r="I61" s="1989"/>
      <c r="J61" s="182"/>
      <c r="K61" s="2"/>
      <c r="L61" s="2"/>
    </row>
    <row r="62" spans="1:12" ht="15" customHeight="1" x14ac:dyDescent="0.2">
      <c r="A62" s="1991"/>
      <c r="B62" s="1911"/>
      <c r="C62" s="1437" t="str">
        <f>F!C71</f>
        <v>Intermediate.</v>
      </c>
      <c r="D62" s="1285">
        <f>F!D71</f>
        <v>0</v>
      </c>
      <c r="E62" s="722">
        <v>1</v>
      </c>
      <c r="F62" s="812">
        <f>D62*E62</f>
        <v>0</v>
      </c>
      <c r="G62" s="775"/>
      <c r="H62" s="1881"/>
      <c r="I62" s="1989"/>
      <c r="J62" s="182"/>
      <c r="K62" s="2"/>
      <c r="L62" s="2"/>
    </row>
    <row r="63" spans="1:12" ht="15" customHeight="1" thickBot="1" x14ac:dyDescent="0.25">
      <c r="A63" s="1993"/>
      <c r="B63" s="1978"/>
      <c r="C63" s="1438" t="str">
        <f>F!C72</f>
        <v>Several (extensive micro-topography).</v>
      </c>
      <c r="D63" s="496">
        <f>F!D72</f>
        <v>0</v>
      </c>
      <c r="E63" s="244">
        <v>2</v>
      </c>
      <c r="F63" s="88">
        <f>D63*E63</f>
        <v>0</v>
      </c>
      <c r="G63" s="258"/>
      <c r="H63" s="1882"/>
      <c r="I63" s="1990"/>
      <c r="J63" s="182"/>
      <c r="K63" s="2"/>
      <c r="L63" s="2"/>
    </row>
    <row r="64" spans="1:12" ht="45" customHeight="1" thickBot="1" x14ac:dyDescent="0.25">
      <c r="A64" s="1992" t="str">
        <f>F!A77</f>
        <v>F14</v>
      </c>
      <c r="B64" s="1867" t="str">
        <f>F!B77</f>
        <v>Soil Texture</v>
      </c>
      <c r="C64" s="352" t="str">
        <f>F!C77</f>
        <v>In parts of the AA that lack persistent water, the texture of soil in the uppermost layer is mostly:  [To determine this, use a trowel to check in at least 3 widely spaced locations, and use the soil texture key in Appendix A of the Manual].</v>
      </c>
      <c r="D64" s="1515"/>
      <c r="E64" s="376"/>
      <c r="F64" s="87"/>
      <c r="G64" s="225">
        <f>MAX(F65:F70)/MAX(E65:E70)</f>
        <v>0</v>
      </c>
      <c r="H64" s="1910" t="s">
        <v>172</v>
      </c>
      <c r="I64" s="2000" t="s">
        <v>275</v>
      </c>
      <c r="J64" s="182"/>
      <c r="K64" s="2"/>
      <c r="L64" s="2"/>
    </row>
    <row r="65" spans="1:12" ht="15" customHeight="1" x14ac:dyDescent="0.2">
      <c r="A65" s="1991"/>
      <c r="B65" s="1911"/>
      <c r="C65" s="552" t="str">
        <f>F!C78</f>
        <v>Loamy: includes loam, sandy loam.</v>
      </c>
      <c r="D65" s="180">
        <f>F!D78</f>
        <v>0</v>
      </c>
      <c r="E65" s="377">
        <v>3</v>
      </c>
      <c r="F65" s="564">
        <f t="shared" ref="F65:F70" si="2">D65*E65</f>
        <v>0</v>
      </c>
      <c r="G65" s="202"/>
      <c r="H65" s="1881"/>
      <c r="I65" s="1989"/>
      <c r="J65" s="182"/>
      <c r="K65" s="2"/>
      <c r="L65" s="2"/>
    </row>
    <row r="66" spans="1:12" ht="27" customHeight="1" x14ac:dyDescent="0.2">
      <c r="A66" s="1991"/>
      <c r="B66" s="1911"/>
      <c r="C66" s="576" t="str">
        <f>F!C79</f>
        <v>Fines: includes silt, glacial flour, clay, clay loam, silty clay, silty clay loam, sandy clay, sandy clay loam.</v>
      </c>
      <c r="D66" s="359">
        <f>F!D79</f>
        <v>0</v>
      </c>
      <c r="E66" s="377">
        <v>2</v>
      </c>
      <c r="F66" s="564">
        <f t="shared" si="2"/>
        <v>0</v>
      </c>
      <c r="G66" s="257"/>
      <c r="H66" s="1881"/>
      <c r="I66" s="1989"/>
      <c r="J66" s="182"/>
      <c r="K66" s="2"/>
      <c r="L66" s="2"/>
    </row>
    <row r="67" spans="1:12" ht="15" customHeight="1" x14ac:dyDescent="0.2">
      <c r="A67" s="1991"/>
      <c r="B67" s="1911"/>
      <c r="C67" s="576" t="str">
        <f>F!C80</f>
        <v>Peat, present to 40 cm depth or greater.</v>
      </c>
      <c r="D67" s="359">
        <f>F!D80</f>
        <v>0</v>
      </c>
      <c r="E67" s="377">
        <v>3</v>
      </c>
      <c r="F67" s="564">
        <f t="shared" si="2"/>
        <v>0</v>
      </c>
      <c r="G67" s="257"/>
      <c r="H67" s="1881"/>
      <c r="I67" s="1989"/>
      <c r="J67" s="182"/>
      <c r="K67" s="2"/>
      <c r="L67" s="2"/>
    </row>
    <row r="68" spans="1:12" ht="15" customHeight="1" x14ac:dyDescent="0.2">
      <c r="A68" s="1991"/>
      <c r="B68" s="1911"/>
      <c r="C68" s="576" t="str">
        <f>F!C81</f>
        <v>Peat, but becomes mineral before reaching 40 cm depth.</v>
      </c>
      <c r="D68" s="359">
        <f>F!D81</f>
        <v>0</v>
      </c>
      <c r="E68" s="380">
        <v>3</v>
      </c>
      <c r="F68" s="561">
        <f t="shared" si="2"/>
        <v>0</v>
      </c>
      <c r="G68" s="721"/>
      <c r="H68" s="1881"/>
      <c r="I68" s="1989"/>
      <c r="J68" s="578"/>
      <c r="K68" s="2"/>
      <c r="L68" s="2"/>
    </row>
    <row r="69" spans="1:12" ht="15" customHeight="1" x14ac:dyDescent="0.2">
      <c r="A69" s="1991"/>
      <c r="B69" s="1911"/>
      <c r="C69" s="576" t="str">
        <f>F!C82</f>
        <v>Organic or organic muck, but becomes mineral before reaching 40 cm depth.</v>
      </c>
      <c r="D69" s="359">
        <f>F!D82</f>
        <v>0</v>
      </c>
      <c r="E69" s="380">
        <v>3</v>
      </c>
      <c r="F69" s="561">
        <f t="shared" si="2"/>
        <v>0</v>
      </c>
      <c r="G69" s="721"/>
      <c r="H69" s="1881"/>
      <c r="I69" s="1989"/>
      <c r="J69" s="578"/>
      <c r="K69" s="2"/>
      <c r="L69" s="2"/>
    </row>
    <row r="70" spans="1:12" ht="27" customHeight="1" thickBot="1" x14ac:dyDescent="0.25">
      <c r="A70" s="1993"/>
      <c r="B70" s="1978"/>
      <c r="C70" s="445" t="str">
        <f>F!C83</f>
        <v>Coarse: includes sand, loamy sand, gravel, cobble, stones, boulders, fluvents, fluvaquents, riverwash.</v>
      </c>
      <c r="D70" s="81">
        <f>F!D83</f>
        <v>0</v>
      </c>
      <c r="E70" s="244">
        <v>1</v>
      </c>
      <c r="F70" s="88">
        <f t="shared" si="2"/>
        <v>0</v>
      </c>
      <c r="G70" s="258"/>
      <c r="H70" s="1882"/>
      <c r="I70" s="1990"/>
      <c r="J70" s="182"/>
      <c r="K70" s="2"/>
      <c r="L70" s="2"/>
    </row>
    <row r="71" spans="1:12" ht="21" customHeight="1" thickBot="1" x14ac:dyDescent="0.25">
      <c r="A71" s="1991" t="str">
        <f>F!A95</f>
        <v>F17</v>
      </c>
      <c r="B71" s="1911" t="str">
        <f>F!B95</f>
        <v>Forb Cover</v>
      </c>
      <c r="C71" s="1397" t="str">
        <f>F!C95</f>
        <v>The areal cover of forbs reaches an annual maximum of:</v>
      </c>
      <c r="D71" s="238"/>
      <c r="E71" s="239"/>
      <c r="F71" s="127"/>
      <c r="G71" s="219">
        <f>IF((NoHerbCov=1),"",MAX(F72:F76)/MAX(E72:E76))</f>
        <v>0</v>
      </c>
      <c r="H71" s="1881" t="s">
        <v>763</v>
      </c>
      <c r="I71" s="2000" t="s">
        <v>1215</v>
      </c>
      <c r="J71" s="182"/>
      <c r="K71" s="2"/>
      <c r="L71" s="2"/>
    </row>
    <row r="72" spans="1:12" ht="15" customHeight="1" x14ac:dyDescent="0.2">
      <c r="A72" s="1991"/>
      <c r="B72" s="1911"/>
      <c r="C72" s="552" t="str">
        <f>F!C96</f>
        <v>&lt;5% of the vegetated AA.</v>
      </c>
      <c r="D72" s="91">
        <f>F!D96</f>
        <v>0</v>
      </c>
      <c r="E72" s="241">
        <v>0</v>
      </c>
      <c r="F72" s="42">
        <f t="shared" ref="F72:F81" si="3">D72*E72</f>
        <v>0</v>
      </c>
      <c r="G72" s="257"/>
      <c r="H72" s="1881"/>
      <c r="I72" s="1989"/>
      <c r="J72" s="182"/>
      <c r="K72" s="2"/>
      <c r="L72" s="2"/>
    </row>
    <row r="73" spans="1:12" ht="15" customHeight="1" x14ac:dyDescent="0.2">
      <c r="A73" s="1991"/>
      <c r="B73" s="1911"/>
      <c r="C73" s="576" t="str">
        <f>F!C97</f>
        <v>5-25% of the vegetated AA.</v>
      </c>
      <c r="D73" s="91">
        <f>F!D97</f>
        <v>0</v>
      </c>
      <c r="E73" s="241">
        <v>3</v>
      </c>
      <c r="F73" s="42">
        <f t="shared" si="3"/>
        <v>0</v>
      </c>
      <c r="G73" s="257"/>
      <c r="H73" s="1881"/>
      <c r="I73" s="1989"/>
      <c r="J73" s="182"/>
      <c r="K73" s="2"/>
      <c r="L73" s="2"/>
    </row>
    <row r="74" spans="1:12" ht="15" customHeight="1" x14ac:dyDescent="0.2">
      <c r="A74" s="1991"/>
      <c r="B74" s="1911"/>
      <c r="C74" s="576" t="str">
        <f>F!C98</f>
        <v>25-50% of the vegetated AA.</v>
      </c>
      <c r="D74" s="91">
        <f>F!D98</f>
        <v>0</v>
      </c>
      <c r="E74" s="241">
        <v>4</v>
      </c>
      <c r="F74" s="42">
        <f t="shared" si="3"/>
        <v>0</v>
      </c>
      <c r="G74" s="257"/>
      <c r="H74" s="1881"/>
      <c r="I74" s="1989"/>
      <c r="J74" s="182"/>
      <c r="K74" s="2"/>
      <c r="L74" s="2"/>
    </row>
    <row r="75" spans="1:12" ht="15" customHeight="1" x14ac:dyDescent="0.2">
      <c r="A75" s="1991"/>
      <c r="B75" s="1911"/>
      <c r="C75" s="576" t="str">
        <f>F!C99</f>
        <v>50-95% of the vegetated AA.</v>
      </c>
      <c r="D75" s="91">
        <f>F!D99</f>
        <v>0</v>
      </c>
      <c r="E75" s="241">
        <v>2</v>
      </c>
      <c r="F75" s="42">
        <f t="shared" si="3"/>
        <v>0</v>
      </c>
      <c r="G75" s="257"/>
      <c r="H75" s="1881"/>
      <c r="I75" s="1989"/>
      <c r="J75" s="182"/>
      <c r="K75" s="2"/>
      <c r="L75" s="2"/>
    </row>
    <row r="76" spans="1:12" ht="15" customHeight="1" thickBot="1" x14ac:dyDescent="0.25">
      <c r="A76" s="1991"/>
      <c r="B76" s="1911"/>
      <c r="C76" s="533" t="str">
        <f>F!C100</f>
        <v>&gt;95% of the vegetated AA. SKIP to F20 (Invasive Plant Cover).</v>
      </c>
      <c r="D76" s="370">
        <f>F!D100</f>
        <v>0</v>
      </c>
      <c r="E76" s="380">
        <v>1</v>
      </c>
      <c r="F76" s="561">
        <f t="shared" si="3"/>
        <v>0</v>
      </c>
      <c r="G76" s="433"/>
      <c r="H76" s="1881"/>
      <c r="I76" s="1990"/>
      <c r="J76" s="182"/>
      <c r="K76" s="2"/>
      <c r="L76" s="2"/>
    </row>
    <row r="77" spans="1:12" ht="21" customHeight="1" thickBot="1" x14ac:dyDescent="0.25">
      <c r="A77" s="1992" t="str">
        <f>F!A101</f>
        <v>F18</v>
      </c>
      <c r="B77" s="1867" t="str">
        <f>F!B101</f>
        <v>Sedge Cover</v>
      </c>
      <c r="C77" s="352" t="str">
        <f>F!C101</f>
        <v>Sedges (Carex spp.) and/or cottongrass (Eriophorum spp.) occupy:</v>
      </c>
      <c r="D77" s="581"/>
      <c r="E77" s="376"/>
      <c r="F77" s="563"/>
      <c r="G77" s="225">
        <f>IF((NoHerbCov=1),"", MAX(F78:F81)/MAX(E78:E81))</f>
        <v>0</v>
      </c>
      <c r="H77" s="1910" t="s">
        <v>764</v>
      </c>
      <c r="I77" s="2000" t="s">
        <v>1691</v>
      </c>
      <c r="J77" s="182"/>
      <c r="K77" s="2"/>
      <c r="L77" s="2"/>
    </row>
    <row r="78" spans="1:12" ht="15" customHeight="1" x14ac:dyDescent="0.2">
      <c r="A78" s="1991"/>
      <c r="B78" s="1911"/>
      <c r="C78" s="552" t="str">
        <f>F!C102</f>
        <v>&lt;0.01 hectare and &lt;1% of the herbaceous cover (excluding mosses).</v>
      </c>
      <c r="D78" s="354">
        <f>F!D102</f>
        <v>0</v>
      </c>
      <c r="E78" s="377">
        <v>0</v>
      </c>
      <c r="F78" s="564">
        <f t="shared" si="3"/>
        <v>0</v>
      </c>
      <c r="G78" s="257"/>
      <c r="H78" s="1881"/>
      <c r="I78" s="1989"/>
      <c r="J78" s="182"/>
      <c r="K78" s="2"/>
      <c r="L78" s="2"/>
    </row>
    <row r="79" spans="1:12" ht="15" customHeight="1" x14ac:dyDescent="0.2">
      <c r="A79" s="1991"/>
      <c r="B79" s="1911"/>
      <c r="C79" s="576" t="str">
        <f>F!C103</f>
        <v>1-30% of the herbaceous cover.</v>
      </c>
      <c r="D79" s="354">
        <f>F!D103</f>
        <v>0</v>
      </c>
      <c r="E79" s="377">
        <v>3</v>
      </c>
      <c r="F79" s="564">
        <f t="shared" si="3"/>
        <v>0</v>
      </c>
      <c r="G79" s="257"/>
      <c r="H79" s="1881"/>
      <c r="I79" s="1989"/>
      <c r="J79" s="182"/>
      <c r="K79" s="2"/>
      <c r="L79" s="2"/>
    </row>
    <row r="80" spans="1:12" ht="15" customHeight="1" x14ac:dyDescent="0.2">
      <c r="A80" s="1991"/>
      <c r="B80" s="1911"/>
      <c r="C80" s="576" t="str">
        <f>F!C105</f>
        <v>60-90% of the herbaceous cover.</v>
      </c>
      <c r="D80" s="354">
        <f>F!D105</f>
        <v>0</v>
      </c>
      <c r="E80" s="377">
        <v>2</v>
      </c>
      <c r="F80" s="564">
        <f t="shared" si="3"/>
        <v>0</v>
      </c>
      <c r="G80" s="257"/>
      <c r="H80" s="1881"/>
      <c r="I80" s="1989"/>
      <c r="J80" s="182"/>
      <c r="K80" s="2"/>
      <c r="L80" s="2"/>
    </row>
    <row r="81" spans="1:12" ht="15" customHeight="1" thickBot="1" x14ac:dyDescent="0.25">
      <c r="A81" s="1993"/>
      <c r="B81" s="1978"/>
      <c r="C81" s="445" t="str">
        <f>F!C106</f>
        <v>&gt;90% of the herbaceous cover.</v>
      </c>
      <c r="D81" s="94">
        <f>F!D106</f>
        <v>0</v>
      </c>
      <c r="E81" s="244">
        <v>1</v>
      </c>
      <c r="F81" s="88">
        <f t="shared" si="3"/>
        <v>0</v>
      </c>
      <c r="G81" s="258"/>
      <c r="H81" s="1882"/>
      <c r="I81" s="1990"/>
      <c r="J81" s="182"/>
      <c r="K81" s="2"/>
      <c r="L81" s="2"/>
    </row>
    <row r="82" spans="1:12" ht="39" thickBot="1" x14ac:dyDescent="0.25">
      <c r="A82" s="1991" t="str">
        <f>F!A107</f>
        <v>F19</v>
      </c>
      <c r="B82" s="1911" t="str">
        <f>F!B107</f>
        <v xml:space="preserve">Dominance of Most Abundant Herbaceous Species </v>
      </c>
      <c r="C82" s="1397" t="str">
        <f>F!C107</f>
        <v>Determine which two native herbaceous (forb and graminoid) species comprise the greatest portion of the herbaceous cover that is unshaded by a woody canopy.  Then choose one of the following:</v>
      </c>
      <c r="D82" s="1516"/>
      <c r="E82" s="1517"/>
      <c r="F82" s="127"/>
      <c r="G82" s="219" t="str">
        <f>IF((SUM(D24:D27)=0),"", MAX(F83:F84))</f>
        <v/>
      </c>
      <c r="H82" s="1881" t="s">
        <v>173</v>
      </c>
      <c r="I82" s="2000" t="s">
        <v>1216</v>
      </c>
      <c r="J82" s="182"/>
      <c r="K82" s="2"/>
      <c r="L82" s="2"/>
    </row>
    <row r="83" spans="1:12" ht="27" customHeight="1" x14ac:dyDescent="0.2">
      <c r="A83" s="2035"/>
      <c r="B83" s="1989"/>
      <c r="C83" s="552" t="str">
        <f>F!C108</f>
        <v>those species together comprise &gt; 50% of the areal cover of native herbaceous plants at any time during the year.</v>
      </c>
      <c r="D83" s="40">
        <f>F!D108</f>
        <v>0</v>
      </c>
      <c r="E83" s="260">
        <v>0</v>
      </c>
      <c r="F83" s="42">
        <f>D83*E83</f>
        <v>0</v>
      </c>
      <c r="G83" s="257"/>
      <c r="H83" s="1881"/>
      <c r="I83" s="1989"/>
      <c r="J83" s="182"/>
      <c r="K83" s="2"/>
      <c r="L83" s="2"/>
    </row>
    <row r="84" spans="1:12" ht="27" customHeight="1" thickBot="1" x14ac:dyDescent="0.25">
      <c r="A84" s="2035"/>
      <c r="B84" s="1989"/>
      <c r="C84" s="533" t="str">
        <f>F!C109</f>
        <v>those species together do not comprise &gt; 50% of the areal cover of native herbaceous plants at any time during the year.</v>
      </c>
      <c r="D84" s="370">
        <f>F!D109</f>
        <v>0</v>
      </c>
      <c r="E84" s="432">
        <v>1</v>
      </c>
      <c r="F84" s="561">
        <f>D84*E84</f>
        <v>0</v>
      </c>
      <c r="G84" s="433"/>
      <c r="H84" s="1881"/>
      <c r="I84" s="1990"/>
      <c r="J84" s="182"/>
      <c r="K84" s="2"/>
      <c r="L84" s="2"/>
    </row>
    <row r="85" spans="1:12" ht="102.6" customHeight="1" thickBot="1" x14ac:dyDescent="0.25">
      <c r="A85" s="1992" t="str">
        <f>F!A110</f>
        <v>F20</v>
      </c>
      <c r="B85" s="1867" t="str">
        <f>F!B110</f>
        <v>Invasive Plant Cover</v>
      </c>
      <c r="C85" s="352" t="str">
        <f>F!C110</f>
        <v>In this region, the more frequent invasive graminoids include smooth brome, several bluegrasses, quackgrass, timothy, alfalfa, reed canarygrass, red fescue, spreading bentgrass.  The more frequent invasive forbs include most thistles and sow-thistles, most clovers, sweetclover, black medick, dandelion, great plantain, hemp-nettle, lamb's-quarters, shepherd's-purse, curly dock, pennycress, wallflower, hawksbeard, tansy, some chickweeds, sticky-willy bedstraw, stickseed, tall buttercup. Select the condition that represents whichever cover of invasives is greater -- percent herbaceous that is invasive, or percent woody that is invasive:</v>
      </c>
      <c r="D85" s="1508"/>
      <c r="E85" s="376"/>
      <c r="F85" s="1518"/>
      <c r="G85" s="225">
        <f>MAX(F86:F90)/MAX(E86:E90)</f>
        <v>0</v>
      </c>
      <c r="H85" s="1910" t="s">
        <v>814</v>
      </c>
      <c r="I85" s="2000" t="s">
        <v>1908</v>
      </c>
      <c r="J85" s="182"/>
      <c r="K85" s="2"/>
      <c r="L85" s="2"/>
    </row>
    <row r="86" spans="1:12" ht="27" customHeight="1" x14ac:dyDescent="0.2">
      <c r="A86" s="2035"/>
      <c r="B86" s="1989"/>
      <c r="C86" s="552" t="str">
        <f>F!C111</f>
        <v>invasive species appear to be absent in the AA or are present only in trace amount (a few individuals).</v>
      </c>
      <c r="D86" s="180">
        <f>F!D111</f>
        <v>0</v>
      </c>
      <c r="E86" s="377">
        <v>4</v>
      </c>
      <c r="F86" s="564">
        <f>D86*E86</f>
        <v>0</v>
      </c>
      <c r="G86" s="202" t="s">
        <v>406</v>
      </c>
      <c r="H86" s="1881"/>
      <c r="I86" s="1989"/>
      <c r="J86" s="182"/>
      <c r="K86" s="2"/>
      <c r="L86" s="2"/>
    </row>
    <row r="87" spans="1:12" ht="27" customHeight="1" x14ac:dyDescent="0.2">
      <c r="A87" s="2035"/>
      <c r="B87" s="1989"/>
      <c r="C87" s="576" t="str">
        <f>F!C112</f>
        <v>Invasive species are present in more than trace amounts, but comprise &lt;5% of herbaceous cover (or woody cover, if the invasives are woody).</v>
      </c>
      <c r="D87" s="354">
        <f>F!D112</f>
        <v>0</v>
      </c>
      <c r="E87" s="377">
        <v>3</v>
      </c>
      <c r="F87" s="564">
        <f>D87*E87</f>
        <v>0</v>
      </c>
      <c r="G87" s="202"/>
      <c r="H87" s="1881"/>
      <c r="I87" s="1989"/>
      <c r="J87" s="182"/>
      <c r="K87" s="2"/>
      <c r="L87" s="2"/>
    </row>
    <row r="88" spans="1:12" ht="25.5" x14ac:dyDescent="0.2">
      <c r="A88" s="2035"/>
      <c r="B88" s="1989"/>
      <c r="C88" s="576" t="str">
        <f>F!C113</f>
        <v>Invasive species comprise 5-20% of the herb cover (or woody cover, if the invasives are woody).</v>
      </c>
      <c r="D88" s="354">
        <f>F!D113</f>
        <v>0</v>
      </c>
      <c r="E88" s="435">
        <v>2</v>
      </c>
      <c r="F88" s="564">
        <f>D88*E88</f>
        <v>0</v>
      </c>
      <c r="G88" s="257"/>
      <c r="H88" s="1881"/>
      <c r="I88" s="1989"/>
      <c r="J88" s="182"/>
      <c r="K88" s="2"/>
      <c r="L88" s="2"/>
    </row>
    <row r="89" spans="1:12" ht="25.5" x14ac:dyDescent="0.2">
      <c r="A89" s="2035"/>
      <c r="B89" s="1989"/>
      <c r="C89" s="576" t="str">
        <f>F!C114</f>
        <v>Invasive species comprise 20-50% of the herb cover (or woody cover, if the invasives are woody).</v>
      </c>
      <c r="D89" s="354">
        <f>F!D114</f>
        <v>0</v>
      </c>
      <c r="E89" s="435">
        <v>1</v>
      </c>
      <c r="F89" s="564">
        <f>D89*E89</f>
        <v>0</v>
      </c>
      <c r="G89" s="257"/>
      <c r="H89" s="1881"/>
      <c r="I89" s="1989"/>
      <c r="J89" s="182"/>
      <c r="K89" s="2"/>
      <c r="L89" s="2"/>
    </row>
    <row r="90" spans="1:12" ht="26.25" thickBot="1" x14ac:dyDescent="0.25">
      <c r="A90" s="2037"/>
      <c r="B90" s="1990"/>
      <c r="C90" s="445" t="str">
        <f>F!C115</f>
        <v>Invasive species comprise &gt;50% of the herb cover (or woody cover, if the invasives are woody).</v>
      </c>
      <c r="D90" s="94">
        <f>F!D115</f>
        <v>0</v>
      </c>
      <c r="E90" s="263">
        <v>0</v>
      </c>
      <c r="F90" s="559">
        <f>D90*E90</f>
        <v>0</v>
      </c>
      <c r="G90" s="277"/>
      <c r="H90" s="1882"/>
      <c r="I90" s="1990"/>
      <c r="J90" s="182"/>
      <c r="K90" s="2"/>
      <c r="L90" s="2"/>
    </row>
    <row r="91" spans="1:12" ht="30" customHeight="1" thickBot="1" x14ac:dyDescent="0.25">
      <c r="A91" s="1991" t="str">
        <f>F!A116</f>
        <v>F21</v>
      </c>
      <c r="B91" s="1911" t="str">
        <f>F!B116</f>
        <v>Weed Source Along Edge</v>
      </c>
      <c r="C91" s="1397" t="str">
        <f>F!C116</f>
        <v>Along the wetland-upland edge, the percent of the upland edge (within 3 m of wetland) that is occupied by plant species that are considered invasive (see above) is:</v>
      </c>
      <c r="D91" s="1519"/>
      <c r="E91" s="239"/>
      <c r="F91" s="259"/>
      <c r="G91" s="219">
        <f>MAX(F92:F95)/MAX(E92:E95)</f>
        <v>0</v>
      </c>
      <c r="H91" s="1881" t="s">
        <v>174</v>
      </c>
      <c r="I91" s="1867" t="s">
        <v>276</v>
      </c>
      <c r="J91" s="182"/>
      <c r="K91" s="2"/>
      <c r="L91" s="2"/>
    </row>
    <row r="92" spans="1:12" ht="15" customHeight="1" x14ac:dyDescent="0.2">
      <c r="A92" s="1991"/>
      <c r="B92" s="1911"/>
      <c r="C92" s="552" t="str">
        <f>F!C117</f>
        <v>none of the upland edge (invasives apparently absent).</v>
      </c>
      <c r="D92" s="180">
        <f>F!D117</f>
        <v>0</v>
      </c>
      <c r="E92" s="241">
        <v>4</v>
      </c>
      <c r="F92" s="241">
        <f>D92*E92</f>
        <v>0</v>
      </c>
      <c r="G92" s="202"/>
      <c r="H92" s="1881"/>
      <c r="I92" s="1911"/>
      <c r="J92" s="182"/>
      <c r="K92" s="2"/>
      <c r="L92" s="2"/>
    </row>
    <row r="93" spans="1:12" ht="15" customHeight="1" x14ac:dyDescent="0.2">
      <c r="A93" s="1991"/>
      <c r="B93" s="1911"/>
      <c r="C93" s="576" t="str">
        <f>F!C118</f>
        <v>some (but &lt;5%) of the upland edge.</v>
      </c>
      <c r="D93" s="40">
        <f>F!D118</f>
        <v>0</v>
      </c>
      <c r="E93" s="241">
        <v>3</v>
      </c>
      <c r="F93" s="241">
        <f>D93*E93</f>
        <v>0</v>
      </c>
      <c r="G93" s="257"/>
      <c r="H93" s="1881"/>
      <c r="I93" s="1911"/>
      <c r="J93" s="182"/>
      <c r="K93" s="2"/>
      <c r="L93" s="2"/>
    </row>
    <row r="94" spans="1:12" ht="15" customHeight="1" x14ac:dyDescent="0.2">
      <c r="A94" s="1991"/>
      <c r="B94" s="1911"/>
      <c r="C94" s="576" t="str">
        <f>F!C119</f>
        <v>5-50% of the upland edge.</v>
      </c>
      <c r="D94" s="91">
        <f>F!D119</f>
        <v>0</v>
      </c>
      <c r="E94" s="241">
        <v>2</v>
      </c>
      <c r="F94" s="241">
        <f>D94*E94</f>
        <v>0</v>
      </c>
      <c r="G94" s="257"/>
      <c r="H94" s="1881"/>
      <c r="I94" s="1911"/>
      <c r="J94" s="182"/>
      <c r="K94" s="2"/>
      <c r="L94" s="2"/>
    </row>
    <row r="95" spans="1:12" ht="15" customHeight="1" thickBot="1" x14ac:dyDescent="0.25">
      <c r="A95" s="1991"/>
      <c r="B95" s="1911"/>
      <c r="C95" s="762" t="str">
        <f>F!C120</f>
        <v>most (&gt;50%) of the upland edge.</v>
      </c>
      <c r="D95" s="370">
        <f>F!D120</f>
        <v>0</v>
      </c>
      <c r="E95" s="380">
        <v>0</v>
      </c>
      <c r="F95" s="380">
        <f>D95*E95</f>
        <v>0</v>
      </c>
      <c r="G95" s="721"/>
      <c r="H95" s="1881"/>
      <c r="I95" s="1911"/>
      <c r="J95" s="182"/>
      <c r="K95" s="2"/>
      <c r="L95" s="2"/>
    </row>
    <row r="96" spans="1:12" s="34" customFormat="1" ht="30" customHeight="1" thickBot="1" x14ac:dyDescent="0.25">
      <c r="A96" s="1992" t="str">
        <f>F!A127</f>
        <v>F23</v>
      </c>
      <c r="B96" s="1867" t="str">
        <f>F!B127</f>
        <v>% with Persistent Surface Water</v>
      </c>
      <c r="C96" s="352" t="str">
        <f>F!C127</f>
        <v>The percentage of the AA that has surface water (either ponded or flowing, either open or obscured by vegetation) during all of the growing season during most years is:</v>
      </c>
      <c r="D96" s="282"/>
      <c r="E96" s="376"/>
      <c r="F96" s="1520"/>
      <c r="G96" s="225">
        <f>IF((AllSat1&gt;0),"",MAX(F97:F102)/MAX(E97:E102))</f>
        <v>0</v>
      </c>
      <c r="H96" s="1910" t="s">
        <v>778</v>
      </c>
      <c r="I96" s="1867" t="s">
        <v>1209</v>
      </c>
      <c r="J96" s="138"/>
      <c r="K96" s="8"/>
      <c r="L96" s="8"/>
    </row>
    <row r="97" spans="1:12" s="34" customFormat="1" ht="15" customHeight="1" x14ac:dyDescent="0.2">
      <c r="A97" s="1991"/>
      <c r="B97" s="1911"/>
      <c r="C97" s="552" t="str">
        <f>F!C128</f>
        <v>&lt;0.01 hectare and &lt;1% of the AA.  SKIP to F27 (% Flooded Only Seasonally).</v>
      </c>
      <c r="D97" s="354">
        <f>F!D128</f>
        <v>0</v>
      </c>
      <c r="E97" s="377">
        <v>2</v>
      </c>
      <c r="F97" s="564">
        <f t="shared" ref="F97:F102" si="4">D97*E97</f>
        <v>0</v>
      </c>
      <c r="G97" s="202"/>
      <c r="H97" s="1881"/>
      <c r="I97" s="1911"/>
      <c r="J97" s="138"/>
      <c r="K97" s="8"/>
      <c r="L97" s="8"/>
    </row>
    <row r="98" spans="1:12" s="34" customFormat="1" ht="15" customHeight="1" x14ac:dyDescent="0.2">
      <c r="A98" s="1991"/>
      <c r="B98" s="1911"/>
      <c r="C98" s="576" t="str">
        <f>F!C129</f>
        <v>1-5% of the AA.</v>
      </c>
      <c r="D98" s="354">
        <f>F!D129</f>
        <v>0</v>
      </c>
      <c r="E98" s="377">
        <v>4</v>
      </c>
      <c r="F98" s="564">
        <f t="shared" si="4"/>
        <v>0</v>
      </c>
      <c r="G98" s="257"/>
      <c r="H98" s="1881"/>
      <c r="I98" s="1911"/>
      <c r="J98" s="138"/>
      <c r="K98" s="8"/>
      <c r="L98" s="8"/>
    </row>
    <row r="99" spans="1:12" s="34" customFormat="1" ht="15" customHeight="1" x14ac:dyDescent="0.2">
      <c r="A99" s="1991"/>
      <c r="B99" s="1911"/>
      <c r="C99" s="576" t="str">
        <f>F!C130</f>
        <v>5-25% of the AA.</v>
      </c>
      <c r="D99" s="354">
        <f>F!D130</f>
        <v>0</v>
      </c>
      <c r="E99" s="377">
        <v>3</v>
      </c>
      <c r="F99" s="564">
        <f t="shared" si="4"/>
        <v>0</v>
      </c>
      <c r="G99" s="257"/>
      <c r="H99" s="1881"/>
      <c r="I99" s="1911"/>
      <c r="J99" s="138"/>
      <c r="K99" s="8"/>
      <c r="L99" s="8"/>
    </row>
    <row r="100" spans="1:12" s="34" customFormat="1" ht="15" customHeight="1" x14ac:dyDescent="0.2">
      <c r="A100" s="1991"/>
      <c r="B100" s="1911"/>
      <c r="C100" s="576" t="str">
        <f>F!C131</f>
        <v>25-50% of the AA.</v>
      </c>
      <c r="D100" s="354">
        <f>F!D131</f>
        <v>0</v>
      </c>
      <c r="E100" s="377">
        <v>2</v>
      </c>
      <c r="F100" s="564">
        <f t="shared" si="4"/>
        <v>0</v>
      </c>
      <c r="G100" s="257"/>
      <c r="H100" s="1881"/>
      <c r="I100" s="1911"/>
      <c r="J100" s="138"/>
      <c r="K100" s="8"/>
      <c r="L100" s="8"/>
    </row>
    <row r="101" spans="1:12" s="34" customFormat="1" ht="15" customHeight="1" x14ac:dyDescent="0.2">
      <c r="A101" s="1991"/>
      <c r="B101" s="1911"/>
      <c r="C101" s="576" t="str">
        <f>F!C132</f>
        <v>50-95% of the AA.</v>
      </c>
      <c r="D101" s="354">
        <f>F!D132</f>
        <v>0</v>
      </c>
      <c r="E101" s="380">
        <v>1</v>
      </c>
      <c r="F101" s="561">
        <f t="shared" si="4"/>
        <v>0</v>
      </c>
      <c r="G101" s="433"/>
      <c r="H101" s="1881"/>
      <c r="I101" s="1911"/>
      <c r="J101" s="138"/>
      <c r="K101" s="8"/>
      <c r="L101" s="8"/>
    </row>
    <row r="102" spans="1:12" s="34" customFormat="1" ht="15" customHeight="1" thickBot="1" x14ac:dyDescent="0.25">
      <c r="A102" s="1993"/>
      <c r="B102" s="1978"/>
      <c r="C102" s="445" t="str">
        <f>F!C133</f>
        <v>&gt;95% of the AA.</v>
      </c>
      <c r="D102" s="94">
        <f>F!D133</f>
        <v>0</v>
      </c>
      <c r="E102" s="244">
        <v>0</v>
      </c>
      <c r="F102" s="88">
        <f t="shared" si="4"/>
        <v>0</v>
      </c>
      <c r="G102" s="258"/>
      <c r="H102" s="1882"/>
      <c r="I102" s="1978"/>
      <c r="J102" s="138"/>
      <c r="K102" s="8"/>
      <c r="L102" s="8"/>
    </row>
    <row r="103" spans="1:12" s="34" customFormat="1" ht="30" customHeight="1" thickBot="1" x14ac:dyDescent="0.25">
      <c r="A103" s="1991" t="str">
        <f>F!A148</f>
        <v>F28</v>
      </c>
      <c r="B103" s="1911" t="str">
        <f>F!B148</f>
        <v>Annual Water Fluctuation Range</v>
      </c>
      <c r="C103" s="1397" t="str">
        <f>F!C148</f>
        <v>The annual fluctuation in surface water level within most of the parts of the AA that contain surface water is:</v>
      </c>
      <c r="D103" s="238"/>
      <c r="E103" s="239"/>
      <c r="F103" s="202"/>
      <c r="G103" s="219">
        <f>IF((AllSat1&gt;0),"", IF((NoSeasonal=1),"",MAX(F104:F108)/MAX(E104:E108)))</f>
        <v>0</v>
      </c>
      <c r="H103" s="1881" t="s">
        <v>187</v>
      </c>
      <c r="I103" s="1867" t="s">
        <v>1263</v>
      </c>
      <c r="J103" s="138"/>
      <c r="K103" s="8"/>
      <c r="L103" s="8"/>
    </row>
    <row r="104" spans="1:12" s="34" customFormat="1" ht="15" customHeight="1" x14ac:dyDescent="0.2">
      <c r="A104" s="1991"/>
      <c r="B104" s="1911"/>
      <c r="C104" s="135" t="str">
        <f>F!C149</f>
        <v xml:space="preserve">&lt;10 cm change (stable or nearly so) </v>
      </c>
      <c r="D104" s="1482">
        <f>F!D149</f>
        <v>0</v>
      </c>
      <c r="E104" s="241">
        <v>1</v>
      </c>
      <c r="F104" s="42">
        <f>D104*E104</f>
        <v>0</v>
      </c>
      <c r="G104" s="202"/>
      <c r="H104" s="1881"/>
      <c r="I104" s="1911"/>
      <c r="J104" s="138"/>
      <c r="K104" s="8"/>
      <c r="L104" s="8"/>
    </row>
    <row r="105" spans="1:12" s="34" customFormat="1" ht="15" customHeight="1" x14ac:dyDescent="0.2">
      <c r="A105" s="1991"/>
      <c r="B105" s="1911"/>
      <c r="C105" s="1483" t="str">
        <f>F!C150</f>
        <v>10 cm - 50 cm change</v>
      </c>
      <c r="D105" s="1482">
        <f>F!D150</f>
        <v>0</v>
      </c>
      <c r="E105" s="241">
        <v>2</v>
      </c>
      <c r="F105" s="42">
        <f>D105*E105</f>
        <v>0</v>
      </c>
      <c r="G105" s="257"/>
      <c r="H105" s="1881"/>
      <c r="I105" s="1911"/>
      <c r="J105" s="138"/>
      <c r="K105" s="8"/>
      <c r="L105" s="8"/>
    </row>
    <row r="106" spans="1:12" s="34" customFormat="1" ht="15" customHeight="1" x14ac:dyDescent="0.2">
      <c r="A106" s="1991"/>
      <c r="B106" s="1911"/>
      <c r="C106" s="1483" t="str">
        <f>F!C151</f>
        <v>0.5 - 1 m change</v>
      </c>
      <c r="D106" s="1482">
        <f>F!D151</f>
        <v>0</v>
      </c>
      <c r="E106" s="722">
        <v>3</v>
      </c>
      <c r="F106" s="812">
        <f>D106*E106</f>
        <v>0</v>
      </c>
      <c r="G106" s="775"/>
      <c r="H106" s="1881"/>
      <c r="I106" s="1911"/>
      <c r="J106" s="138"/>
      <c r="K106" s="8"/>
      <c r="L106" s="8"/>
    </row>
    <row r="107" spans="1:12" s="34" customFormat="1" ht="15" customHeight="1" x14ac:dyDescent="0.2">
      <c r="A107" s="1991"/>
      <c r="B107" s="1911"/>
      <c r="C107" s="1483" t="str">
        <f>F!C152</f>
        <v>1-2 m change</v>
      </c>
      <c r="D107" s="1482">
        <f>F!D152</f>
        <v>0</v>
      </c>
      <c r="E107" s="241">
        <v>3</v>
      </c>
      <c r="F107" s="42">
        <f>D107*E107</f>
        <v>0</v>
      </c>
      <c r="G107" s="257"/>
      <c r="H107" s="1881"/>
      <c r="I107" s="1911"/>
      <c r="J107" s="138"/>
      <c r="K107" s="8"/>
      <c r="L107" s="8"/>
    </row>
    <row r="108" spans="1:12" s="34" customFormat="1" ht="15" customHeight="1" thickBot="1" x14ac:dyDescent="0.25">
      <c r="A108" s="1991"/>
      <c r="B108" s="1911"/>
      <c r="C108" s="1483" t="str">
        <f>F!C153</f>
        <v>&gt;2 m change</v>
      </c>
      <c r="D108" s="370">
        <f>F!D153</f>
        <v>0</v>
      </c>
      <c r="E108" s="380">
        <v>2</v>
      </c>
      <c r="F108" s="561">
        <f>D108*E108</f>
        <v>0</v>
      </c>
      <c r="G108" s="433"/>
      <c r="H108" s="1881"/>
      <c r="I108" s="1978"/>
      <c r="J108" s="138"/>
      <c r="K108" s="8"/>
      <c r="L108" s="8"/>
    </row>
    <row r="109" spans="1:12" s="34" customFormat="1" ht="51.75" thickBot="1" x14ac:dyDescent="0.25">
      <c r="A109" s="1992" t="str">
        <f>F!A155</f>
        <v>F29</v>
      </c>
      <c r="B109" s="1867" t="str">
        <f>F!B155</f>
        <v>Predominant Depth Class</v>
      </c>
      <c r="C109" s="352" t="str">
        <f>F!C155</f>
        <v>During most of the time when water is present, its depth in most of the area is: [Note: This is not asking for the maximum depth]. If a ponded body of open water that adjoins the AA is larger than 8 ha, include its waters in this estimate, but only those waters within a distance from the AA that is equal to the vegetated AA's width]</v>
      </c>
      <c r="D109" s="581"/>
      <c r="E109" s="376"/>
      <c r="F109" s="563"/>
      <c r="G109" s="225">
        <f>IF((AllSat1&gt;0),"", IF((SmallAA=1),"", MAX(F110:F114)/MAX(E110:E114)))</f>
        <v>0</v>
      </c>
      <c r="H109" s="1910" t="s">
        <v>168</v>
      </c>
      <c r="I109" s="1867" t="s">
        <v>1210</v>
      </c>
      <c r="J109" s="138"/>
      <c r="K109" s="8"/>
      <c r="L109" s="8"/>
    </row>
    <row r="110" spans="1:12" s="34" customFormat="1" ht="15" customHeight="1" x14ac:dyDescent="0.2">
      <c r="A110" s="2035"/>
      <c r="B110" s="1911"/>
      <c r="C110" s="552" t="str">
        <f>F!C156</f>
        <v>&lt;10 cm deep (but &gt;0).</v>
      </c>
      <c r="D110" s="180">
        <f>F!D156</f>
        <v>0</v>
      </c>
      <c r="E110" s="377">
        <v>6</v>
      </c>
      <c r="F110" s="564">
        <f>D110*E110</f>
        <v>0</v>
      </c>
      <c r="G110" s="257"/>
      <c r="H110" s="1881"/>
      <c r="I110" s="1911"/>
      <c r="J110" s="138"/>
      <c r="K110" s="8"/>
      <c r="L110" s="8"/>
    </row>
    <row r="111" spans="1:12" s="34" customFormat="1" ht="15" customHeight="1" x14ac:dyDescent="0.2">
      <c r="A111" s="2035"/>
      <c r="B111" s="1911"/>
      <c r="C111" s="576" t="str">
        <f>F!C157</f>
        <v>10 - 50 cm deep.</v>
      </c>
      <c r="D111" s="354">
        <f>F!D157</f>
        <v>0</v>
      </c>
      <c r="E111" s="377">
        <v>4</v>
      </c>
      <c r="F111" s="564">
        <f>D111*E111</f>
        <v>0</v>
      </c>
      <c r="G111" s="257"/>
      <c r="H111" s="1881"/>
      <c r="I111" s="1911"/>
      <c r="J111" s="138"/>
      <c r="K111" s="8"/>
      <c r="L111" s="8"/>
    </row>
    <row r="112" spans="1:12" s="34" customFormat="1" ht="15" customHeight="1" x14ac:dyDescent="0.2">
      <c r="A112" s="2035"/>
      <c r="B112" s="1911"/>
      <c r="C112" s="576" t="str">
        <f>F!C158</f>
        <v>0.5 - 1 m deep.</v>
      </c>
      <c r="D112" s="354">
        <f>F!D158</f>
        <v>0</v>
      </c>
      <c r="E112" s="377">
        <v>3</v>
      </c>
      <c r="F112" s="564">
        <f>D112*E112</f>
        <v>0</v>
      </c>
      <c r="G112" s="257"/>
      <c r="H112" s="1881"/>
      <c r="I112" s="1911"/>
      <c r="J112" s="138"/>
      <c r="K112" s="8"/>
      <c r="L112" s="8"/>
    </row>
    <row r="113" spans="1:12" s="34" customFormat="1" ht="15" customHeight="1" x14ac:dyDescent="0.2">
      <c r="A113" s="2035"/>
      <c r="B113" s="1911"/>
      <c r="C113" s="576" t="str">
        <f>F!C159</f>
        <v>1 - 2 m deep.</v>
      </c>
      <c r="D113" s="354">
        <f>F!D159</f>
        <v>0</v>
      </c>
      <c r="E113" s="377">
        <v>1</v>
      </c>
      <c r="F113" s="564">
        <f>D113*E113</f>
        <v>0</v>
      </c>
      <c r="G113" s="257"/>
      <c r="H113" s="1881"/>
      <c r="I113" s="1911"/>
      <c r="J113" s="138"/>
      <c r="K113" s="8"/>
      <c r="L113" s="8"/>
    </row>
    <row r="114" spans="1:12" s="34" customFormat="1" ht="15" customHeight="1" thickBot="1" x14ac:dyDescent="0.25">
      <c r="A114" s="2037"/>
      <c r="B114" s="1978"/>
      <c r="C114" s="445" t="str">
        <f>F!C160</f>
        <v>&gt;2 m deep.  True for many fringe wetlands.</v>
      </c>
      <c r="D114" s="94">
        <f>F!D160</f>
        <v>0</v>
      </c>
      <c r="E114" s="244">
        <v>0</v>
      </c>
      <c r="F114" s="88">
        <f>D114*E114</f>
        <v>0</v>
      </c>
      <c r="G114" s="258"/>
      <c r="H114" s="1882"/>
      <c r="I114" s="1978"/>
      <c r="J114" s="138"/>
      <c r="K114" s="8"/>
      <c r="L114" s="8"/>
    </row>
    <row r="115" spans="1:12" s="34" customFormat="1" ht="39" thickBot="1" x14ac:dyDescent="0.25">
      <c r="A115" s="1979" t="str">
        <f>F!A173</f>
        <v>F33</v>
      </c>
      <c r="B115" s="1984" t="str">
        <f>F!B173</f>
        <v xml:space="preserve">% of Ponded Water That Is Open </v>
      </c>
      <c r="C115" s="1521" t="str">
        <f>F!C173</f>
        <v>In ducks-eye aerial view, the percentage of the ponded water that is open (lacking emergent vegetation during most of the growing season, and unhidden by a forest or shrub canopy) is:</v>
      </c>
      <c r="D115" s="1485"/>
      <c r="E115" s="376"/>
      <c r="F115" s="563"/>
      <c r="G115" s="225" t="str">
        <f>IF((AllSat1&gt;0),"",IF((OpenW=0),"", IF((SmallAA=1),"", MAX(F116:F121)/MAX(E116:E121))))</f>
        <v/>
      </c>
      <c r="H115" s="1867" t="s">
        <v>1218</v>
      </c>
      <c r="I115" s="1867" t="s">
        <v>1905</v>
      </c>
      <c r="J115" s="138"/>
      <c r="K115" s="8"/>
      <c r="L115" s="8"/>
    </row>
    <row r="116" spans="1:12" s="34" customFormat="1" ht="27" customHeight="1" x14ac:dyDescent="0.2">
      <c r="A116" s="1980"/>
      <c r="B116" s="1985"/>
      <c r="C116" s="924" t="str">
        <f>F!C174</f>
        <v>None, or &lt;1% of the AA and largest pool occupies &lt;0.01 hectares.  Enter "1" and SKIP to F41 (Floating Algae &amp; Duckweed).</v>
      </c>
      <c r="D116" s="382">
        <f>F!D174</f>
        <v>0</v>
      </c>
      <c r="E116" s="377">
        <v>3</v>
      </c>
      <c r="F116" s="564">
        <v>5</v>
      </c>
      <c r="G116" s="257"/>
      <c r="H116" s="1911"/>
      <c r="I116" s="1911"/>
      <c r="J116" s="138"/>
      <c r="K116" s="8"/>
      <c r="L116" s="8"/>
    </row>
    <row r="117" spans="1:12" s="34" customFormat="1" ht="15" customHeight="1" x14ac:dyDescent="0.2">
      <c r="A117" s="1980"/>
      <c r="B117" s="1985"/>
      <c r="C117" s="1522" t="str">
        <f>F!C175</f>
        <v>1-5% of the ponded water.  Enter "1" and SKIP to F41.</v>
      </c>
      <c r="D117" s="382">
        <f>F!D175</f>
        <v>0</v>
      </c>
      <c r="E117" s="377">
        <v>4</v>
      </c>
      <c r="F117" s="564">
        <v>4</v>
      </c>
      <c r="G117" s="257"/>
      <c r="H117" s="1911"/>
      <c r="I117" s="1911"/>
      <c r="J117" s="138"/>
      <c r="K117" s="8"/>
      <c r="L117" s="8"/>
    </row>
    <row r="118" spans="1:12" s="34" customFormat="1" ht="15" customHeight="1" x14ac:dyDescent="0.2">
      <c r="A118" s="1980"/>
      <c r="B118" s="1985"/>
      <c r="C118" s="1522" t="str">
        <f>F!C176</f>
        <v>5-30% of the ponded water.</v>
      </c>
      <c r="D118" s="382">
        <f>F!D176</f>
        <v>0</v>
      </c>
      <c r="E118" s="377">
        <v>3</v>
      </c>
      <c r="F118" s="564">
        <v>3</v>
      </c>
      <c r="G118" s="257"/>
      <c r="H118" s="1911"/>
      <c r="I118" s="1911"/>
      <c r="J118" s="138"/>
      <c r="K118" s="8"/>
      <c r="L118" s="8"/>
    </row>
    <row r="119" spans="1:12" s="34" customFormat="1" ht="15" customHeight="1" x14ac:dyDescent="0.2">
      <c r="A119" s="1980"/>
      <c r="B119" s="1985"/>
      <c r="C119" s="1522" t="str">
        <f>F!C177</f>
        <v>30-70% of the ponded water.</v>
      </c>
      <c r="D119" s="382">
        <f>F!D177</f>
        <v>0</v>
      </c>
      <c r="E119" s="377">
        <v>2</v>
      </c>
      <c r="F119" s="564">
        <v>2</v>
      </c>
      <c r="G119" s="257"/>
      <c r="H119" s="1911"/>
      <c r="I119" s="1911"/>
      <c r="J119" s="138"/>
      <c r="K119" s="8"/>
      <c r="L119" s="8"/>
    </row>
    <row r="120" spans="1:12" s="34" customFormat="1" ht="15" customHeight="1" x14ac:dyDescent="0.2">
      <c r="A120" s="1980"/>
      <c r="B120" s="1985"/>
      <c r="C120" s="1522" t="str">
        <f>F!C178</f>
        <v>70-99% of the ponded water.</v>
      </c>
      <c r="D120" s="382">
        <f>F!D178</f>
        <v>0</v>
      </c>
      <c r="E120" s="377">
        <v>1</v>
      </c>
      <c r="F120" s="564">
        <v>1</v>
      </c>
      <c r="G120" s="257"/>
      <c r="H120" s="1911"/>
      <c r="I120" s="1911"/>
      <c r="J120" s="138"/>
      <c r="K120" s="8"/>
      <c r="L120" s="8"/>
    </row>
    <row r="121" spans="1:12" s="34" customFormat="1" ht="15" customHeight="1" thickBot="1" x14ac:dyDescent="0.25">
      <c r="A121" s="2021"/>
      <c r="B121" s="2005"/>
      <c r="C121" s="449" t="str">
        <f>F!C179</f>
        <v xml:space="preserve">100% of the ponded water. </v>
      </c>
      <c r="D121" s="191">
        <f>F!D179</f>
        <v>0</v>
      </c>
      <c r="E121" s="244">
        <v>0</v>
      </c>
      <c r="F121" s="88">
        <v>0</v>
      </c>
      <c r="G121" s="258"/>
      <c r="H121" s="1978"/>
      <c r="I121" s="1978"/>
      <c r="J121" s="138"/>
      <c r="K121" s="8"/>
      <c r="L121" s="8"/>
    </row>
    <row r="122" spans="1:12" s="34" customFormat="1" ht="39" thickBot="1" x14ac:dyDescent="0.25">
      <c r="A122" s="1979" t="str">
        <f>F!A180</f>
        <v>F34</v>
      </c>
      <c r="B122" s="1979" t="str">
        <f>F!B180</f>
        <v>Predominant Width of Vegetated Zone within Wetland</v>
      </c>
      <c r="C122" s="1318" t="str">
        <f>F!C180</f>
        <v>At the time during the growing season when the AA's water level is lowest, the average width of vegetated area in the AA that separates adjoining uplands from open water within the AA is:</v>
      </c>
      <c r="D122" s="777"/>
      <c r="E122" s="777"/>
      <c r="F122" s="87"/>
      <c r="G122" s="1258" t="str">
        <f>IF((AllSat1&gt;0),"",IF((OpenW=0),"", IF((SmallAA=1),"", MAX(F123:F128)/MAX(E123:E128))))</f>
        <v/>
      </c>
      <c r="H122" s="1910" t="s">
        <v>169</v>
      </c>
      <c r="I122" s="1867" t="s">
        <v>1906</v>
      </c>
      <c r="J122" s="138"/>
      <c r="K122" s="8"/>
      <c r="L122" s="8"/>
    </row>
    <row r="123" spans="1:12" s="34" customFormat="1" ht="15" customHeight="1" x14ac:dyDescent="0.2">
      <c r="A123" s="1980"/>
      <c r="B123" s="1980"/>
      <c r="C123" s="858" t="str">
        <f>F!C181</f>
        <v>&lt;1 m</v>
      </c>
      <c r="D123" s="180">
        <f>F!D181</f>
        <v>0</v>
      </c>
      <c r="E123" s="734">
        <v>1</v>
      </c>
      <c r="F123" s="812">
        <f t="shared" ref="F123:F128" si="5">D123*E123</f>
        <v>0</v>
      </c>
      <c r="G123" s="1523"/>
      <c r="H123" s="1881"/>
      <c r="I123" s="1911"/>
      <c r="J123" s="138"/>
      <c r="K123" s="8"/>
      <c r="L123" s="8"/>
    </row>
    <row r="124" spans="1:12" s="34" customFormat="1" ht="15" customHeight="1" x14ac:dyDescent="0.2">
      <c r="A124" s="1980"/>
      <c r="B124" s="1980"/>
      <c r="C124" s="858" t="str">
        <f>F!C182</f>
        <v>1 - 9 m</v>
      </c>
      <c r="D124" s="180">
        <f>F!D182</f>
        <v>0</v>
      </c>
      <c r="E124" s="734">
        <v>2</v>
      </c>
      <c r="F124" s="812">
        <f t="shared" si="5"/>
        <v>0</v>
      </c>
      <c r="G124" s="859"/>
      <c r="H124" s="1881"/>
      <c r="I124" s="1911"/>
      <c r="J124" s="138"/>
      <c r="K124" s="8"/>
      <c r="L124" s="8"/>
    </row>
    <row r="125" spans="1:12" s="34" customFormat="1" ht="15" customHeight="1" x14ac:dyDescent="0.2">
      <c r="A125" s="1980"/>
      <c r="B125" s="1980"/>
      <c r="C125" s="858" t="str">
        <f>F!C183</f>
        <v>10 - 29 m</v>
      </c>
      <c r="D125" s="180">
        <f>F!D183</f>
        <v>0</v>
      </c>
      <c r="E125" s="734">
        <v>3</v>
      </c>
      <c r="F125" s="812">
        <f t="shared" si="5"/>
        <v>0</v>
      </c>
      <c r="G125" s="859"/>
      <c r="H125" s="1881"/>
      <c r="I125" s="1911"/>
      <c r="J125" s="138"/>
      <c r="K125" s="8"/>
      <c r="L125" s="8"/>
    </row>
    <row r="126" spans="1:12" s="34" customFormat="1" ht="15" customHeight="1" x14ac:dyDescent="0.2">
      <c r="A126" s="1980"/>
      <c r="B126" s="1980"/>
      <c r="C126" s="858" t="str">
        <f>F!C184</f>
        <v>30 - 49 m</v>
      </c>
      <c r="D126" s="180">
        <f>F!D184</f>
        <v>0</v>
      </c>
      <c r="E126" s="734">
        <v>4</v>
      </c>
      <c r="F126" s="812">
        <f t="shared" si="5"/>
        <v>0</v>
      </c>
      <c r="G126" s="859"/>
      <c r="H126" s="1881"/>
      <c r="I126" s="1911"/>
      <c r="J126" s="138"/>
      <c r="K126" s="8"/>
      <c r="L126" s="8"/>
    </row>
    <row r="127" spans="1:12" s="34" customFormat="1" ht="15" customHeight="1" x14ac:dyDescent="0.2">
      <c r="A127" s="1980"/>
      <c r="B127" s="1980"/>
      <c r="C127" s="858" t="str">
        <f>F!C185</f>
        <v>50 - 100 m</v>
      </c>
      <c r="D127" s="180">
        <f>F!D185</f>
        <v>0</v>
      </c>
      <c r="E127" s="722">
        <v>5</v>
      </c>
      <c r="F127" s="812">
        <f t="shared" si="5"/>
        <v>0</v>
      </c>
      <c r="G127" s="1054"/>
      <c r="H127" s="1881"/>
      <c r="I127" s="1911"/>
      <c r="J127" s="138"/>
      <c r="K127" s="8"/>
      <c r="L127" s="8"/>
    </row>
    <row r="128" spans="1:12" s="34" customFormat="1" ht="15" customHeight="1" thickBot="1" x14ac:dyDescent="0.25">
      <c r="A128" s="2021"/>
      <c r="B128" s="2021"/>
      <c r="C128" s="1524" t="str">
        <f>F!C186</f>
        <v>&gt; 100 m</v>
      </c>
      <c r="D128" s="1525">
        <f>F!D186</f>
        <v>0</v>
      </c>
      <c r="E128" s="1526">
        <v>6</v>
      </c>
      <c r="F128" s="88">
        <f t="shared" si="5"/>
        <v>0</v>
      </c>
      <c r="G128" s="1322"/>
      <c r="H128" s="1882"/>
      <c r="I128" s="1978"/>
      <c r="J128" s="138"/>
      <c r="K128" s="8"/>
      <c r="L128" s="8"/>
    </row>
    <row r="129" spans="1:12" s="34" customFormat="1" ht="30" customHeight="1" thickBot="1" x14ac:dyDescent="0.25">
      <c r="A129" s="2240" t="str">
        <f>F!A199</f>
        <v>F37</v>
      </c>
      <c r="B129" s="1985" t="str">
        <f>F!B199</f>
        <v>Interspersion of Robust Emergents &amp; Open Water</v>
      </c>
      <c r="C129" s="1397" t="str">
        <f>F!C199</f>
        <v>During most of the part of the growing season when water is present, the spatial pattern of robust herbaceous vegetation (e.g., cattail, tall bulrush, buckbean) is mostly:</v>
      </c>
      <c r="D129" s="238"/>
      <c r="E129" s="238"/>
      <c r="F129" s="127"/>
      <c r="G129" s="219">
        <f>IF((AllSat1&gt;0),"",IF((NoPonded=1),"",IF((NoOpenPonded+NoOpenPonded1&gt;0),"",IF((AllOpenPond=1),"", IF((SmallAA=1),"", MAX(F130:F132)/MAX(E130:E132))))))</f>
        <v>0</v>
      </c>
      <c r="H129" s="1881" t="s">
        <v>184</v>
      </c>
      <c r="I129" s="1867" t="s">
        <v>1211</v>
      </c>
      <c r="J129" s="138"/>
      <c r="K129" s="8"/>
      <c r="L129" s="8"/>
    </row>
    <row r="130" spans="1:12" s="34" customFormat="1" ht="27" customHeight="1" x14ac:dyDescent="0.2">
      <c r="A130" s="2075"/>
      <c r="B130" s="1911"/>
      <c r="C130" s="552" t="str">
        <f>F!C200</f>
        <v>Scattered.  More than 30% of such vegetation forms small islands or corridors surrounded by water.</v>
      </c>
      <c r="D130" s="180">
        <f>F!D200</f>
        <v>0</v>
      </c>
      <c r="E130" s="245">
        <v>3</v>
      </c>
      <c r="F130" s="42">
        <f>D130*E130</f>
        <v>0</v>
      </c>
      <c r="G130" s="257"/>
      <c r="H130" s="1881"/>
      <c r="I130" s="1911"/>
      <c r="J130" s="138"/>
      <c r="K130" s="8"/>
      <c r="L130" s="8"/>
    </row>
    <row r="131" spans="1:12" s="34" customFormat="1" ht="15" customHeight="1" x14ac:dyDescent="0.2">
      <c r="A131" s="2075"/>
      <c r="B131" s="1911"/>
      <c r="C131" s="576" t="str">
        <f>F!C201</f>
        <v>Intermediate.</v>
      </c>
      <c r="D131" s="91">
        <f>F!D201</f>
        <v>0</v>
      </c>
      <c r="E131" s="245">
        <v>2</v>
      </c>
      <c r="F131" s="42">
        <f>D131*E131</f>
        <v>0</v>
      </c>
      <c r="G131" s="257"/>
      <c r="H131" s="1881"/>
      <c r="I131" s="1911"/>
      <c r="J131" s="138"/>
      <c r="K131" s="8"/>
      <c r="L131" s="8"/>
    </row>
    <row r="132" spans="1:12" s="34" customFormat="1" ht="33" customHeight="1" thickBot="1" x14ac:dyDescent="0.25">
      <c r="A132" s="2075"/>
      <c r="B132" s="1911"/>
      <c r="C132" s="576" t="str">
        <f>F!C202</f>
        <v>Clumped. More than 70% of such vegetation is in bands along the wetland perimeter or is clumped at one or a few sides of the surface water area.</v>
      </c>
      <c r="D132" s="91">
        <f>F!D202</f>
        <v>0</v>
      </c>
      <c r="E132" s="248">
        <v>1</v>
      </c>
      <c r="F132" s="41">
        <f>D132*E132</f>
        <v>0</v>
      </c>
      <c r="G132" s="433"/>
      <c r="H132" s="1881"/>
      <c r="I132" s="1978"/>
      <c r="J132" s="138"/>
      <c r="K132" s="8"/>
      <c r="L132" s="8"/>
    </row>
    <row r="133" spans="1:12" s="34" customFormat="1" ht="21" customHeight="1" thickBot="1" x14ac:dyDescent="0.25">
      <c r="A133" s="1992" t="str">
        <f>F!A222</f>
        <v>F45</v>
      </c>
      <c r="B133" s="1867" t="str">
        <f>F!B222</f>
        <v>Beaver Probability</v>
      </c>
      <c r="C133" s="352" t="str">
        <f>F!C222</f>
        <v>Use of the AA by beaver during the past 5 years is (select most applicable ONE):</v>
      </c>
      <c r="D133" s="777"/>
      <c r="E133" s="376"/>
      <c r="F133" s="1520"/>
      <c r="G133" s="225">
        <f>IF((AllSat1&gt;0),"",MAX(F134:F136)/MAX(E134:E136))</f>
        <v>0</v>
      </c>
      <c r="H133" s="1910" t="s">
        <v>185</v>
      </c>
      <c r="I133" s="1867" t="s">
        <v>1358</v>
      </c>
      <c r="J133" s="138"/>
      <c r="K133" s="8"/>
      <c r="L133" s="8"/>
    </row>
    <row r="134" spans="1:12" s="34" customFormat="1" ht="27" customHeight="1" x14ac:dyDescent="0.2">
      <c r="A134" s="1991"/>
      <c r="B134" s="1911"/>
      <c r="C134" s="934" t="str">
        <f>F!C223</f>
        <v>evident from direct observation or presence of gnawed limbs, dams, tracks, dens, lodges, or extensive stands of water-killed trees (snags).</v>
      </c>
      <c r="D134" s="180">
        <f>F!D223</f>
        <v>0</v>
      </c>
      <c r="E134" s="722">
        <v>3</v>
      </c>
      <c r="F134" s="812">
        <f>D134*E134</f>
        <v>0</v>
      </c>
      <c r="G134" s="202"/>
      <c r="H134" s="1881"/>
      <c r="I134" s="1911"/>
      <c r="J134" s="138"/>
      <c r="K134" s="8"/>
      <c r="L134" s="8"/>
    </row>
    <row r="135" spans="1:12" s="34" customFormat="1" ht="54" customHeight="1" x14ac:dyDescent="0.2">
      <c r="A135" s="1991"/>
      <c r="B135" s="1911"/>
      <c r="C135" s="935" t="str">
        <f>F!C224</f>
        <v>likely based on known occurrence in the region and proximity to suitable habitat, which may include: (a) a persistent freshwater wetland, pond, or lake, or a perennial low or mid-gradient (&lt;10%) channel, and (b) a corridor or multiple stands of hardwood trees and shrubs in vegetated areas near surface water.</v>
      </c>
      <c r="D135" s="733">
        <f>F!D224</f>
        <v>0</v>
      </c>
      <c r="E135" s="722">
        <v>2</v>
      </c>
      <c r="F135" s="812">
        <f>D135*E135</f>
        <v>0</v>
      </c>
      <c r="G135" s="775"/>
      <c r="H135" s="1881"/>
      <c r="I135" s="1911"/>
      <c r="J135" s="138"/>
      <c r="K135" s="8"/>
      <c r="L135" s="8"/>
    </row>
    <row r="136" spans="1:12" s="34" customFormat="1" ht="39" thickBot="1" x14ac:dyDescent="0.25">
      <c r="A136" s="1993"/>
      <c r="B136" s="1978"/>
      <c r="C136" s="445" t="str">
        <f>F!C225</f>
        <v>unlikely because site characteristics above are deficient, and/or this is a settled area or other area where beaver are routinely removed.  But beaver occur in this part of the region (i.e., within 25 km).</v>
      </c>
      <c r="D136" s="94">
        <f>F!D225</f>
        <v>0</v>
      </c>
      <c r="E136" s="244">
        <v>0</v>
      </c>
      <c r="F136" s="88">
        <f>D136*E136</f>
        <v>0</v>
      </c>
      <c r="G136" s="258"/>
      <c r="H136" s="1882"/>
      <c r="I136" s="1978"/>
      <c r="J136" s="138"/>
      <c r="K136" s="8"/>
      <c r="L136" s="8"/>
    </row>
    <row r="137" spans="1:12" s="34" customFormat="1" ht="184.5" customHeight="1" thickBot="1" x14ac:dyDescent="0.25">
      <c r="A137" s="1419" t="str">
        <f>F!A226</f>
        <v>F46</v>
      </c>
      <c r="B137" s="1362" t="str">
        <f>F!B226</f>
        <v>Tributary Inflow</v>
      </c>
      <c r="C137" s="1524" t="str">
        <f>F!C226</f>
        <v xml:space="preserve">At least once annually, surface water from a tributary channel that is &gt;100 m long moves into the AA.  Or, surface water from a larger permanent water body that directly adjoins the AA spills into the AA.  If false (no input), enter 0 and SKIP to F48 (Channel Connection &amp; Outflow Duration). Otherwise, enter 1 and continue. </v>
      </c>
      <c r="D137" s="484">
        <f>F!D226</f>
        <v>0</v>
      </c>
      <c r="E137" s="1257"/>
      <c r="F137" s="89"/>
      <c r="G137" s="491">
        <f>D137</f>
        <v>0</v>
      </c>
      <c r="H137" s="1360" t="s">
        <v>186</v>
      </c>
      <c r="I137" s="1362" t="s">
        <v>1359</v>
      </c>
      <c r="J137" s="138"/>
      <c r="K137" s="8"/>
      <c r="L137" s="8"/>
    </row>
    <row r="138" spans="1:12" s="34" customFormat="1" ht="21" customHeight="1" thickBot="1" x14ac:dyDescent="0.25">
      <c r="A138" s="1992" t="str">
        <f>F!A243</f>
        <v>F50</v>
      </c>
      <c r="B138" s="1867" t="str">
        <f>F!B243</f>
        <v>Groundwater: Strength of Evidence</v>
      </c>
      <c r="C138" s="352" t="str">
        <f>F!C243</f>
        <v xml:space="preserve">Select first applicable choice. </v>
      </c>
      <c r="D138" s="581"/>
      <c r="E138" s="376"/>
      <c r="F138" s="1520"/>
      <c r="G138" s="225">
        <f>IF((D141=1),"",MAX(F139:F141)/MAX(E139:E141))</f>
        <v>0</v>
      </c>
      <c r="H138" s="1910" t="s">
        <v>183</v>
      </c>
      <c r="I138" s="1867" t="s">
        <v>1212</v>
      </c>
      <c r="J138" s="138"/>
      <c r="K138" s="8"/>
      <c r="L138" s="8"/>
    </row>
    <row r="139" spans="1:12" s="34" customFormat="1" ht="53.25" customHeight="1" x14ac:dyDescent="0.2">
      <c r="A139" s="1991"/>
      <c r="B139" s="1911"/>
      <c r="C139" s="552" t="str">
        <f>F!C244</f>
        <v xml:space="preserve">Springs are known to be present within the AA, or if groundwater levels have been monitored, that has demonstrated that groundwater primarily discharges to the wetland for longer periods during the year than periods when the wetland recharges the groundwater. 
</v>
      </c>
      <c r="D139" s="180">
        <f>F!D244</f>
        <v>0</v>
      </c>
      <c r="E139" s="377">
        <v>2</v>
      </c>
      <c r="F139" s="564">
        <f>D139*E139</f>
        <v>0</v>
      </c>
      <c r="G139" s="267"/>
      <c r="H139" s="1881"/>
      <c r="I139" s="1911"/>
      <c r="J139" s="138"/>
      <c r="K139" s="8"/>
      <c r="L139" s="8"/>
    </row>
    <row r="140" spans="1:12" s="34" customFormat="1" ht="84" customHeight="1" x14ac:dyDescent="0.2">
      <c r="A140" s="1991"/>
      <c r="B140" s="1911"/>
      <c r="C140" s="576" t="str">
        <f>F!C245</f>
        <v xml:space="preserve">If surface water is present, its pH (Q44) is &gt;5.5 AND one or more of the following are true: (a) the AA is located very close to the base of (but mostly not ON) a natural slope much steeper (usually &gt;15%) than that within the AA and longer than 100 m, OR
(b) rust deposits ("iron floc"), colored precipitates, or dispersible natural oil sheen are prevalent in the AA, OR
(c) AA is located at a geologic fault.
</v>
      </c>
      <c r="D140" s="354">
        <f>F!D245</f>
        <v>0</v>
      </c>
      <c r="E140" s="377">
        <v>1</v>
      </c>
      <c r="F140" s="564">
        <f>D140*E140</f>
        <v>0</v>
      </c>
      <c r="G140" s="433"/>
      <c r="H140" s="1881"/>
      <c r="I140" s="1911"/>
      <c r="J140" s="138"/>
      <c r="K140" s="8"/>
      <c r="L140" s="8"/>
    </row>
    <row r="141" spans="1:12" s="34" customFormat="1" ht="27" customHeight="1" thickBot="1" x14ac:dyDescent="0.25">
      <c r="A141" s="1993"/>
      <c r="B141" s="1978"/>
      <c r="C141" s="445" t="str">
        <f>F!C246</f>
        <v>Neither of above is true, although some groundwater may discharge to or flow through the AA.  Or groundwater influx is unknown.</v>
      </c>
      <c r="D141" s="94">
        <f>F!D246</f>
        <v>0</v>
      </c>
      <c r="E141" s="244">
        <v>0</v>
      </c>
      <c r="F141" s="88">
        <f>D141*E141</f>
        <v>0</v>
      </c>
      <c r="G141" s="258"/>
      <c r="H141" s="1882"/>
      <c r="I141" s="1978"/>
      <c r="J141" s="138"/>
      <c r="K141" s="8"/>
      <c r="L141" s="8"/>
    </row>
    <row r="142" spans="1:12" ht="30" customHeight="1" thickBot="1" x14ac:dyDescent="0.25">
      <c r="A142" s="1992" t="str">
        <f>F!A252</f>
        <v>F52</v>
      </c>
      <c r="B142" s="1867" t="str">
        <f>F!B252</f>
        <v>Percent of Buffer with Perennial Vegetation</v>
      </c>
      <c r="C142" s="352" t="str">
        <f>F!C252</f>
        <v>Extending 30 m on all sides from the AA's edge,  the percentage that contains water or perennial vegetation taller than 10 cm during most of the growing season is:</v>
      </c>
      <c r="D142" s="1515"/>
      <c r="E142" s="376"/>
      <c r="F142" s="262"/>
      <c r="G142" s="225">
        <f>MAX(F143:F147)/MAX(E143:E147)</f>
        <v>0</v>
      </c>
      <c r="H142" s="1910" t="s">
        <v>175</v>
      </c>
      <c r="I142" s="2000" t="s">
        <v>1909</v>
      </c>
      <c r="J142" s="182"/>
      <c r="K142" s="2"/>
      <c r="L142" s="2"/>
    </row>
    <row r="143" spans="1:12" ht="15" customHeight="1" x14ac:dyDescent="0.2">
      <c r="A143" s="1991"/>
      <c r="B143" s="1911"/>
      <c r="C143" s="552" t="str">
        <f>F!C253</f>
        <v xml:space="preserve">&lt;5% </v>
      </c>
      <c r="D143" s="354">
        <f>F!D253</f>
        <v>0</v>
      </c>
      <c r="E143" s="435">
        <v>0</v>
      </c>
      <c r="F143" s="377">
        <f>D143*E143</f>
        <v>0</v>
      </c>
      <c r="G143" s="202"/>
      <c r="H143" s="1881"/>
      <c r="I143" s="1989"/>
      <c r="J143" s="182"/>
      <c r="K143" s="2"/>
      <c r="L143" s="2"/>
    </row>
    <row r="144" spans="1:12" ht="15" customHeight="1" x14ac:dyDescent="0.2">
      <c r="A144" s="1991"/>
      <c r="B144" s="1911"/>
      <c r="C144" s="576" t="str">
        <f>F!C254</f>
        <v>5 to 30%</v>
      </c>
      <c r="D144" s="354">
        <f>F!D254</f>
        <v>0</v>
      </c>
      <c r="E144" s="435">
        <v>2</v>
      </c>
      <c r="F144" s="377">
        <f>D144*E144</f>
        <v>0</v>
      </c>
      <c r="G144" s="257"/>
      <c r="H144" s="1881"/>
      <c r="I144" s="1989"/>
      <c r="J144" s="182"/>
      <c r="K144" s="2"/>
      <c r="L144" s="2"/>
    </row>
    <row r="145" spans="1:12" ht="15" customHeight="1" x14ac:dyDescent="0.2">
      <c r="A145" s="1991"/>
      <c r="B145" s="1911"/>
      <c r="C145" s="576" t="str">
        <f>F!C255</f>
        <v>30 to 60%</v>
      </c>
      <c r="D145" s="354">
        <f>F!D255</f>
        <v>0</v>
      </c>
      <c r="E145" s="435">
        <v>3</v>
      </c>
      <c r="F145" s="377">
        <f>D145*E145</f>
        <v>0</v>
      </c>
      <c r="G145" s="257"/>
      <c r="H145" s="1881"/>
      <c r="I145" s="1989"/>
      <c r="J145" s="182"/>
      <c r="K145" s="2"/>
      <c r="L145" s="2"/>
    </row>
    <row r="146" spans="1:12" ht="15" customHeight="1" x14ac:dyDescent="0.2">
      <c r="A146" s="1991"/>
      <c r="B146" s="1911"/>
      <c r="C146" s="576" t="str">
        <f>F!C256</f>
        <v>60 to 90%</v>
      </c>
      <c r="D146" s="354">
        <f>F!D256</f>
        <v>0</v>
      </c>
      <c r="E146" s="435">
        <v>4</v>
      </c>
      <c r="F146" s="377">
        <f>D146*E146</f>
        <v>0</v>
      </c>
      <c r="G146" s="257"/>
      <c r="H146" s="1881"/>
      <c r="I146" s="1989"/>
      <c r="J146" s="182"/>
      <c r="K146" s="2"/>
      <c r="L146" s="2"/>
    </row>
    <row r="147" spans="1:12" ht="18.600000000000001" customHeight="1" thickBot="1" x14ac:dyDescent="0.25">
      <c r="A147" s="1993"/>
      <c r="B147" s="1978"/>
      <c r="C147" s="445" t="str">
        <f>F!C257</f>
        <v>&gt;90%, or the AA does not adjoin any upland  SKIP to F54 (Cliffs).</v>
      </c>
      <c r="D147" s="94">
        <f>F!D257</f>
        <v>0</v>
      </c>
      <c r="E147" s="263">
        <v>6</v>
      </c>
      <c r="F147" s="244">
        <f>D147*E147</f>
        <v>0</v>
      </c>
      <c r="G147" s="258"/>
      <c r="H147" s="1882"/>
      <c r="I147" s="1990"/>
      <c r="J147" s="182"/>
      <c r="K147" s="2"/>
      <c r="L147" s="2"/>
    </row>
    <row r="148" spans="1:12" ht="30" customHeight="1" thickBot="1" x14ac:dyDescent="0.25">
      <c r="A148" s="1991" t="str">
        <f>F!A258</f>
        <v>F53</v>
      </c>
      <c r="B148" s="1911" t="str">
        <f>F!B258</f>
        <v>Type of Cover in Buffer</v>
      </c>
      <c r="C148" s="1397" t="str">
        <f>F!C258</f>
        <v>Within the 30 m zone described above, the area that is NOT perennial vegetation or water is mostly (mark ONE):</v>
      </c>
      <c r="D148" s="1519"/>
      <c r="E148" s="239"/>
      <c r="F148" s="259"/>
      <c r="G148" s="219">
        <f>IF((BuffAllNat=1),"", MAX(F149:F150)/MAX(E149:E150))</f>
        <v>0</v>
      </c>
      <c r="H148" s="1881" t="s">
        <v>176</v>
      </c>
      <c r="I148" s="2000" t="s">
        <v>1217</v>
      </c>
      <c r="J148" s="182"/>
      <c r="K148" s="2"/>
      <c r="L148" s="2"/>
    </row>
    <row r="149" spans="1:12" ht="15" customHeight="1" x14ac:dyDescent="0.2">
      <c r="A149" s="1991"/>
      <c r="B149" s="1911"/>
      <c r="C149" s="552" t="str">
        <f>F!C259</f>
        <v>impervious surface, e.g., paved road, parking lot, building, exposed rock.</v>
      </c>
      <c r="D149" s="91">
        <f>F!D259</f>
        <v>0</v>
      </c>
      <c r="E149" s="241">
        <v>0</v>
      </c>
      <c r="F149" s="241">
        <f>D149*E149</f>
        <v>0</v>
      </c>
      <c r="G149" s="202"/>
      <c r="H149" s="1881"/>
      <c r="I149" s="1989"/>
      <c r="J149" s="182"/>
      <c r="K149" s="2"/>
      <c r="L149" s="2"/>
    </row>
    <row r="150" spans="1:12" ht="27" customHeight="1" thickBot="1" x14ac:dyDescent="0.25">
      <c r="A150" s="1991"/>
      <c r="B150" s="1911"/>
      <c r="C150" s="533" t="str">
        <f>F!C260</f>
        <v>bare or nearly bare pervious surface or managed vegetation, e.g., lawn, annual crops, mostly-unvegetated clearcut, landslide, unpaved road, drill pad, dike.</v>
      </c>
      <c r="D150" s="370">
        <f>F!D260</f>
        <v>0</v>
      </c>
      <c r="E150" s="380">
        <v>1</v>
      </c>
      <c r="F150" s="380">
        <f>D150*E150</f>
        <v>0</v>
      </c>
      <c r="G150" s="433"/>
      <c r="H150" s="1881"/>
      <c r="I150" s="1990"/>
      <c r="J150" s="182"/>
      <c r="K150" s="2"/>
      <c r="L150" s="2"/>
    </row>
    <row r="151" spans="1:12" ht="60" customHeight="1" thickBot="1" x14ac:dyDescent="0.25">
      <c r="A151" s="57" t="str">
        <f>F!A261</f>
        <v>F54</v>
      </c>
      <c r="B151" s="43" t="str">
        <f>F!B261</f>
        <v xml:space="preserve">Cliffs, Steep Banks, or Salt Lick </v>
      </c>
      <c r="C151" s="562" t="str">
        <f>F!C261</f>
        <v>In the AA or within 100 m, there is a known salt lick, or elevated terrestrial features such as cliffs, talus slopes, stream banks, or excavated pits (but not riprap) that extend at least 2 m nearly vertically, are unvegetated, and potentially contain crevices or other substrate suitable for nesting or den areas.  Enter 1 (yes) or 0 (no).</v>
      </c>
      <c r="D151" s="178">
        <f>F!D261</f>
        <v>0</v>
      </c>
      <c r="E151" s="269"/>
      <c r="F151" s="269"/>
      <c r="G151" s="225">
        <f>D151</f>
        <v>0</v>
      </c>
      <c r="H151" s="332" t="s">
        <v>817</v>
      </c>
      <c r="I151" s="769" t="s">
        <v>974</v>
      </c>
      <c r="J151" s="182"/>
      <c r="K151" s="2"/>
      <c r="L151" s="2"/>
    </row>
    <row r="152" spans="1:12" ht="39" thickBot="1" x14ac:dyDescent="0.25">
      <c r="A152" s="2239" t="str">
        <f>F!A262</f>
        <v>F55</v>
      </c>
      <c r="B152" s="2068" t="str">
        <f>F!B262</f>
        <v>New or Expanded Wetland</v>
      </c>
      <c r="C152" s="1527" t="str">
        <f>F!C262</f>
        <v>Part or all of the AA resulted from human actions that persistently expanded a naturally occurring wetland or created a wetland where there previously was none (e.g., by excavation, impoundment):</v>
      </c>
      <c r="D152" s="1516"/>
      <c r="E152" s="239"/>
      <c r="F152" s="259"/>
      <c r="G152" s="219">
        <f>IF((D158=1),"",MAX(F153:F157)/MAX(E153:E157))</f>
        <v>0</v>
      </c>
      <c r="H152" s="1881" t="s">
        <v>179</v>
      </c>
      <c r="I152" s="2000" t="s">
        <v>156</v>
      </c>
      <c r="J152" s="182"/>
      <c r="K152" s="2"/>
      <c r="L152" s="2"/>
    </row>
    <row r="153" spans="1:12" ht="15" customHeight="1" x14ac:dyDescent="0.2">
      <c r="A153" s="2239"/>
      <c r="B153" s="2068"/>
      <c r="C153" s="1528" t="str">
        <f>F!C263</f>
        <v>No</v>
      </c>
      <c r="D153" s="1529">
        <f>F!D263</f>
        <v>0</v>
      </c>
      <c r="E153" s="241">
        <v>5</v>
      </c>
      <c r="F153" s="241">
        <f>D153*E153</f>
        <v>0</v>
      </c>
      <c r="G153" s="202"/>
      <c r="H153" s="1881"/>
      <c r="I153" s="1989"/>
      <c r="J153" s="182"/>
      <c r="K153" s="2"/>
      <c r="L153" s="2"/>
    </row>
    <row r="154" spans="1:12" ht="15" customHeight="1" x14ac:dyDescent="0.2">
      <c r="A154" s="2239"/>
      <c r="B154" s="2068"/>
      <c r="C154" s="1530" t="str">
        <f>F!C264</f>
        <v>yes, and created or expanded 20 - 100 years ago .</v>
      </c>
      <c r="D154" s="1531">
        <f>F!D264</f>
        <v>0</v>
      </c>
      <c r="E154" s="241">
        <v>2</v>
      </c>
      <c r="F154" s="241">
        <f>D154*E154</f>
        <v>0</v>
      </c>
      <c r="G154" s="257"/>
      <c r="H154" s="1881"/>
      <c r="I154" s="1989"/>
      <c r="J154" s="182"/>
      <c r="K154" s="2"/>
      <c r="L154" s="2"/>
    </row>
    <row r="155" spans="1:12" ht="15" customHeight="1" x14ac:dyDescent="0.2">
      <c r="A155" s="2239"/>
      <c r="B155" s="2068"/>
      <c r="C155" s="1530" t="str">
        <f>F!C265</f>
        <v>yes, and created or expanded 3-20 years ago.</v>
      </c>
      <c r="D155" s="1531">
        <f>F!D265</f>
        <v>0</v>
      </c>
      <c r="E155" s="241">
        <v>1</v>
      </c>
      <c r="F155" s="241">
        <f>D155*E155</f>
        <v>0</v>
      </c>
      <c r="G155" s="257"/>
      <c r="H155" s="1881"/>
      <c r="I155" s="1989"/>
      <c r="J155" s="182"/>
      <c r="K155" s="2"/>
      <c r="L155" s="2"/>
    </row>
    <row r="156" spans="1:12" ht="15" customHeight="1" x14ac:dyDescent="0.2">
      <c r="A156" s="2239"/>
      <c r="B156" s="2068"/>
      <c r="C156" s="1530" t="str">
        <f>F!C266</f>
        <v>yes, and created or expanded within last 3 years.</v>
      </c>
      <c r="D156" s="1531">
        <f>F!D266</f>
        <v>0</v>
      </c>
      <c r="E156" s="241">
        <v>0</v>
      </c>
      <c r="F156" s="241">
        <f>D156*E156</f>
        <v>0</v>
      </c>
      <c r="G156" s="257"/>
      <c r="H156" s="1881"/>
      <c r="I156" s="1989"/>
      <c r="J156" s="182"/>
      <c r="K156" s="2"/>
      <c r="L156" s="2"/>
    </row>
    <row r="157" spans="1:12" ht="15" customHeight="1" x14ac:dyDescent="0.2">
      <c r="A157" s="2239"/>
      <c r="B157" s="2068"/>
      <c r="C157" s="1530" t="str">
        <f>F!C267</f>
        <v>yes, but time of origin unknown.</v>
      </c>
      <c r="D157" s="1531">
        <f>F!D267</f>
        <v>0</v>
      </c>
      <c r="E157" s="241">
        <v>1</v>
      </c>
      <c r="F157" s="241">
        <f>D157*E157</f>
        <v>0</v>
      </c>
      <c r="G157" s="257"/>
      <c r="H157" s="1881"/>
      <c r="I157" s="1989"/>
      <c r="J157" s="182"/>
      <c r="K157" s="2"/>
      <c r="L157" s="2"/>
    </row>
    <row r="158" spans="1:12" ht="15" customHeight="1" thickBot="1" x14ac:dyDescent="0.25">
      <c r="A158" s="2239"/>
      <c r="B158" s="2068"/>
      <c r="C158" s="1532" t="str">
        <f>F!C268</f>
        <v>unknown if new or expanded within 20 years or not.</v>
      </c>
      <c r="D158" s="1533">
        <f>F!D268</f>
        <v>0</v>
      </c>
      <c r="E158" s="380"/>
      <c r="F158" s="380"/>
      <c r="G158" s="433"/>
      <c r="H158" s="1881"/>
      <c r="I158" s="1990"/>
      <c r="J158" s="182"/>
      <c r="K158" s="2"/>
      <c r="L158" s="2"/>
    </row>
    <row r="159" spans="1:12" ht="77.25" thickBot="1" x14ac:dyDescent="0.25">
      <c r="A159" s="1992" t="str">
        <f>F!A288</f>
        <v>F60</v>
      </c>
      <c r="B159" s="1867" t="str">
        <f>F!B288</f>
        <v xml:space="preserve">Unvisited Core Area </v>
      </c>
      <c r="C159" s="352" t="str">
        <f>F!C288</f>
        <v>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v>
      </c>
      <c r="D159" s="1515"/>
      <c r="E159" s="376"/>
      <c r="F159" s="262"/>
      <c r="G159" s="225">
        <f>MAX(F160:F165)/MAX(E160:E165)</f>
        <v>0</v>
      </c>
      <c r="H159" s="1910" t="s">
        <v>177</v>
      </c>
      <c r="I159" s="2000" t="s">
        <v>975</v>
      </c>
      <c r="J159" s="182"/>
      <c r="K159" s="2"/>
      <c r="L159" s="2"/>
    </row>
    <row r="160" spans="1:12" ht="15" customHeight="1" x14ac:dyDescent="0.2">
      <c r="A160" s="1991"/>
      <c r="B160" s="1911"/>
      <c r="C160" s="552" t="str">
        <f>F!C289</f>
        <v>&lt;5% and no inhabited building is within 100 m of the AA.</v>
      </c>
      <c r="D160" s="359">
        <f>F!D289</f>
        <v>0</v>
      </c>
      <c r="E160" s="369">
        <v>1</v>
      </c>
      <c r="F160" s="377">
        <f t="shared" ref="F160:F165" si="6">D160*E160</f>
        <v>0</v>
      </c>
      <c r="G160" s="202"/>
      <c r="H160" s="1881"/>
      <c r="I160" s="1989"/>
      <c r="J160" s="182"/>
      <c r="K160" s="2"/>
      <c r="L160" s="2"/>
    </row>
    <row r="161" spans="1:12" ht="15" customHeight="1" x14ac:dyDescent="0.2">
      <c r="A161" s="1991"/>
      <c r="B161" s="1911"/>
      <c r="C161" s="576" t="str">
        <f>F!C290</f>
        <v>&lt;5% and inhabited building is within 100 m of the AA.</v>
      </c>
      <c r="D161" s="359">
        <f>F!D290</f>
        <v>0</v>
      </c>
      <c r="E161" s="369">
        <v>0</v>
      </c>
      <c r="F161" s="377">
        <f t="shared" si="6"/>
        <v>0</v>
      </c>
      <c r="G161" s="257"/>
      <c r="H161" s="1881"/>
      <c r="I161" s="1989"/>
      <c r="J161" s="182"/>
      <c r="K161" s="2"/>
      <c r="L161" s="2"/>
    </row>
    <row r="162" spans="1:12" ht="15" customHeight="1" x14ac:dyDescent="0.2">
      <c r="A162" s="1991"/>
      <c r="B162" s="1911"/>
      <c r="C162" s="576" t="str">
        <f>F!C291</f>
        <v>5-50% and no inhabited building is within 100 m of the AA.</v>
      </c>
      <c r="D162" s="359">
        <f>F!D291</f>
        <v>0</v>
      </c>
      <c r="E162" s="369">
        <v>3</v>
      </c>
      <c r="F162" s="377">
        <f t="shared" si="6"/>
        <v>0</v>
      </c>
      <c r="G162" s="257"/>
      <c r="H162" s="1881"/>
      <c r="I162" s="1989"/>
      <c r="J162" s="182"/>
      <c r="K162" s="2"/>
      <c r="L162" s="2"/>
    </row>
    <row r="163" spans="1:12" ht="15" customHeight="1" x14ac:dyDescent="0.2">
      <c r="A163" s="1991"/>
      <c r="B163" s="1911"/>
      <c r="C163" s="576" t="str">
        <f>F!C292</f>
        <v>5-50% and inhabited building is within 100 m of the AA.</v>
      </c>
      <c r="D163" s="359">
        <f>F!D292</f>
        <v>0</v>
      </c>
      <c r="E163" s="369">
        <v>2</v>
      </c>
      <c r="F163" s="377">
        <f t="shared" si="6"/>
        <v>0</v>
      </c>
      <c r="G163" s="433"/>
      <c r="H163" s="1881"/>
      <c r="I163" s="1989"/>
      <c r="J163" s="182"/>
      <c r="K163" s="2"/>
      <c r="L163" s="2"/>
    </row>
    <row r="164" spans="1:12" ht="15" customHeight="1" x14ac:dyDescent="0.2">
      <c r="A164" s="1991"/>
      <c r="B164" s="1911"/>
      <c r="C164" s="576" t="str">
        <f>F!C293</f>
        <v>50-95%, with or without inhabited building nearby.</v>
      </c>
      <c r="D164" s="359">
        <f>F!D293</f>
        <v>0</v>
      </c>
      <c r="E164" s="369">
        <v>4</v>
      </c>
      <c r="F164" s="377">
        <f t="shared" si="6"/>
        <v>0</v>
      </c>
      <c r="G164" s="433"/>
      <c r="H164" s="1881"/>
      <c r="I164" s="1989"/>
      <c r="J164" s="182"/>
      <c r="K164" s="2"/>
      <c r="L164" s="2"/>
    </row>
    <row r="165" spans="1:12" ht="15" customHeight="1" thickBot="1" x14ac:dyDescent="0.25">
      <c r="A165" s="1993"/>
      <c r="B165" s="1978"/>
      <c r="C165" s="445" t="str">
        <f>F!C294</f>
        <v>&gt;95% of the AA with or without inhabited building nearby.</v>
      </c>
      <c r="D165" s="94">
        <f>F!D294</f>
        <v>0</v>
      </c>
      <c r="E165" s="205">
        <v>5</v>
      </c>
      <c r="F165" s="244">
        <f t="shared" si="6"/>
        <v>0</v>
      </c>
      <c r="G165" s="258"/>
      <c r="H165" s="1882"/>
      <c r="I165" s="1990"/>
      <c r="J165" s="182"/>
      <c r="K165" s="2"/>
      <c r="L165" s="2"/>
    </row>
    <row r="166" spans="1:12" ht="75" customHeight="1" thickBot="1" x14ac:dyDescent="0.25">
      <c r="A166" s="2075" t="str">
        <f>F!A295</f>
        <v>F61</v>
      </c>
      <c r="B166" s="1911" t="str">
        <f>F!B295</f>
        <v>Frequently Visited Area</v>
      </c>
      <c r="C166" s="1397" t="str">
        <f>F!C295</f>
        <v>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v>
      </c>
      <c r="D166" s="1519"/>
      <c r="E166" s="206"/>
      <c r="F166" s="259"/>
      <c r="G166" s="219">
        <f>MAX(F167:F170)/MAX(E167:E170)</f>
        <v>0</v>
      </c>
      <c r="H166" s="1881" t="s">
        <v>178</v>
      </c>
      <c r="I166" s="2000" t="s">
        <v>75</v>
      </c>
      <c r="J166" s="182"/>
      <c r="K166" s="2"/>
      <c r="L166" s="2"/>
    </row>
    <row r="167" spans="1:12" ht="15" customHeight="1" x14ac:dyDescent="0.2">
      <c r="A167" s="2075"/>
      <c r="B167" s="1911"/>
      <c r="C167" s="552" t="str">
        <f>F!C296</f>
        <v>&lt;5%.  If F62 was answered "&gt;95%", SKIP to F64 (Consumptive Uses).</v>
      </c>
      <c r="D167" s="180">
        <f>F!D296</f>
        <v>0</v>
      </c>
      <c r="E167" s="204">
        <v>3</v>
      </c>
      <c r="F167" s="241">
        <f>D167*E167</f>
        <v>0</v>
      </c>
      <c r="G167" s="202"/>
      <c r="H167" s="1881"/>
      <c r="I167" s="1989"/>
      <c r="J167" s="182"/>
      <c r="K167" s="2"/>
      <c r="L167" s="2"/>
    </row>
    <row r="168" spans="1:12" ht="15" customHeight="1" x14ac:dyDescent="0.2">
      <c r="A168" s="2075"/>
      <c r="B168" s="1911"/>
      <c r="C168" s="576" t="str">
        <f>F!C297</f>
        <v>5-50%</v>
      </c>
      <c r="D168" s="40">
        <f>F!D297</f>
        <v>0</v>
      </c>
      <c r="E168" s="204">
        <v>2</v>
      </c>
      <c r="F168" s="241">
        <f>D168*E168</f>
        <v>0</v>
      </c>
      <c r="G168" s="257"/>
      <c r="H168" s="1881"/>
      <c r="I168" s="1989"/>
      <c r="J168" s="182"/>
      <c r="K168" s="2"/>
      <c r="L168" s="2"/>
    </row>
    <row r="169" spans="1:12" ht="15" customHeight="1" x14ac:dyDescent="0.2">
      <c r="A169" s="2075"/>
      <c r="B169" s="1911"/>
      <c r="C169" s="576" t="str">
        <f>F!C298</f>
        <v>50-95%</v>
      </c>
      <c r="D169" s="40">
        <f>F!D298</f>
        <v>0</v>
      </c>
      <c r="E169" s="204">
        <v>1</v>
      </c>
      <c r="F169" s="241">
        <f>D169*E169</f>
        <v>0</v>
      </c>
      <c r="G169" s="257"/>
      <c r="H169" s="1881"/>
      <c r="I169" s="1989"/>
      <c r="J169" s="182"/>
      <c r="K169" s="2"/>
      <c r="L169" s="2"/>
    </row>
    <row r="170" spans="1:12" ht="15" customHeight="1" thickBot="1" x14ac:dyDescent="0.25">
      <c r="A170" s="2075"/>
      <c r="B170" s="1911"/>
      <c r="C170" s="533" t="str">
        <f>F!C299</f>
        <v>&gt;95% of the AA.</v>
      </c>
      <c r="D170" s="22">
        <f>F!D299</f>
        <v>0</v>
      </c>
      <c r="E170" s="207">
        <v>0</v>
      </c>
      <c r="F170" s="242">
        <f>D170*E170</f>
        <v>0</v>
      </c>
      <c r="G170" s="433"/>
      <c r="H170" s="1881"/>
      <c r="I170" s="1990"/>
      <c r="J170" s="182"/>
      <c r="K170" s="2"/>
      <c r="L170" s="2"/>
    </row>
    <row r="171" spans="1:12" ht="75" customHeight="1" thickBot="1" x14ac:dyDescent="0.25">
      <c r="A171" s="1387" t="str">
        <f>F!A300</f>
        <v>F62</v>
      </c>
      <c r="B171" s="1368" t="str">
        <f>F!B300</f>
        <v>BMP - Soils</v>
      </c>
      <c r="C171" s="1534" t="str">
        <f>F!C300</f>
        <v>Boardwalks, paved trails, fences or other infrastructure and/or well-enforced regulations appear to effectively prevent visitors from walking on soils within nearly all of the AA when they are unfrozen.  Enter "1" if true.</v>
      </c>
      <c r="D171" s="1535">
        <f>F!D300</f>
        <v>0</v>
      </c>
      <c r="E171" s="594"/>
      <c r="F171" s="256"/>
      <c r="G171" s="1536">
        <f>IF((D165+D167&gt;1),"",D171)</f>
        <v>0</v>
      </c>
      <c r="H171" s="1359" t="s">
        <v>492</v>
      </c>
      <c r="I171" s="1368" t="s">
        <v>2415</v>
      </c>
      <c r="J171" s="182"/>
      <c r="K171" s="2"/>
      <c r="L171" s="2"/>
    </row>
    <row r="172" spans="1:12" ht="75" customHeight="1" thickBot="1" x14ac:dyDescent="0.25">
      <c r="A172" s="1867" t="str">
        <f>F!A324</f>
        <v>F68</v>
      </c>
      <c r="B172" s="1867" t="str">
        <f>F!B324</f>
        <v>Plants or Animals of Conservation Concern</v>
      </c>
      <c r="C172" s="794" t="str">
        <f>F!C324</f>
        <v xml:space="preserve">If required, survey the AA for plant or animal species at risk in Alberta (see list in RarePlants or RareAnimals worksheet tabs), especially if the data review conducted during the office phase of this assessment indicated their past presence in the general vicinity. Do so at appropriate times of the year. If you do detect these species or have reliable knowledge of their recent (within ~5 years) occurrence within the AA, indicate that below.  </v>
      </c>
      <c r="D172" s="255"/>
      <c r="E172" s="368"/>
      <c r="F172" s="262"/>
      <c r="G172" s="911" t="str">
        <f>IF((D173=0),"", 1)</f>
        <v/>
      </c>
      <c r="H172" s="1910" t="s">
        <v>2011</v>
      </c>
      <c r="I172" s="1867" t="s">
        <v>2031</v>
      </c>
      <c r="J172" s="578"/>
      <c r="K172" s="2"/>
      <c r="L172" s="2"/>
    </row>
    <row r="173" spans="1:12" ht="15" customHeight="1" thickBot="1" x14ac:dyDescent="0.25">
      <c r="A173" s="1978"/>
      <c r="B173" s="1978"/>
      <c r="C173" s="1088" t="str">
        <f>F!C325</f>
        <v>One or more of the rare plant species was detected within the AA.</v>
      </c>
      <c r="D173" s="94">
        <f>F!D325</f>
        <v>0</v>
      </c>
      <c r="E173" s="1089"/>
      <c r="F173" s="787"/>
      <c r="G173" s="787"/>
      <c r="H173" s="1882"/>
      <c r="I173" s="1978"/>
      <c r="J173" s="578"/>
      <c r="K173" s="2"/>
      <c r="L173" s="2"/>
    </row>
    <row r="174" spans="1:12" s="34" customFormat="1" ht="210" customHeight="1" thickBot="1" x14ac:dyDescent="0.25">
      <c r="A174" s="1420" t="str">
        <f>S!A3</f>
        <v>S1</v>
      </c>
      <c r="B174" s="1372" t="str">
        <f>S!B3</f>
        <v>Aberrant Hydrologic Regime</v>
      </c>
      <c r="C174" s="1537" t="str">
        <f>S!E24</f>
        <v>Stressor Subscore=</v>
      </c>
      <c r="D174" s="1538">
        <f>S!F24</f>
        <v>0</v>
      </c>
      <c r="E174" s="276"/>
      <c r="F174" s="1539"/>
      <c r="G174" s="219">
        <f>1-D174</f>
        <v>1</v>
      </c>
      <c r="H174" s="1361" t="s">
        <v>180</v>
      </c>
      <c r="I174" s="1376" t="s">
        <v>2416</v>
      </c>
      <c r="J174" s="138"/>
      <c r="K174" s="8"/>
      <c r="L174" s="8"/>
    </row>
    <row r="175" spans="1:12" s="35" customFormat="1" ht="45" customHeight="1" thickBot="1" x14ac:dyDescent="0.25">
      <c r="A175" s="1540" t="str">
        <f>S!A25</f>
        <v>S2</v>
      </c>
      <c r="B175" s="43" t="str">
        <f>S!B25</f>
        <v>Accelerated Inputs of Contaminants and/or Salts</v>
      </c>
      <c r="C175" s="555"/>
      <c r="D175" s="1541">
        <f>S!F39</f>
        <v>0</v>
      </c>
      <c r="E175" s="269"/>
      <c r="F175" s="198"/>
      <c r="G175" s="1542">
        <f>1-D175</f>
        <v>1</v>
      </c>
      <c r="H175" s="43" t="s">
        <v>820</v>
      </c>
      <c r="I175" s="769" t="s">
        <v>1910</v>
      </c>
      <c r="J175" s="183"/>
      <c r="K175" s="5"/>
      <c r="L175" s="5"/>
    </row>
    <row r="176" spans="1:12" ht="60" customHeight="1" thickBot="1" x14ac:dyDescent="0.25">
      <c r="A176" s="57" t="str">
        <f>S!A71</f>
        <v>S5</v>
      </c>
      <c r="B176" s="43" t="str">
        <f>S!B71</f>
        <v>Soil or Sediment Alteration Within the Assessment Area</v>
      </c>
      <c r="C176" s="562" t="str">
        <f>S!E88</f>
        <v>Stressor Subscore=</v>
      </c>
      <c r="D176" s="1543">
        <f>S!F88</f>
        <v>0</v>
      </c>
      <c r="E176" s="269"/>
      <c r="F176" s="270"/>
      <c r="G176" s="225">
        <f>1-D176</f>
        <v>1</v>
      </c>
      <c r="H176" s="332" t="s">
        <v>181</v>
      </c>
      <c r="I176" s="769" t="s">
        <v>976</v>
      </c>
      <c r="J176" s="182"/>
      <c r="K176" s="2"/>
      <c r="L176" s="2"/>
    </row>
    <row r="177" spans="1:11" ht="21" customHeight="1" thickBot="1" x14ac:dyDescent="0.25">
      <c r="A177" s="1544"/>
      <c r="B177" s="1544"/>
      <c r="D177" s="827"/>
      <c r="E177" s="827"/>
      <c r="F177" s="827"/>
      <c r="G177" s="827"/>
      <c r="H177" s="827" t="s">
        <v>406</v>
      </c>
      <c r="I177" s="827"/>
    </row>
    <row r="178" spans="1:11" s="36" customFormat="1" ht="21" customHeight="1" thickBot="1" x14ac:dyDescent="0.25">
      <c r="A178" s="1545"/>
      <c r="B178" s="1546"/>
      <c r="C178" s="391" t="s">
        <v>766</v>
      </c>
      <c r="D178" s="1027"/>
      <c r="E178" s="1027"/>
      <c r="F178" s="1027"/>
      <c r="G178" s="1027"/>
      <c r="H178" s="5"/>
      <c r="I178" s="5"/>
      <c r="J178" s="133"/>
    </row>
    <row r="179" spans="1:11" s="36" customFormat="1" ht="30" customHeight="1" thickBot="1" x14ac:dyDescent="0.25">
      <c r="A179" s="10"/>
      <c r="B179" s="1406"/>
      <c r="C179" s="554" t="s">
        <v>2275</v>
      </c>
      <c r="D179" s="293"/>
      <c r="E179" s="293"/>
      <c r="F179" s="293"/>
      <c r="G179" s="285">
        <f>AVERAGE(InterspersPD, WoodyCovPD,HerbWood15, ClassRichIn15, wood2pd, herbdom15, dbhPD, sedgePD, forbsPD)</f>
        <v>0</v>
      </c>
      <c r="H179" s="5"/>
      <c r="I179" s="5"/>
      <c r="J179" s="140"/>
      <c r="K179" s="37"/>
    </row>
    <row r="180" spans="1:11" s="36" customFormat="1" ht="21" customHeight="1" thickBot="1" x14ac:dyDescent="0.25">
      <c r="A180" s="1246"/>
      <c r="B180" s="10"/>
      <c r="C180" s="25"/>
      <c r="D180" s="827"/>
      <c r="E180" s="827"/>
      <c r="F180" s="827"/>
      <c r="G180" s="827"/>
      <c r="H180" s="5"/>
      <c r="I180" s="5"/>
      <c r="J180" s="132"/>
      <c r="K180" s="37"/>
    </row>
    <row r="181" spans="1:11" s="36" customFormat="1" ht="21" customHeight="1" thickBot="1" x14ac:dyDescent="0.25">
      <c r="A181" s="1246"/>
      <c r="B181" s="1246"/>
      <c r="C181" s="391" t="s">
        <v>767</v>
      </c>
      <c r="D181" s="1027"/>
      <c r="E181" s="1027"/>
      <c r="F181" s="1027"/>
      <c r="G181" s="1027"/>
      <c r="H181" s="5"/>
      <c r="I181" s="5"/>
      <c r="J181" s="132"/>
      <c r="K181" s="37"/>
    </row>
    <row r="182" spans="1:11" s="36" customFormat="1" ht="30" customHeight="1" thickBot="1" x14ac:dyDescent="0.25">
      <c r="A182" s="1350"/>
      <c r="B182" s="136"/>
      <c r="C182" s="541" t="s">
        <v>2445</v>
      </c>
      <c r="D182" s="1086"/>
      <c r="E182" s="1547"/>
      <c r="F182" s="507"/>
      <c r="G182" s="285">
        <f>AVERAGE(GrowDD, RipFloodpl,  InfloPD, SoilTexPD, GWpd,BeaverPD, NfixPD, NewWetPD, FlucPD, Depth15)</f>
        <v>0</v>
      </c>
      <c r="H182" s="5"/>
      <c r="I182" s="5"/>
      <c r="J182" s="132"/>
      <c r="K182" s="37"/>
    </row>
    <row r="183" spans="1:11" s="36" customFormat="1" ht="21" customHeight="1" thickBot="1" x14ac:dyDescent="0.25">
      <c r="A183" s="1246"/>
      <c r="B183" s="1246"/>
      <c r="C183" s="25"/>
      <c r="D183" s="827"/>
      <c r="E183" s="827"/>
      <c r="F183" s="827"/>
      <c r="G183" s="827"/>
      <c r="H183" s="5"/>
      <c r="I183" s="5"/>
      <c r="J183" s="132"/>
      <c r="K183" s="37"/>
    </row>
    <row r="184" spans="1:11" s="36" customFormat="1" ht="21" customHeight="1" thickBot="1" x14ac:dyDescent="0.25">
      <c r="A184" s="1246"/>
      <c r="B184" s="1246"/>
      <c r="C184" s="391" t="s">
        <v>769</v>
      </c>
      <c r="D184" s="1027"/>
      <c r="E184" s="1027"/>
      <c r="F184" s="1027"/>
      <c r="G184" s="1027"/>
      <c r="H184" s="5"/>
      <c r="I184" s="5"/>
      <c r="J184" s="132"/>
      <c r="K184" s="37"/>
    </row>
    <row r="185" spans="1:11" s="36" customFormat="1" ht="39" thickBot="1" x14ac:dyDescent="0.25">
      <c r="A185" s="1350"/>
      <c r="B185" s="1350"/>
      <c r="C185" s="554" t="s">
        <v>2446</v>
      </c>
      <c r="D185" s="1493"/>
      <c r="E185" s="1493"/>
      <c r="F185" s="293"/>
      <c r="G185" s="285">
        <f>IF((AllSat1&gt;0),"",IF((SmallAA=1),"",(AVERAGE(WetVegArea, WidthPD,PondedOWpctPD,PersisPD)+AVERAGE(DownWood15,Snags15,GirregPD,Rock15))/2))</f>
        <v>0</v>
      </c>
      <c r="H185" s="5"/>
      <c r="I185" s="1350"/>
      <c r="J185" s="132"/>
      <c r="K185" s="37"/>
    </row>
    <row r="186" spans="1:11" s="36" customFormat="1" ht="21" customHeight="1" thickBot="1" x14ac:dyDescent="0.25">
      <c r="A186" s="1246"/>
      <c r="B186" s="1246"/>
      <c r="C186" s="25"/>
      <c r="D186" s="827"/>
      <c r="E186" s="827"/>
      <c r="F186" s="827"/>
      <c r="G186" s="827"/>
      <c r="H186" s="5"/>
      <c r="I186" s="5"/>
      <c r="J186" s="132"/>
      <c r="K186" s="37"/>
    </row>
    <row r="187" spans="1:11" s="36" customFormat="1" ht="21" customHeight="1" thickBot="1" x14ac:dyDescent="0.25">
      <c r="A187" s="1246"/>
      <c r="B187" s="1246"/>
      <c r="C187" s="391" t="s">
        <v>768</v>
      </c>
      <c r="D187" s="1027"/>
      <c r="E187" s="1027"/>
      <c r="F187" s="1027"/>
      <c r="G187" s="1027"/>
      <c r="H187" s="5"/>
      <c r="I187" s="5"/>
      <c r="J187" s="139"/>
      <c r="K187" s="37"/>
    </row>
    <row r="188" spans="1:11" s="36" customFormat="1" ht="21" customHeight="1" thickBot="1" x14ac:dyDescent="0.25">
      <c r="A188" s="1350"/>
      <c r="B188" s="136"/>
      <c r="C188" s="541" t="s">
        <v>2447</v>
      </c>
      <c r="D188" s="1086"/>
      <c r="E188" s="507"/>
      <c r="F188" s="507"/>
      <c r="G188" s="285">
        <f>AVERAGE(NatCov1k, WetDens1k, ClassRich1k,  BuffLUpd, NatVegCApd)</f>
        <v>0</v>
      </c>
      <c r="H188" s="5"/>
      <c r="I188" s="5"/>
      <c r="J188" s="139"/>
      <c r="K188" s="37"/>
    </row>
    <row r="189" spans="1:11" s="38" customFormat="1" ht="21" customHeight="1" thickBot="1" x14ac:dyDescent="0.25">
      <c r="A189" s="1548"/>
      <c r="B189" s="1548"/>
      <c r="C189" s="135"/>
      <c r="D189" s="617"/>
      <c r="E189" s="617"/>
      <c r="F189" s="617"/>
      <c r="G189" s="617"/>
      <c r="H189" s="5"/>
      <c r="I189" s="5"/>
      <c r="J189" s="139"/>
      <c r="K189" s="37"/>
    </row>
    <row r="190" spans="1:11" s="36" customFormat="1" ht="21" customHeight="1" thickBot="1" x14ac:dyDescent="0.25">
      <c r="A190" s="1548"/>
      <c r="B190" s="1548"/>
      <c r="C190" s="391" t="s">
        <v>838</v>
      </c>
      <c r="D190" s="618"/>
      <c r="E190" s="618"/>
      <c r="F190" s="618"/>
      <c r="G190" s="618"/>
      <c r="H190" s="5"/>
      <c r="I190" s="5"/>
      <c r="J190" s="132"/>
      <c r="K190" s="37"/>
    </row>
    <row r="191" spans="1:11" s="36" customFormat="1" ht="30" customHeight="1" thickBot="1" x14ac:dyDescent="0.25">
      <c r="A191" s="1350"/>
      <c r="B191" s="136"/>
      <c r="C191" s="541" t="s">
        <v>2448</v>
      </c>
      <c r="D191" s="1086"/>
      <c r="E191" s="507"/>
      <c r="F191" s="507"/>
      <c r="G191" s="285">
        <f>(Invasives + AVERAGE(Dist2DevCrop, 1-RdDens1k, Dist2Road, DistPop, Core1pd, Core2pd, BMPsoils20, WeedSourcePD, AltTime20, SedDisturb20)) / 2</f>
        <v>0.21428571428571427</v>
      </c>
      <c r="H191" s="5"/>
      <c r="I191" s="5"/>
      <c r="J191" s="132"/>
      <c r="K191" s="37"/>
    </row>
    <row r="192" spans="1:11" s="36" customFormat="1" ht="21" customHeight="1" thickBot="1" x14ac:dyDescent="0.25">
      <c r="A192" s="1246"/>
      <c r="B192" s="1246"/>
      <c r="C192" s="25"/>
      <c r="D192" s="827"/>
      <c r="E192" s="827"/>
      <c r="F192" s="827"/>
      <c r="G192" s="827"/>
      <c r="H192" s="5"/>
      <c r="I192" s="5"/>
      <c r="J192" s="132"/>
      <c r="K192" s="37"/>
    </row>
    <row r="193" spans="1:17" s="36" customFormat="1" ht="21" customHeight="1" thickBot="1" x14ac:dyDescent="0.25">
      <c r="A193" s="1246"/>
      <c r="B193" s="1246"/>
      <c r="C193" s="639" t="s">
        <v>846</v>
      </c>
      <c r="D193" s="5"/>
      <c r="E193" s="5"/>
      <c r="F193" s="5"/>
      <c r="G193" s="5"/>
      <c r="H193" s="5"/>
      <c r="I193" s="5"/>
      <c r="J193" s="132"/>
      <c r="K193" s="37"/>
    </row>
    <row r="194" spans="1:17" s="36" customFormat="1" ht="21" customHeight="1" thickBot="1" x14ac:dyDescent="0.25">
      <c r="A194" s="1246"/>
      <c r="B194" s="1246"/>
      <c r="C194" s="417" t="s">
        <v>1248</v>
      </c>
      <c r="D194" s="1027"/>
      <c r="E194" s="1027"/>
      <c r="F194" s="1027"/>
      <c r="G194" s="1027"/>
      <c r="H194" s="5"/>
      <c r="I194" s="5"/>
      <c r="J194" s="132"/>
      <c r="K194" s="37"/>
    </row>
    <row r="195" spans="1:17" s="36" customFormat="1" ht="30" customHeight="1" thickBot="1" x14ac:dyDescent="0.25">
      <c r="A195" s="1246"/>
      <c r="B195" s="1246"/>
      <c r="C195" s="78" t="s">
        <v>2417</v>
      </c>
      <c r="D195" s="507"/>
      <c r="E195" s="507"/>
      <c r="F195" s="507"/>
      <c r="G195" s="582">
        <f>IF((RarePlant2=1),10, 10*AVERAGE(UniqClass, Vstruc1a, Vspace1a, CfixV1a, Vscape1a, StressV1a))</f>
        <v>0.4285714285714286</v>
      </c>
      <c r="H195" s="5"/>
      <c r="I195" s="5"/>
      <c r="J195" s="132"/>
      <c r="K195" s="37"/>
    </row>
    <row r="196" spans="1:17" s="38" customFormat="1" ht="21" customHeight="1" thickBot="1" x14ac:dyDescent="0.25">
      <c r="A196" s="1246"/>
      <c r="B196" s="1246"/>
      <c r="C196" s="394"/>
      <c r="D196" s="394"/>
      <c r="E196" s="1262"/>
      <c r="F196" s="1262"/>
      <c r="G196" s="1262"/>
      <c r="H196" s="1549"/>
      <c r="I196" s="849" t="s">
        <v>293</v>
      </c>
      <c r="J196" s="132"/>
      <c r="K196" s="37"/>
    </row>
    <row r="197" spans="1:17" s="38" customFormat="1" ht="38.25" x14ac:dyDescent="0.2">
      <c r="A197" s="1550"/>
      <c r="B197" s="1550"/>
      <c r="C197" s="1496"/>
      <c r="D197" s="1469"/>
      <c r="E197" s="1262"/>
      <c r="F197" s="1262"/>
      <c r="G197" s="1262"/>
      <c r="H197" s="1549"/>
      <c r="I197" s="1377" t="s">
        <v>407</v>
      </c>
      <c r="J197" s="132"/>
      <c r="K197" s="37"/>
    </row>
    <row r="198" spans="1:17" s="115" customFormat="1" ht="38.25" x14ac:dyDescent="0.2">
      <c r="A198" s="1551"/>
      <c r="B198" s="1466"/>
      <c r="C198" s="1498"/>
      <c r="D198" s="1468"/>
      <c r="E198" s="1262"/>
      <c r="F198" s="1262"/>
      <c r="G198" s="1262"/>
      <c r="H198" s="1549"/>
      <c r="I198" s="1407" t="s">
        <v>324</v>
      </c>
      <c r="J198" s="140"/>
      <c r="K198" s="119"/>
    </row>
    <row r="199" spans="1:17" s="115" customFormat="1" ht="38.25" x14ac:dyDescent="0.2">
      <c r="A199" s="1551"/>
      <c r="B199" s="1552"/>
      <c r="C199" s="1498"/>
      <c r="D199" s="1468"/>
      <c r="E199" s="1262"/>
      <c r="F199" s="1262"/>
      <c r="G199" s="1262"/>
      <c r="H199" s="1549"/>
      <c r="I199" s="1407" t="s">
        <v>1250</v>
      </c>
      <c r="J199" s="140"/>
      <c r="K199" s="119"/>
    </row>
    <row r="200" spans="1:17" s="115" customFormat="1" ht="38.25" x14ac:dyDescent="0.2">
      <c r="A200" s="1551"/>
      <c r="B200" s="1552"/>
      <c r="C200" s="1498"/>
      <c r="D200" s="1468"/>
      <c r="E200" s="1262"/>
      <c r="F200" s="1262"/>
      <c r="G200" s="1262"/>
      <c r="H200" s="1549"/>
      <c r="I200" s="1407" t="s">
        <v>408</v>
      </c>
      <c r="J200" s="140"/>
      <c r="K200" s="119"/>
    </row>
    <row r="201" spans="1:17" s="115" customFormat="1" ht="38.25" x14ac:dyDescent="0.2">
      <c r="A201" s="1551"/>
      <c r="B201" s="1552"/>
      <c r="C201" s="1498"/>
      <c r="D201" s="1468"/>
      <c r="E201" s="1262"/>
      <c r="F201" s="1262"/>
      <c r="G201" s="1262"/>
      <c r="H201" s="1549"/>
      <c r="I201" s="1407" t="s">
        <v>409</v>
      </c>
      <c r="J201" s="140"/>
      <c r="K201" s="119"/>
    </row>
    <row r="202" spans="1:17" s="115" customFormat="1" ht="38.25" x14ac:dyDescent="0.2">
      <c r="A202" s="1551"/>
      <c r="B202" s="1552"/>
      <c r="C202" s="1498"/>
      <c r="D202" s="1468"/>
      <c r="E202" s="1262"/>
      <c r="F202" s="1262"/>
      <c r="G202" s="1262"/>
      <c r="H202" s="1549"/>
      <c r="I202" s="1404" t="s">
        <v>410</v>
      </c>
      <c r="J202" s="140"/>
      <c r="K202" s="119"/>
    </row>
    <row r="203" spans="1:17" s="38" customFormat="1" ht="25.5" x14ac:dyDescent="0.2">
      <c r="A203" s="1551"/>
      <c r="B203" s="1552"/>
      <c r="C203" s="1498"/>
      <c r="D203" s="1469"/>
      <c r="E203" s="1262"/>
      <c r="F203" s="1262"/>
      <c r="G203" s="1262"/>
      <c r="H203" s="1549"/>
      <c r="I203" s="1404" t="s">
        <v>537</v>
      </c>
      <c r="J203" s="132"/>
      <c r="K203" s="37"/>
    </row>
    <row r="204" spans="1:17" s="3" customFormat="1" ht="38.25" x14ac:dyDescent="0.2">
      <c r="A204" s="1551"/>
      <c r="B204" s="1553"/>
      <c r="C204" s="412"/>
      <c r="D204" s="1554"/>
      <c r="E204" s="1262"/>
      <c r="F204" s="1262"/>
      <c r="G204" s="1262"/>
      <c r="H204" s="1549"/>
      <c r="I204" s="1404" t="s">
        <v>1222</v>
      </c>
      <c r="J204" s="139"/>
      <c r="K204" s="80"/>
      <c r="L204" s="110"/>
      <c r="M204" s="110"/>
      <c r="N204" s="110"/>
      <c r="O204" s="110"/>
      <c r="P204" s="110"/>
      <c r="Q204" s="110"/>
    </row>
    <row r="205" spans="1:17" s="3" customFormat="1" ht="38.25" x14ac:dyDescent="0.2">
      <c r="A205" s="1551"/>
      <c r="B205" s="1553"/>
      <c r="C205" s="1496"/>
      <c r="D205" s="1554"/>
      <c r="E205" s="1262"/>
      <c r="F205" s="1262"/>
      <c r="G205" s="1262"/>
      <c r="H205" s="1549"/>
      <c r="I205" s="1407" t="s">
        <v>411</v>
      </c>
      <c r="J205" s="139"/>
      <c r="K205" s="80"/>
      <c r="L205" s="110"/>
      <c r="M205" s="110"/>
      <c r="N205" s="110"/>
      <c r="O205" s="110"/>
      <c r="P205" s="110"/>
      <c r="Q205" s="110"/>
    </row>
    <row r="206" spans="1:17" s="3" customFormat="1" ht="38.25" x14ac:dyDescent="0.2">
      <c r="A206" s="1551"/>
      <c r="B206" s="1466"/>
      <c r="C206" s="1498"/>
      <c r="D206" s="1554"/>
      <c r="E206" s="1262"/>
      <c r="F206" s="1262"/>
      <c r="G206" s="1262"/>
      <c r="H206" s="1549"/>
      <c r="I206" s="1407" t="s">
        <v>294</v>
      </c>
      <c r="J206" s="139"/>
      <c r="K206" s="80"/>
      <c r="L206" s="110"/>
      <c r="M206" s="110"/>
      <c r="N206" s="110"/>
      <c r="O206" s="110"/>
      <c r="P206" s="110"/>
      <c r="Q206" s="110"/>
    </row>
    <row r="207" spans="1:17" s="3" customFormat="1" ht="38.25" x14ac:dyDescent="0.2">
      <c r="A207" s="1551"/>
      <c r="B207" s="1466"/>
      <c r="C207" s="1498"/>
      <c r="D207" s="1554"/>
      <c r="E207" s="1262"/>
      <c r="F207" s="1262"/>
      <c r="G207" s="1262"/>
      <c r="H207" s="1549"/>
      <c r="I207" s="1407" t="s">
        <v>326</v>
      </c>
      <c r="J207" s="441"/>
      <c r="K207" s="80"/>
      <c r="L207" s="110"/>
      <c r="M207" s="110"/>
      <c r="N207" s="110"/>
      <c r="O207" s="110"/>
      <c r="P207" s="110"/>
      <c r="Q207" s="110"/>
    </row>
    <row r="208" spans="1:17" s="3" customFormat="1" ht="38.25" x14ac:dyDescent="0.2">
      <c r="A208" s="1551"/>
      <c r="B208" s="1552"/>
      <c r="C208" s="1498"/>
      <c r="D208" s="1468"/>
      <c r="E208" s="1262"/>
      <c r="F208" s="1262"/>
      <c r="G208" s="1262"/>
      <c r="H208" s="1549"/>
      <c r="I208" s="1407" t="s">
        <v>1911</v>
      </c>
      <c r="J208" s="139"/>
      <c r="K208" s="80"/>
      <c r="L208" s="110"/>
      <c r="M208" s="110"/>
      <c r="N208" s="110"/>
      <c r="O208" s="110"/>
      <c r="P208" s="110"/>
      <c r="Q208" s="110"/>
    </row>
    <row r="209" spans="1:17" s="3" customFormat="1" ht="38.25" x14ac:dyDescent="0.2">
      <c r="A209" s="1551"/>
      <c r="B209" s="1552"/>
      <c r="C209" s="1498"/>
      <c r="D209" s="1468"/>
      <c r="E209" s="1262"/>
      <c r="F209" s="1262"/>
      <c r="G209" s="1262"/>
      <c r="H209" s="1549"/>
      <c r="I209" s="1407" t="s">
        <v>412</v>
      </c>
      <c r="J209" s="139"/>
      <c r="K209" s="80"/>
      <c r="L209" s="110"/>
      <c r="M209" s="110"/>
      <c r="N209" s="110"/>
      <c r="O209" s="110"/>
      <c r="P209" s="110"/>
      <c r="Q209" s="110"/>
    </row>
    <row r="210" spans="1:17" s="3" customFormat="1" ht="38.25" x14ac:dyDescent="0.2">
      <c r="A210" s="1551"/>
      <c r="B210" s="1552"/>
      <c r="C210" s="1498"/>
      <c r="D210" s="1468"/>
      <c r="E210" s="1262"/>
      <c r="F210" s="1262"/>
      <c r="G210" s="1262"/>
      <c r="H210" s="1549"/>
      <c r="I210" s="1407" t="s">
        <v>1220</v>
      </c>
      <c r="J210" s="139"/>
      <c r="K210" s="80"/>
      <c r="L210" s="110"/>
      <c r="M210" s="110"/>
      <c r="N210" s="110"/>
      <c r="O210" s="110"/>
      <c r="P210" s="110"/>
      <c r="Q210" s="110"/>
    </row>
    <row r="211" spans="1:17" s="3" customFormat="1" ht="38.25" x14ac:dyDescent="0.2">
      <c r="A211" s="1551"/>
      <c r="B211" s="1552"/>
      <c r="C211" s="1498"/>
      <c r="D211" s="1468"/>
      <c r="E211" s="1262"/>
      <c r="F211" s="1262"/>
      <c r="G211" s="1262"/>
      <c r="H211" s="1549"/>
      <c r="I211" s="1407" t="s">
        <v>1221</v>
      </c>
      <c r="J211" s="139"/>
      <c r="K211" s="80"/>
      <c r="L211" s="110"/>
      <c r="M211" s="110"/>
      <c r="N211" s="110"/>
      <c r="O211" s="110"/>
      <c r="P211" s="110"/>
      <c r="Q211" s="110"/>
    </row>
    <row r="212" spans="1:17" s="3" customFormat="1" ht="38.25" x14ac:dyDescent="0.2">
      <c r="A212" s="1551"/>
      <c r="B212" s="1552"/>
      <c r="C212" s="1498"/>
      <c r="D212" s="1469"/>
      <c r="E212" s="1262"/>
      <c r="F212" s="1262"/>
      <c r="G212" s="1262"/>
      <c r="H212" s="1549"/>
      <c r="I212" s="1407" t="s">
        <v>413</v>
      </c>
      <c r="J212" s="139"/>
      <c r="K212" s="80"/>
      <c r="L212" s="110"/>
      <c r="M212" s="110"/>
      <c r="N212" s="110"/>
      <c r="O212" s="110"/>
      <c r="P212" s="110"/>
      <c r="Q212" s="110"/>
    </row>
    <row r="213" spans="1:17" s="3" customFormat="1" ht="51" x14ac:dyDescent="0.2">
      <c r="A213" s="593"/>
      <c r="B213" s="593"/>
      <c r="C213" s="593"/>
      <c r="D213" s="593"/>
      <c r="E213" s="593"/>
      <c r="F213" s="593"/>
      <c r="G213" s="593"/>
      <c r="H213" s="599"/>
      <c r="I213" s="1407" t="s">
        <v>414</v>
      </c>
      <c r="J213" s="441"/>
      <c r="K213" s="80"/>
      <c r="L213" s="110"/>
      <c r="M213" s="110"/>
      <c r="N213" s="110"/>
      <c r="O213" s="110"/>
      <c r="P213" s="110"/>
      <c r="Q213" s="110"/>
    </row>
    <row r="214" spans="1:17" s="3" customFormat="1" ht="25.5" x14ac:dyDescent="0.2">
      <c r="A214" s="593"/>
      <c r="B214" s="593"/>
      <c r="C214" s="593"/>
      <c r="D214" s="593"/>
      <c r="E214" s="593"/>
      <c r="F214" s="593"/>
      <c r="G214" s="593"/>
      <c r="H214" s="599"/>
      <c r="I214" s="1407" t="s">
        <v>415</v>
      </c>
      <c r="J214" s="441"/>
      <c r="K214" s="80"/>
      <c r="L214" s="110"/>
      <c r="M214" s="110"/>
      <c r="N214" s="110"/>
      <c r="O214" s="110"/>
      <c r="P214" s="110"/>
      <c r="Q214" s="110"/>
    </row>
    <row r="215" spans="1:17" s="3" customFormat="1" ht="38.25" x14ac:dyDescent="0.2">
      <c r="A215" s="593"/>
      <c r="B215" s="593"/>
      <c r="C215" s="593"/>
      <c r="D215" s="593"/>
      <c r="E215" s="593"/>
      <c r="F215" s="593"/>
      <c r="G215" s="593"/>
      <c r="H215" s="599"/>
      <c r="I215" s="1407" t="s">
        <v>1912</v>
      </c>
      <c r="J215" s="139"/>
      <c r="K215" s="80"/>
      <c r="L215" s="110"/>
      <c r="M215" s="110"/>
      <c r="N215" s="110"/>
      <c r="O215" s="110"/>
      <c r="P215" s="110"/>
      <c r="Q215" s="110"/>
    </row>
    <row r="216" spans="1:17" s="31" customFormat="1" ht="51" x14ac:dyDescent="0.2">
      <c r="A216" s="593"/>
      <c r="B216" s="593"/>
      <c r="C216" s="593"/>
      <c r="D216" s="593"/>
      <c r="E216" s="593"/>
      <c r="F216" s="593"/>
      <c r="G216" s="593"/>
      <c r="H216" s="599"/>
      <c r="I216" s="821" t="s">
        <v>1913</v>
      </c>
      <c r="J216" s="141"/>
      <c r="K216" s="32"/>
    </row>
    <row r="217" spans="1:17" ht="38.25" x14ac:dyDescent="0.2">
      <c r="A217" s="593"/>
      <c r="B217" s="593"/>
      <c r="C217" s="593"/>
      <c r="D217" s="593"/>
      <c r="E217" s="593"/>
      <c r="F217" s="593"/>
      <c r="G217" s="593"/>
      <c r="H217" s="599"/>
      <c r="I217" s="1407" t="s">
        <v>1207</v>
      </c>
      <c r="J217" s="154"/>
      <c r="K217" s="155"/>
    </row>
    <row r="218" spans="1:17" ht="38.25" x14ac:dyDescent="0.2">
      <c r="A218" s="593"/>
      <c r="B218" s="593"/>
      <c r="C218" s="593"/>
      <c r="D218" s="593"/>
      <c r="E218" s="593"/>
      <c r="F218" s="593"/>
      <c r="G218" s="593"/>
      <c r="H218" s="599"/>
      <c r="I218" s="1407" t="s">
        <v>416</v>
      </c>
      <c r="J218" s="154"/>
      <c r="K218" s="155"/>
    </row>
    <row r="219" spans="1:17" ht="25.5" x14ac:dyDescent="0.2">
      <c r="A219" s="593"/>
      <c r="B219" s="593"/>
      <c r="C219" s="593"/>
      <c r="D219" s="593"/>
      <c r="E219" s="593"/>
      <c r="F219" s="593"/>
      <c r="G219" s="593"/>
      <c r="H219" s="599"/>
      <c r="I219" s="1407" t="s">
        <v>1219</v>
      </c>
      <c r="J219" s="154"/>
      <c r="K219" s="155"/>
    </row>
    <row r="220" spans="1:17" ht="38.25" x14ac:dyDescent="0.2">
      <c r="A220" s="593"/>
      <c r="B220" s="593"/>
      <c r="C220" s="593"/>
      <c r="D220" s="593"/>
      <c r="E220" s="593"/>
      <c r="F220" s="593"/>
      <c r="G220" s="593"/>
      <c r="H220" s="599"/>
      <c r="I220" s="1404" t="s">
        <v>417</v>
      </c>
      <c r="J220" s="154"/>
      <c r="K220" s="155"/>
    </row>
    <row r="221" spans="1:17" ht="38.25" x14ac:dyDescent="0.2">
      <c r="A221" s="593"/>
      <c r="B221" s="593"/>
      <c r="C221" s="593"/>
      <c r="D221" s="593"/>
      <c r="E221" s="593"/>
      <c r="F221" s="593"/>
      <c r="G221" s="593"/>
      <c r="H221" s="599"/>
      <c r="I221" s="1407" t="s">
        <v>418</v>
      </c>
      <c r="J221" s="154"/>
      <c r="K221" s="155"/>
    </row>
    <row r="222" spans="1:17" ht="38.25" x14ac:dyDescent="0.2">
      <c r="A222" s="593"/>
      <c r="B222" s="593"/>
      <c r="C222" s="593"/>
      <c r="D222" s="593"/>
      <c r="E222" s="593"/>
      <c r="F222" s="593"/>
      <c r="G222" s="593"/>
      <c r="H222" s="599"/>
      <c r="I222" s="1407" t="s">
        <v>483</v>
      </c>
      <c r="J222" s="154"/>
      <c r="K222" s="155"/>
    </row>
    <row r="223" spans="1:17" ht="38.25" x14ac:dyDescent="0.2">
      <c r="A223" s="593"/>
      <c r="B223" s="593"/>
      <c r="C223" s="593"/>
      <c r="D223" s="593"/>
      <c r="E223" s="593"/>
      <c r="F223" s="593"/>
      <c r="G223" s="593"/>
      <c r="H223" s="599"/>
      <c r="I223" s="1407" t="s">
        <v>419</v>
      </c>
      <c r="J223" s="154"/>
      <c r="K223" s="155"/>
    </row>
    <row r="224" spans="1:17" ht="38.25" x14ac:dyDescent="0.2">
      <c r="A224" s="593"/>
      <c r="B224" s="593"/>
      <c r="C224" s="593"/>
      <c r="D224" s="593"/>
      <c r="E224" s="593"/>
      <c r="F224" s="593"/>
      <c r="G224" s="593"/>
      <c r="H224" s="599"/>
      <c r="I224" s="1407" t="s">
        <v>1914</v>
      </c>
      <c r="J224" s="154"/>
      <c r="K224" s="155"/>
    </row>
    <row r="225" spans="1:11" ht="25.5" x14ac:dyDescent="0.2">
      <c r="A225" s="593"/>
      <c r="B225" s="593"/>
      <c r="C225" s="593"/>
      <c r="D225" s="593"/>
      <c r="E225" s="593"/>
      <c r="F225" s="593"/>
      <c r="G225" s="593"/>
      <c r="H225" s="599"/>
      <c r="I225" s="1407" t="s">
        <v>420</v>
      </c>
      <c r="J225" s="154"/>
      <c r="K225" s="155"/>
    </row>
    <row r="226" spans="1:11" ht="38.25" x14ac:dyDescent="0.2">
      <c r="A226" s="593"/>
      <c r="B226" s="593"/>
      <c r="C226" s="593"/>
      <c r="D226" s="593"/>
      <c r="E226" s="593"/>
      <c r="F226" s="593"/>
      <c r="G226" s="593"/>
      <c r="H226" s="599"/>
      <c r="I226" s="1407" t="s">
        <v>1915</v>
      </c>
      <c r="J226" s="154"/>
      <c r="K226" s="155"/>
    </row>
    <row r="227" spans="1:11" ht="25.5" x14ac:dyDescent="0.2">
      <c r="A227" s="593"/>
      <c r="B227" s="593"/>
      <c r="C227" s="593"/>
      <c r="D227" s="593"/>
      <c r="E227" s="593"/>
      <c r="F227" s="593"/>
      <c r="G227" s="593"/>
      <c r="H227" s="599"/>
      <c r="I227" s="1404" t="s">
        <v>421</v>
      </c>
      <c r="J227" s="154"/>
      <c r="K227" s="155"/>
    </row>
    <row r="228" spans="1:11" ht="38.25" x14ac:dyDescent="0.2">
      <c r="A228" s="593"/>
      <c r="B228" s="593"/>
      <c r="C228" s="593"/>
      <c r="D228" s="593"/>
      <c r="E228" s="593"/>
      <c r="F228" s="593"/>
      <c r="G228" s="593"/>
      <c r="H228" s="599"/>
      <c r="I228" s="1404" t="s">
        <v>422</v>
      </c>
      <c r="J228" s="154"/>
      <c r="K228" s="155"/>
    </row>
    <row r="229" spans="1:11" ht="38.25" x14ac:dyDescent="0.2">
      <c r="A229" s="593"/>
      <c r="B229" s="593"/>
      <c r="C229" s="593"/>
      <c r="D229" s="593"/>
      <c r="E229" s="593"/>
      <c r="F229" s="593"/>
      <c r="G229" s="593"/>
      <c r="H229" s="599"/>
      <c r="I229" s="1404" t="s">
        <v>1916</v>
      </c>
      <c r="J229" s="154"/>
      <c r="K229" s="155"/>
    </row>
    <row r="230" spans="1:11" ht="51" x14ac:dyDescent="0.2">
      <c r="A230" s="593"/>
      <c r="B230" s="593"/>
      <c r="C230" s="593"/>
      <c r="D230" s="593"/>
      <c r="E230" s="593"/>
      <c r="F230" s="593"/>
      <c r="G230" s="593"/>
      <c r="H230" s="599"/>
      <c r="I230" s="1404" t="s">
        <v>381</v>
      </c>
    </row>
    <row r="231" spans="1:11" ht="38.25" x14ac:dyDescent="0.2">
      <c r="A231" s="593"/>
      <c r="B231" s="593"/>
      <c r="C231" s="593"/>
      <c r="D231" s="593"/>
      <c r="E231" s="593"/>
      <c r="F231" s="593"/>
      <c r="G231" s="593"/>
      <c r="H231" s="599"/>
      <c r="I231" s="1404" t="s">
        <v>1917</v>
      </c>
    </row>
    <row r="232" spans="1:11" ht="38.25" x14ac:dyDescent="0.2">
      <c r="A232" s="593"/>
      <c r="B232" s="593"/>
      <c r="C232" s="593"/>
      <c r="D232" s="593"/>
      <c r="E232" s="593"/>
      <c r="F232" s="593"/>
      <c r="G232" s="593"/>
      <c r="H232" s="599"/>
      <c r="I232" s="1404" t="s">
        <v>1918</v>
      </c>
      <c r="J232" s="580"/>
    </row>
    <row r="233" spans="1:11" ht="25.5" x14ac:dyDescent="0.2">
      <c r="A233" s="593"/>
      <c r="B233" s="593"/>
      <c r="C233" s="593"/>
      <c r="D233" s="593"/>
      <c r="E233" s="593"/>
      <c r="F233" s="593"/>
      <c r="G233" s="593"/>
      <c r="H233" s="599"/>
      <c r="I233" s="1404" t="s">
        <v>423</v>
      </c>
    </row>
    <row r="234" spans="1:11" ht="25.5" x14ac:dyDescent="0.2">
      <c r="A234" s="593"/>
      <c r="B234" s="593"/>
      <c r="C234" s="593"/>
      <c r="D234" s="593"/>
      <c r="E234" s="593"/>
      <c r="F234" s="593"/>
      <c r="G234" s="593"/>
      <c r="H234" s="599"/>
      <c r="I234" s="1407" t="s">
        <v>424</v>
      </c>
    </row>
    <row r="235" spans="1:11" ht="38.25" x14ac:dyDescent="0.2">
      <c r="A235" s="593"/>
      <c r="B235" s="593"/>
      <c r="C235" s="593"/>
      <c r="D235" s="593"/>
      <c r="E235" s="593"/>
      <c r="F235" s="593"/>
      <c r="G235" s="593"/>
      <c r="H235" s="599"/>
      <c r="I235" s="1431" t="s">
        <v>1262</v>
      </c>
    </row>
    <row r="236" spans="1:11" ht="38.25" x14ac:dyDescent="0.2">
      <c r="A236" s="593"/>
      <c r="B236" s="593"/>
      <c r="C236" s="593"/>
      <c r="D236" s="593"/>
      <c r="E236" s="593"/>
      <c r="F236" s="593"/>
      <c r="G236" s="593"/>
      <c r="H236" s="599"/>
      <c r="I236" s="1404" t="s">
        <v>1919</v>
      </c>
    </row>
    <row r="237" spans="1:11" ht="38.25" x14ac:dyDescent="0.2">
      <c r="A237" s="593"/>
      <c r="B237" s="593"/>
      <c r="C237" s="593"/>
      <c r="D237" s="593"/>
      <c r="E237" s="593"/>
      <c r="F237" s="593"/>
      <c r="G237" s="593"/>
      <c r="H237" s="599"/>
      <c r="I237" s="1431" t="s">
        <v>1920</v>
      </c>
    </row>
    <row r="238" spans="1:11" ht="25.5" x14ac:dyDescent="0.2">
      <c r="A238" s="593"/>
      <c r="B238" s="593"/>
      <c r="C238" s="593"/>
      <c r="D238" s="593"/>
      <c r="E238" s="593"/>
      <c r="F238" s="593"/>
      <c r="G238" s="593"/>
      <c r="H238" s="599"/>
      <c r="I238" s="1404" t="s">
        <v>425</v>
      </c>
      <c r="J238" s="33"/>
    </row>
    <row r="239" spans="1:11" ht="38.25" x14ac:dyDescent="0.2">
      <c r="A239" s="593"/>
      <c r="B239" s="593"/>
      <c r="C239" s="593"/>
      <c r="D239" s="593"/>
      <c r="E239" s="593"/>
      <c r="F239" s="593"/>
      <c r="G239" s="593"/>
      <c r="H239" s="599"/>
      <c r="I239" s="1404" t="s">
        <v>1921</v>
      </c>
      <c r="J239" s="33"/>
    </row>
    <row r="240" spans="1:11" ht="38.25" x14ac:dyDescent="0.2">
      <c r="A240" s="593"/>
      <c r="B240" s="593"/>
      <c r="C240" s="593"/>
      <c r="D240" s="593"/>
      <c r="E240" s="593"/>
      <c r="F240" s="593"/>
      <c r="G240" s="593"/>
      <c r="H240" s="599"/>
      <c r="I240" s="1404" t="s">
        <v>426</v>
      </c>
      <c r="J240" s="33"/>
    </row>
    <row r="241" spans="1:10" ht="51" x14ac:dyDescent="0.2">
      <c r="A241" s="593"/>
      <c r="B241" s="593"/>
      <c r="C241" s="593"/>
      <c r="D241" s="593"/>
      <c r="E241" s="593"/>
      <c r="F241" s="593"/>
      <c r="G241" s="593"/>
      <c r="H241" s="599"/>
      <c r="I241" s="1404" t="s">
        <v>1922</v>
      </c>
      <c r="J241" s="33"/>
    </row>
    <row r="242" spans="1:10" ht="51" x14ac:dyDescent="0.2">
      <c r="A242" s="593"/>
      <c r="B242" s="593"/>
      <c r="C242" s="593"/>
      <c r="D242" s="593"/>
      <c r="E242" s="593"/>
      <c r="F242" s="593"/>
      <c r="G242" s="593"/>
      <c r="H242" s="599"/>
      <c r="I242" s="1404" t="s">
        <v>1923</v>
      </c>
      <c r="J242" s="33"/>
    </row>
    <row r="243" spans="1:10" ht="38.25" x14ac:dyDescent="0.2">
      <c r="A243" s="593"/>
      <c r="B243" s="593"/>
      <c r="C243" s="593"/>
      <c r="D243" s="593"/>
      <c r="E243" s="593"/>
      <c r="F243" s="593"/>
      <c r="G243" s="593"/>
      <c r="H243" s="599"/>
      <c r="I243" s="1407" t="s">
        <v>427</v>
      </c>
      <c r="J243" s="33"/>
    </row>
    <row r="244" spans="1:10" ht="39" customHeight="1" x14ac:dyDescent="0.2">
      <c r="A244" s="593"/>
      <c r="B244" s="593"/>
      <c r="C244" s="593"/>
      <c r="D244" s="593"/>
      <c r="E244" s="593"/>
      <c r="F244" s="593"/>
      <c r="G244" s="593"/>
      <c r="H244" s="593"/>
      <c r="I244" s="1404" t="s">
        <v>1878</v>
      </c>
      <c r="J244" s="33"/>
    </row>
    <row r="245" spans="1:10" ht="38.25" x14ac:dyDescent="0.2">
      <c r="A245" s="593"/>
      <c r="B245" s="593"/>
      <c r="C245" s="593"/>
      <c r="D245" s="593"/>
      <c r="E245" s="593"/>
      <c r="F245" s="593"/>
      <c r="G245" s="593"/>
      <c r="H245" s="593"/>
      <c r="I245" s="1404" t="s">
        <v>1924</v>
      </c>
      <c r="J245" s="33"/>
    </row>
    <row r="246" spans="1:10" ht="51" x14ac:dyDescent="0.2">
      <c r="A246" s="593"/>
      <c r="B246" s="593"/>
      <c r="C246" s="593"/>
      <c r="D246" s="593"/>
      <c r="E246" s="593"/>
      <c r="F246" s="593"/>
      <c r="G246" s="593"/>
      <c r="H246" s="593"/>
      <c r="I246" s="796" t="s">
        <v>1925</v>
      </c>
      <c r="J246" s="33"/>
    </row>
    <row r="247" spans="1:10" ht="38.25" x14ac:dyDescent="0.2">
      <c r="A247" s="593"/>
      <c r="B247" s="593"/>
      <c r="C247" s="593"/>
      <c r="D247" s="593"/>
      <c r="E247" s="593"/>
      <c r="F247" s="593"/>
      <c r="G247" s="593"/>
      <c r="H247" s="593"/>
      <c r="I247" s="1404" t="s">
        <v>1926</v>
      </c>
      <c r="J247" s="33"/>
    </row>
    <row r="248" spans="1:10" ht="51" x14ac:dyDescent="0.2">
      <c r="A248" s="593"/>
      <c r="B248" s="593"/>
      <c r="C248" s="593"/>
      <c r="D248" s="593"/>
      <c r="E248" s="593"/>
      <c r="F248" s="593"/>
      <c r="G248" s="593"/>
      <c r="H248" s="593"/>
      <c r="I248" s="796" t="s">
        <v>1927</v>
      </c>
      <c r="J248" s="33"/>
    </row>
    <row r="249" spans="1:10" ht="30.75" customHeight="1" x14ac:dyDescent="0.2">
      <c r="I249" s="1404" t="s">
        <v>1928</v>
      </c>
      <c r="J249" s="33"/>
    </row>
    <row r="250" spans="1:10" ht="25.5" x14ac:dyDescent="0.2">
      <c r="I250" s="1407" t="s">
        <v>428</v>
      </c>
      <c r="J250" s="33"/>
    </row>
    <row r="251" spans="1:10" ht="21" customHeight="1" x14ac:dyDescent="0.2">
      <c r="I251" s="1407" t="s">
        <v>1929</v>
      </c>
      <c r="J251" s="33"/>
    </row>
    <row r="252" spans="1:10" ht="51" x14ac:dyDescent="0.2">
      <c r="I252" s="821" t="s">
        <v>1930</v>
      </c>
      <c r="J252" s="33"/>
    </row>
    <row r="253" spans="1:10" ht="38.25" x14ac:dyDescent="0.2">
      <c r="I253" s="1404" t="s">
        <v>395</v>
      </c>
      <c r="J253" s="33"/>
    </row>
    <row r="254" spans="1:10" ht="38.25" x14ac:dyDescent="0.2">
      <c r="A254" s="2"/>
      <c r="B254" s="2"/>
      <c r="I254" s="1407" t="s">
        <v>360</v>
      </c>
      <c r="J254" s="33"/>
    </row>
    <row r="255" spans="1:10" ht="51" x14ac:dyDescent="0.2">
      <c r="A255" s="2"/>
      <c r="B255" s="2"/>
      <c r="I255" s="1407" t="s">
        <v>1931</v>
      </c>
      <c r="J255" s="33"/>
    </row>
    <row r="256" spans="1:10" ht="25.5" x14ac:dyDescent="0.2">
      <c r="A256" s="2"/>
      <c r="B256" s="2"/>
      <c r="I256" s="1407" t="s">
        <v>1932</v>
      </c>
      <c r="J256" s="33"/>
    </row>
    <row r="257" spans="1:10" ht="38.25" x14ac:dyDescent="0.2">
      <c r="A257" s="2"/>
      <c r="B257" s="2"/>
      <c r="I257" s="1404" t="s">
        <v>1208</v>
      </c>
      <c r="J257" s="33"/>
    </row>
    <row r="258" spans="1:10" ht="51" x14ac:dyDescent="0.2">
      <c r="A258" s="2"/>
      <c r="B258" s="2"/>
      <c r="I258" s="1404" t="s">
        <v>1933</v>
      </c>
      <c r="J258" s="33"/>
    </row>
    <row r="259" spans="1:10" ht="38.25" x14ac:dyDescent="0.2">
      <c r="A259" s="2"/>
      <c r="B259" s="2"/>
      <c r="I259" s="1407" t="s">
        <v>1934</v>
      </c>
      <c r="J259" s="33"/>
    </row>
    <row r="260" spans="1:10" ht="38.25" x14ac:dyDescent="0.2">
      <c r="A260" s="2"/>
      <c r="B260" s="2"/>
      <c r="I260" s="1407" t="s">
        <v>1805</v>
      </c>
      <c r="J260" s="33"/>
    </row>
    <row r="261" spans="1:10" ht="40.5" customHeight="1" x14ac:dyDescent="0.2">
      <c r="A261" s="2"/>
      <c r="B261" s="2"/>
      <c r="I261" s="1407" t="s">
        <v>1935</v>
      </c>
      <c r="J261" s="33"/>
    </row>
    <row r="262" spans="1:10" ht="51" x14ac:dyDescent="0.2">
      <c r="A262" s="2"/>
      <c r="B262" s="2"/>
      <c r="I262" s="821" t="s">
        <v>1936</v>
      </c>
      <c r="J262" s="33"/>
    </row>
    <row r="263" spans="1:10" ht="25.5" x14ac:dyDescent="0.2">
      <c r="A263" s="2"/>
      <c r="B263" s="2"/>
      <c r="I263" s="1407" t="s">
        <v>429</v>
      </c>
      <c r="J263" s="33"/>
    </row>
    <row r="264" spans="1:10" ht="26.25" thickBot="1" x14ac:dyDescent="0.25">
      <c r="A264" s="2"/>
      <c r="B264" s="2"/>
      <c r="I264" s="572" t="s">
        <v>548</v>
      </c>
      <c r="J264" s="33"/>
    </row>
    <row r="265" spans="1:10" x14ac:dyDescent="0.2">
      <c r="A265" s="2"/>
      <c r="B265" s="2"/>
      <c r="J265" s="33"/>
    </row>
    <row r="266" spans="1:10" x14ac:dyDescent="0.2">
      <c r="A266" s="2"/>
      <c r="B266" s="2"/>
      <c r="C266" s="1555"/>
      <c r="J266" s="33"/>
    </row>
    <row r="267" spans="1:10" x14ac:dyDescent="0.2">
      <c r="A267" s="2"/>
      <c r="B267" s="2"/>
      <c r="J267" s="33"/>
    </row>
    <row r="270" spans="1:10" ht="13.5" thickBot="1" x14ac:dyDescent="0.25"/>
    <row r="271" spans="1:10" ht="13.5" thickBot="1" x14ac:dyDescent="0.25">
      <c r="A271" s="1556"/>
    </row>
  </sheetData>
  <sheetProtection password="C4B9" sheet="1" objects="1" scenarios="1"/>
  <sortState ref="A3:CS25">
    <sortCondition ref="H3:H25"/>
  </sortState>
  <customSheetViews>
    <customSheetView guid="{B8E02330-2419-4DE6-AD01-7ACC7A5D18DD}" scale="73">
      <pageMargins left="0.75" right="0.75" top="1" bottom="1" header="0.5" footer="0.5"/>
      <pageSetup orientation="portrait" r:id="rId1"/>
      <headerFooter alignWithMargins="0"/>
    </customSheetView>
  </customSheetViews>
  <mergeCells count="118">
    <mergeCell ref="I166:I170"/>
    <mergeCell ref="I159:I165"/>
    <mergeCell ref="I152:I158"/>
    <mergeCell ref="I148:I150"/>
    <mergeCell ref="I142:I147"/>
    <mergeCell ref="I91:I95"/>
    <mergeCell ref="H148:H150"/>
    <mergeCell ref="H152:H158"/>
    <mergeCell ref="H159:H165"/>
    <mergeCell ref="H166:H170"/>
    <mergeCell ref="H142:H147"/>
    <mergeCell ref="H91:H95"/>
    <mergeCell ref="I138:I141"/>
    <mergeCell ref="I133:I136"/>
    <mergeCell ref="I129:I132"/>
    <mergeCell ref="I122:I128"/>
    <mergeCell ref="I115:I121"/>
    <mergeCell ref="I109:I114"/>
    <mergeCell ref="B21:B27"/>
    <mergeCell ref="A21:A27"/>
    <mergeCell ref="H47:H49"/>
    <mergeCell ref="H50:H55"/>
    <mergeCell ref="A82:A84"/>
    <mergeCell ref="A50:A55"/>
    <mergeCell ref="B28:B36"/>
    <mergeCell ref="A77:A81"/>
    <mergeCell ref="B50:B55"/>
    <mergeCell ref="B56:B59"/>
    <mergeCell ref="B64:B70"/>
    <mergeCell ref="B60:B63"/>
    <mergeCell ref="B47:B49"/>
    <mergeCell ref="A47:A49"/>
    <mergeCell ref="B77:B81"/>
    <mergeCell ref="B71:B76"/>
    <mergeCell ref="H82:H84"/>
    <mergeCell ref="A56:A59"/>
    <mergeCell ref="A1:B1"/>
    <mergeCell ref="B103:B108"/>
    <mergeCell ref="B109:B114"/>
    <mergeCell ref="B15:B20"/>
    <mergeCell ref="B96:B102"/>
    <mergeCell ref="A15:A20"/>
    <mergeCell ref="B37:B43"/>
    <mergeCell ref="A37:A43"/>
    <mergeCell ref="H15:H20"/>
    <mergeCell ref="E1:I1"/>
    <mergeCell ref="I15:I20"/>
    <mergeCell ref="H21:H27"/>
    <mergeCell ref="H37:H43"/>
    <mergeCell ref="H60:H63"/>
    <mergeCell ref="I85:I90"/>
    <mergeCell ref="I82:I84"/>
    <mergeCell ref="I64:I70"/>
    <mergeCell ref="I21:I27"/>
    <mergeCell ref="I103:I108"/>
    <mergeCell ref="I96:I102"/>
    <mergeCell ref="I47:I49"/>
    <mergeCell ref="I56:I59"/>
    <mergeCell ref="I37:I43"/>
    <mergeCell ref="H71:H76"/>
    <mergeCell ref="B159:B165"/>
    <mergeCell ref="I77:I81"/>
    <mergeCell ref="I71:I76"/>
    <mergeCell ref="A115:A121"/>
    <mergeCell ref="A96:A102"/>
    <mergeCell ref="A148:A150"/>
    <mergeCell ref="A142:A147"/>
    <mergeCell ref="H115:H121"/>
    <mergeCell ref="H77:H81"/>
    <mergeCell ref="B133:B136"/>
    <mergeCell ref="H122:H128"/>
    <mergeCell ref="H109:H114"/>
    <mergeCell ref="H103:H108"/>
    <mergeCell ref="H96:H102"/>
    <mergeCell ref="B91:B95"/>
    <mergeCell ref="B82:B84"/>
    <mergeCell ref="B85:B90"/>
    <mergeCell ref="B129:B132"/>
    <mergeCell ref="A129:A132"/>
    <mergeCell ref="I60:I63"/>
    <mergeCell ref="I50:I55"/>
    <mergeCell ref="A152:A158"/>
    <mergeCell ref="A60:A63"/>
    <mergeCell ref="A64:A70"/>
    <mergeCell ref="H56:H59"/>
    <mergeCell ref="H64:H70"/>
    <mergeCell ref="H133:H136"/>
    <mergeCell ref="H138:H141"/>
    <mergeCell ref="A103:A108"/>
    <mergeCell ref="A109:A114"/>
    <mergeCell ref="B115:B121"/>
    <mergeCell ref="B138:B141"/>
    <mergeCell ref="A133:A136"/>
    <mergeCell ref="B122:B128"/>
    <mergeCell ref="A172:A173"/>
    <mergeCell ref="B172:B173"/>
    <mergeCell ref="H172:H173"/>
    <mergeCell ref="I172:I173"/>
    <mergeCell ref="I28:I36"/>
    <mergeCell ref="I44:I46"/>
    <mergeCell ref="B44:B46"/>
    <mergeCell ref="H28:H36"/>
    <mergeCell ref="H44:H46"/>
    <mergeCell ref="A44:A46"/>
    <mergeCell ref="H85:H90"/>
    <mergeCell ref="B166:B170"/>
    <mergeCell ref="B152:B158"/>
    <mergeCell ref="A166:A170"/>
    <mergeCell ref="A91:A95"/>
    <mergeCell ref="A85:A90"/>
    <mergeCell ref="A71:A76"/>
    <mergeCell ref="A159:A165"/>
    <mergeCell ref="B142:B147"/>
    <mergeCell ref="B148:B150"/>
    <mergeCell ref="A28:A36"/>
    <mergeCell ref="A138:A141"/>
    <mergeCell ref="A122:A128"/>
    <mergeCell ref="H129:H132"/>
  </mergeCells>
  <phoneticPr fontId="12" type="noConversion"/>
  <pageMargins left="0.75" right="0.75" top="1" bottom="1" header="0.5" footer="0.5"/>
  <pageSetup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4"/>
  <sheetViews>
    <sheetView zoomScaleNormal="100" workbookViewId="0">
      <selection activeCell="C1" sqref="C1"/>
    </sheetView>
  </sheetViews>
  <sheetFormatPr defaultColWidth="9.33203125" defaultRowHeight="12.75" x14ac:dyDescent="0.2"/>
  <cols>
    <col min="1" max="1" width="5.83203125" style="11" customWidth="1"/>
    <col min="2" max="2" width="18.83203125" style="11" customWidth="1"/>
    <col min="3" max="3" width="69.83203125" style="123" customWidth="1"/>
    <col min="4" max="6" width="6.83203125" style="249" customWidth="1"/>
    <col min="7" max="7" width="10.83203125" style="250" customWidth="1"/>
    <col min="8" max="8" width="12.83203125" style="19" customWidth="1"/>
    <col min="9" max="9" width="67.83203125" style="11" customWidth="1"/>
    <col min="10" max="10" width="9.33203125" style="578"/>
    <col min="11" max="16384" width="9.33203125" style="200"/>
  </cols>
  <sheetData>
    <row r="1" spans="1:11" ht="45" customHeight="1" thickBot="1" x14ac:dyDescent="0.25">
      <c r="A1" s="2033" t="s">
        <v>2174</v>
      </c>
      <c r="B1" s="2210"/>
      <c r="C1" s="60" t="s">
        <v>2006</v>
      </c>
      <c r="D1" s="497" t="s">
        <v>1766</v>
      </c>
      <c r="E1" s="2183"/>
      <c r="F1" s="2184"/>
      <c r="G1" s="2184"/>
      <c r="H1" s="2184"/>
      <c r="I1" s="2185"/>
    </row>
    <row r="2" spans="1:11" s="1014" customFormat="1" ht="50.25" thickBot="1" x14ac:dyDescent="0.25">
      <c r="A2" s="1008" t="s">
        <v>78</v>
      </c>
      <c r="B2" s="1009" t="s">
        <v>701</v>
      </c>
      <c r="C2" s="1010" t="s">
        <v>866</v>
      </c>
      <c r="D2" s="1008"/>
      <c r="E2" s="1011"/>
      <c r="F2" s="1012"/>
      <c r="G2" s="1013" t="s">
        <v>710</v>
      </c>
      <c r="H2" s="1009" t="s">
        <v>2028</v>
      </c>
      <c r="I2" s="1009" t="s">
        <v>255</v>
      </c>
    </row>
    <row r="3" spans="1:11" s="1325" customFormat="1" ht="45" customHeight="1" thickBot="1" x14ac:dyDescent="0.25">
      <c r="A3" s="1308" t="str">
        <f>OF!A24</f>
        <v>OF23</v>
      </c>
      <c r="B3" s="1308" t="str">
        <f>OF!C24</f>
        <v>% of AA that is Open Water (macro scale)</v>
      </c>
      <c r="C3" s="1351"/>
      <c r="D3" s="1259"/>
      <c r="E3" s="1260"/>
      <c r="F3" s="1260"/>
      <c r="G3" s="873" t="str">
        <f>IF((OWpct=""),"",OWpct)</f>
        <v/>
      </c>
      <c r="H3" s="1261" t="s">
        <v>787</v>
      </c>
      <c r="I3" s="1352" t="s">
        <v>2283</v>
      </c>
      <c r="J3" s="209"/>
      <c r="K3" s="1668"/>
    </row>
    <row r="4" spans="1:11" s="1325" customFormat="1" ht="30" customHeight="1" thickBot="1" x14ac:dyDescent="0.25">
      <c r="A4" s="864" t="str">
        <f>OF!A56</f>
        <v>OF55</v>
      </c>
      <c r="B4" s="864" t="str">
        <f>OF!C56</f>
        <v>Fire Barrier</v>
      </c>
      <c r="C4" s="1078" t="s">
        <v>2419</v>
      </c>
      <c r="D4" s="764"/>
      <c r="E4" s="765"/>
      <c r="F4" s="765"/>
      <c r="G4" s="873" t="str">
        <f>IF((FireBreak=""),"", FireBreak)</f>
        <v/>
      </c>
      <c r="H4" s="861" t="s">
        <v>2003</v>
      </c>
      <c r="I4" s="831" t="s">
        <v>2005</v>
      </c>
      <c r="J4" s="209"/>
      <c r="K4" s="1668"/>
    </row>
    <row r="5" spans="1:11" s="1007" customFormat="1" ht="49.5" customHeight="1" thickBot="1" x14ac:dyDescent="0.35">
      <c r="A5" s="1090" t="s">
        <v>78</v>
      </c>
      <c r="B5" s="1091" t="s">
        <v>709</v>
      </c>
      <c r="C5" s="1092" t="s">
        <v>708</v>
      </c>
      <c r="D5" s="1093" t="s">
        <v>33</v>
      </c>
      <c r="E5" s="1094" t="s">
        <v>1131</v>
      </c>
      <c r="F5" s="1095" t="s">
        <v>1130</v>
      </c>
      <c r="G5" s="1096" t="s">
        <v>710</v>
      </c>
      <c r="H5" s="1097" t="s">
        <v>2028</v>
      </c>
      <c r="I5" s="1098" t="s">
        <v>917</v>
      </c>
      <c r="J5" s="1006"/>
    </row>
    <row r="6" spans="1:11" s="1" customFormat="1" ht="30" customHeight="1" thickBot="1" x14ac:dyDescent="0.25">
      <c r="A6" s="2203" t="str">
        <f>F!A127</f>
        <v>F23</v>
      </c>
      <c r="B6" s="2197" t="str">
        <f>F!B127</f>
        <v>% with Persistent Surface Water</v>
      </c>
      <c r="C6" s="508" t="str">
        <f>F!C127</f>
        <v>The percentage of the AA that has surface water (either ponded or flowing, either open or obscured by vegetation) during all of the growing season during most years is:</v>
      </c>
      <c r="D6" s="777"/>
      <c r="E6" s="376"/>
      <c r="F6" s="262"/>
      <c r="G6" s="225">
        <f>MAX(F7:F12)/MAX(E7:E12)</f>
        <v>0</v>
      </c>
      <c r="H6" s="2000" t="s">
        <v>2420</v>
      </c>
      <c r="I6" s="2011" t="s">
        <v>2284</v>
      </c>
      <c r="J6" s="574"/>
    </row>
    <row r="7" spans="1:11" ht="15" customHeight="1" x14ac:dyDescent="0.2">
      <c r="A7" s="2204"/>
      <c r="B7" s="2198"/>
      <c r="C7" s="513" t="str">
        <f>F!C128</f>
        <v>&lt;0.01 hectare and &lt;1% of the AA.  SKIP to F27 (% Flooded Only Seasonally).</v>
      </c>
      <c r="D7" s="383">
        <f>F!D128</f>
        <v>0</v>
      </c>
      <c r="E7" s="722">
        <v>0</v>
      </c>
      <c r="F7" s="722">
        <f t="shared" ref="F7:F12" si="0">D7*E7</f>
        <v>0</v>
      </c>
      <c r="G7" s="235"/>
      <c r="H7" s="1989"/>
      <c r="I7" s="2040"/>
    </row>
    <row r="8" spans="1:11" ht="15" customHeight="1" x14ac:dyDescent="0.2">
      <c r="A8" s="2204"/>
      <c r="B8" s="2198"/>
      <c r="C8" s="802" t="str">
        <f>F!C129</f>
        <v>1-5% of the AA.</v>
      </c>
      <c r="D8" s="383">
        <f>F!D129</f>
        <v>0</v>
      </c>
      <c r="E8" s="722">
        <v>1</v>
      </c>
      <c r="F8" s="722">
        <f t="shared" si="0"/>
        <v>0</v>
      </c>
      <c r="G8" s="760"/>
      <c r="H8" s="1989"/>
      <c r="I8" s="2040"/>
    </row>
    <row r="9" spans="1:11" ht="15" customHeight="1" x14ac:dyDescent="0.2">
      <c r="A9" s="2204"/>
      <c r="B9" s="2198"/>
      <c r="C9" s="802" t="str">
        <f>F!C130</f>
        <v>5-25% of the AA.</v>
      </c>
      <c r="D9" s="383">
        <f>F!D130</f>
        <v>0</v>
      </c>
      <c r="E9" s="722">
        <v>2</v>
      </c>
      <c r="F9" s="722">
        <f t="shared" si="0"/>
        <v>0</v>
      </c>
      <c r="G9" s="760"/>
      <c r="H9" s="1989"/>
      <c r="I9" s="2040"/>
    </row>
    <row r="10" spans="1:11" ht="15" customHeight="1" x14ac:dyDescent="0.2">
      <c r="A10" s="2204"/>
      <c r="B10" s="2198"/>
      <c r="C10" s="802" t="str">
        <f>F!C131</f>
        <v>25-50% of the AA.</v>
      </c>
      <c r="D10" s="383">
        <f>F!D131</f>
        <v>0</v>
      </c>
      <c r="E10" s="722">
        <v>3</v>
      </c>
      <c r="F10" s="722">
        <f t="shared" si="0"/>
        <v>0</v>
      </c>
      <c r="G10" s="760"/>
      <c r="H10" s="1989"/>
      <c r="I10" s="2040"/>
    </row>
    <row r="11" spans="1:11" ht="15" customHeight="1" x14ac:dyDescent="0.2">
      <c r="A11" s="2204"/>
      <c r="B11" s="2198"/>
      <c r="C11" s="802" t="str">
        <f>F!C132</f>
        <v>50-95% of the AA.</v>
      </c>
      <c r="D11" s="803">
        <f>F!D132</f>
        <v>0</v>
      </c>
      <c r="E11" s="722">
        <v>4</v>
      </c>
      <c r="F11" s="722">
        <f t="shared" si="0"/>
        <v>0</v>
      </c>
      <c r="G11" s="760"/>
      <c r="H11" s="1989"/>
      <c r="I11" s="2040"/>
    </row>
    <row r="12" spans="1:11" ht="15" customHeight="1" thickBot="1" x14ac:dyDescent="0.25">
      <c r="A12" s="2205"/>
      <c r="B12" s="2202"/>
      <c r="C12" s="804" t="str">
        <f>F!C133</f>
        <v>&gt;95% of the AA.</v>
      </c>
      <c r="D12" s="191">
        <f>F!D133</f>
        <v>0</v>
      </c>
      <c r="E12" s="244">
        <v>5</v>
      </c>
      <c r="F12" s="244">
        <f t="shared" si="0"/>
        <v>0</v>
      </c>
      <c r="G12" s="237"/>
      <c r="H12" s="1990"/>
      <c r="I12" s="2041"/>
    </row>
    <row r="13" spans="1:11" ht="21" customHeight="1" thickBot="1" x14ac:dyDescent="0.25">
      <c r="A13" s="2244" t="str">
        <f>F!A269</f>
        <v>F56</v>
      </c>
      <c r="B13" s="2244" t="str">
        <f>F!B269</f>
        <v>Burn History</v>
      </c>
      <c r="C13" s="1556" t="str">
        <f>F!C269</f>
        <v>More than 1% of the AA's previously vegetated area:</v>
      </c>
      <c r="D13" s="1700"/>
      <c r="E13" s="1701"/>
      <c r="F13" s="288"/>
      <c r="G13" s="232">
        <f>MAX(F14:F17)/MAX(E14:E17)</f>
        <v>0</v>
      </c>
      <c r="H13" s="1910" t="s">
        <v>1767</v>
      </c>
      <c r="I13" s="2011" t="s">
        <v>2285</v>
      </c>
    </row>
    <row r="14" spans="1:11" ht="15" customHeight="1" x14ac:dyDescent="0.2">
      <c r="A14" s="2245"/>
      <c r="B14" s="2245"/>
      <c r="C14" s="1702" t="str">
        <f>F!C270</f>
        <v>burned within past 5 years.</v>
      </c>
      <c r="D14" s="1703">
        <f>F!D270</f>
        <v>0</v>
      </c>
      <c r="E14" s="748">
        <v>6</v>
      </c>
      <c r="F14" s="380">
        <f t="shared" ref="F14:F17" si="1">D14*E14</f>
        <v>0</v>
      </c>
      <c r="G14" s="760"/>
      <c r="H14" s="1881"/>
      <c r="I14" s="2040"/>
    </row>
    <row r="15" spans="1:11" ht="15" customHeight="1" x14ac:dyDescent="0.2">
      <c r="A15" s="2245"/>
      <c r="B15" s="2245"/>
      <c r="C15" s="1704" t="str">
        <f>F!C271</f>
        <v>burned 6-10 years ago.</v>
      </c>
      <c r="D15" s="1703">
        <f>F!D271</f>
        <v>0</v>
      </c>
      <c r="E15" s="748">
        <v>2</v>
      </c>
      <c r="F15" s="380">
        <f t="shared" si="1"/>
        <v>0</v>
      </c>
      <c r="G15" s="760"/>
      <c r="H15" s="1881"/>
      <c r="I15" s="2040"/>
    </row>
    <row r="16" spans="1:11" ht="15" customHeight="1" x14ac:dyDescent="0.2">
      <c r="A16" s="2245"/>
      <c r="B16" s="2245"/>
      <c r="C16" s="1704" t="str">
        <f>F!C272</f>
        <v>burned 11-30 years ago.</v>
      </c>
      <c r="D16" s="1703">
        <f>F!D272</f>
        <v>0</v>
      </c>
      <c r="E16" s="748">
        <v>1</v>
      </c>
      <c r="F16" s="380">
        <f t="shared" si="1"/>
        <v>0</v>
      </c>
      <c r="G16" s="760"/>
      <c r="H16" s="1881"/>
      <c r="I16" s="2040"/>
    </row>
    <row r="17" spans="1:13" ht="15" customHeight="1" thickBot="1" x14ac:dyDescent="0.25">
      <c r="A17" s="2246"/>
      <c r="B17" s="2246"/>
      <c r="C17" s="438" t="str">
        <f>F!C273</f>
        <v>burned &gt;30 years ago, or no evidence of a burn and no data.</v>
      </c>
      <c r="D17" s="1705">
        <f>F!D273</f>
        <v>0</v>
      </c>
      <c r="E17" s="205">
        <v>0</v>
      </c>
      <c r="F17" s="244">
        <f t="shared" si="1"/>
        <v>0</v>
      </c>
      <c r="G17" s="237"/>
      <c r="H17" s="1882"/>
      <c r="I17" s="2041"/>
    </row>
    <row r="18" spans="1:13" ht="21" customHeight="1" thickBot="1" x14ac:dyDescent="0.25">
      <c r="A18" s="15"/>
      <c r="B18" s="15"/>
      <c r="D18" s="1706"/>
      <c r="E18" s="1706"/>
      <c r="F18" s="1706"/>
      <c r="G18" s="1706"/>
      <c r="H18" s="110"/>
      <c r="I18" s="110"/>
    </row>
    <row r="19" spans="1:13" s="5" customFormat="1" ht="21" customHeight="1" thickBot="1" x14ac:dyDescent="0.25">
      <c r="A19" s="1246"/>
      <c r="B19" s="1246"/>
      <c r="C19" s="639" t="s">
        <v>846</v>
      </c>
      <c r="H19" s="6"/>
      <c r="I19" s="6"/>
      <c r="J19" s="574"/>
    </row>
    <row r="20" spans="1:13" s="5" customFormat="1" ht="21" customHeight="1" thickBot="1" x14ac:dyDescent="0.25">
      <c r="A20" s="1246"/>
      <c r="B20" s="1246"/>
      <c r="C20" s="417" t="s">
        <v>1765</v>
      </c>
      <c r="D20" s="1027"/>
      <c r="E20" s="1027"/>
      <c r="F20" s="1027"/>
      <c r="G20" s="1027"/>
      <c r="H20" s="6"/>
      <c r="I20" s="6"/>
      <c r="J20" s="574"/>
    </row>
    <row r="21" spans="1:13" s="5" customFormat="1" ht="21" customHeight="1" thickBot="1" x14ac:dyDescent="0.25">
      <c r="A21" s="1246"/>
      <c r="B21" s="1246"/>
      <c r="C21" s="83" t="s">
        <v>2488</v>
      </c>
      <c r="D21" s="507"/>
      <c r="E21" s="507"/>
      <c r="F21" s="507"/>
      <c r="G21" s="582">
        <f>10*MAX(FireBreak, OWpct, PermWpct13, Burn15)</f>
        <v>0</v>
      </c>
      <c r="H21" s="6"/>
      <c r="I21" s="6"/>
      <c r="J21" s="574"/>
    </row>
    <row r="22" spans="1:13" s="940" customFormat="1" ht="21" customHeight="1" thickBot="1" x14ac:dyDescent="0.25">
      <c r="A22" s="1246"/>
      <c r="B22" s="1246"/>
      <c r="D22" s="579"/>
      <c r="E22" s="489"/>
      <c r="F22" s="489"/>
      <c r="G22" s="489"/>
      <c r="H22" s="591"/>
      <c r="I22" s="824" t="s">
        <v>293</v>
      </c>
      <c r="J22" s="141"/>
      <c r="K22" s="110"/>
      <c r="L22" s="110"/>
      <c r="M22" s="110"/>
    </row>
    <row r="23" spans="1:13" s="122" customFormat="1" ht="49.5" customHeight="1" x14ac:dyDescent="0.2">
      <c r="A23" s="1467"/>
      <c r="B23" s="1552"/>
      <c r="C23" s="1467"/>
      <c r="D23" s="1468"/>
      <c r="E23" s="489"/>
      <c r="F23" s="489"/>
      <c r="G23" s="489"/>
      <c r="H23" s="591"/>
      <c r="I23" s="815" t="s">
        <v>2004</v>
      </c>
      <c r="J23" s="140"/>
      <c r="K23" s="119"/>
      <c r="L23" s="119"/>
      <c r="M23" s="119"/>
    </row>
    <row r="24" spans="1:13" s="122" customFormat="1" ht="42" customHeight="1" thickBot="1" x14ac:dyDescent="0.25">
      <c r="A24" s="1467"/>
      <c r="B24" s="1630"/>
      <c r="C24" s="1467"/>
      <c r="D24" s="1468"/>
      <c r="E24" s="489"/>
      <c r="F24" s="489"/>
      <c r="G24" s="489"/>
      <c r="H24" s="591"/>
      <c r="I24" s="312" t="s">
        <v>2176</v>
      </c>
      <c r="J24" s="140"/>
      <c r="K24" s="119"/>
      <c r="L24" s="119"/>
      <c r="M24" s="119"/>
    </row>
    <row r="25" spans="1:13" s="122" customFormat="1" ht="42" customHeight="1" x14ac:dyDescent="0.2">
      <c r="A25" s="1467"/>
      <c r="B25" s="1552"/>
      <c r="C25" s="1467"/>
      <c r="D25" s="1468"/>
      <c r="E25" s="489"/>
      <c r="F25" s="489"/>
      <c r="G25" s="489"/>
      <c r="H25" s="489"/>
      <c r="I25" s="1099"/>
      <c r="J25" s="140"/>
      <c r="K25" s="119"/>
      <c r="L25" s="119"/>
      <c r="M25" s="119"/>
    </row>
    <row r="26" spans="1:13" s="122" customFormat="1" ht="39" customHeight="1" x14ac:dyDescent="0.2">
      <c r="A26" s="1467"/>
      <c r="B26" s="1552"/>
      <c r="C26" s="1467"/>
      <c r="D26" s="1468"/>
      <c r="E26" s="489"/>
      <c r="F26" s="489"/>
      <c r="G26" s="489"/>
      <c r="H26" s="489"/>
      <c r="I26" s="1099"/>
      <c r="J26" s="140"/>
      <c r="K26" s="119"/>
      <c r="L26" s="119"/>
      <c r="M26" s="119"/>
    </row>
    <row r="27" spans="1:13" s="122" customFormat="1" ht="42" customHeight="1" x14ac:dyDescent="0.2">
      <c r="A27" s="1467"/>
      <c r="B27" s="1552"/>
      <c r="C27" s="1467"/>
      <c r="D27" s="1468"/>
      <c r="E27" s="489"/>
      <c r="F27" s="489"/>
      <c r="G27" s="489"/>
      <c r="H27" s="489"/>
      <c r="I27" s="1099"/>
      <c r="J27" s="140"/>
      <c r="K27" s="119"/>
      <c r="L27" s="119"/>
      <c r="M27" s="119"/>
    </row>
    <row r="28" spans="1:13" s="122" customFormat="1" ht="42" customHeight="1" x14ac:dyDescent="0.2">
      <c r="A28" s="1467"/>
      <c r="B28" s="1552"/>
      <c r="C28" s="1467"/>
      <c r="D28" s="1468"/>
      <c r="E28" s="489"/>
      <c r="F28" s="489"/>
      <c r="G28" s="489"/>
      <c r="H28" s="489"/>
      <c r="I28" s="1099"/>
      <c r="J28" s="140"/>
      <c r="K28" s="119"/>
      <c r="L28" s="119"/>
      <c r="M28" s="119"/>
    </row>
    <row r="29" spans="1:13" s="122" customFormat="1" ht="27" customHeight="1" x14ac:dyDescent="0.2">
      <c r="A29" s="1467"/>
      <c r="B29" s="1630"/>
      <c r="C29" s="1467"/>
      <c r="D29" s="1468"/>
      <c r="E29" s="489"/>
      <c r="F29" s="489"/>
      <c r="G29" s="489"/>
      <c r="H29" s="489"/>
      <c r="I29" s="940"/>
      <c r="J29" s="140"/>
      <c r="K29" s="119"/>
      <c r="L29" s="119"/>
      <c r="M29" s="119"/>
    </row>
    <row r="30" spans="1:13" s="940" customFormat="1" ht="27" customHeight="1" x14ac:dyDescent="0.2">
      <c r="A30" s="1467"/>
      <c r="B30" s="412"/>
      <c r="C30" s="588"/>
      <c r="D30" s="1554"/>
      <c r="E30" s="489"/>
      <c r="F30" s="489"/>
      <c r="G30" s="489"/>
      <c r="H30" s="489"/>
      <c r="J30" s="141"/>
      <c r="K30" s="110"/>
      <c r="L30" s="110"/>
      <c r="M30" s="110"/>
    </row>
    <row r="31" spans="1:13" s="940" customFormat="1" ht="42" customHeight="1" x14ac:dyDescent="0.2">
      <c r="A31" s="1467"/>
      <c r="B31" s="1552"/>
      <c r="C31" s="1467"/>
      <c r="D31" s="1468"/>
      <c r="E31" s="489"/>
      <c r="F31" s="489"/>
      <c r="G31" s="489"/>
      <c r="H31" s="489"/>
      <c r="I31" s="136"/>
      <c r="J31" s="141"/>
      <c r="K31" s="110"/>
      <c r="L31" s="110"/>
      <c r="M31" s="110"/>
    </row>
    <row r="32" spans="1:13" s="940" customFormat="1" ht="41.25" customHeight="1" x14ac:dyDescent="0.2">
      <c r="A32" s="1467"/>
      <c r="B32" s="1630"/>
      <c r="C32" s="1467"/>
      <c r="D32" s="1468"/>
      <c r="E32" s="489"/>
      <c r="F32" s="489"/>
      <c r="G32" s="489"/>
      <c r="H32" s="489"/>
      <c r="I32" s="1099"/>
      <c r="J32" s="141"/>
      <c r="K32" s="110"/>
      <c r="L32" s="110"/>
      <c r="M32" s="110"/>
    </row>
    <row r="33" spans="1:13" s="940" customFormat="1" ht="39" customHeight="1" x14ac:dyDescent="0.2">
      <c r="A33" s="1467"/>
      <c r="B33" s="1552"/>
      <c r="C33" s="1467"/>
      <c r="D33" s="1468"/>
      <c r="E33" s="489"/>
      <c r="F33" s="489"/>
      <c r="G33" s="489"/>
      <c r="H33" s="489"/>
      <c r="I33" s="136"/>
      <c r="J33" s="141"/>
      <c r="K33" s="110"/>
      <c r="L33" s="110"/>
      <c r="M33" s="110"/>
    </row>
    <row r="34" spans="1:13" s="940" customFormat="1" ht="42" customHeight="1" x14ac:dyDescent="0.2">
      <c r="A34" s="1467"/>
      <c r="B34" s="1552"/>
      <c r="C34" s="1467"/>
      <c r="D34" s="1468"/>
      <c r="E34" s="489"/>
      <c r="F34" s="489"/>
      <c r="G34" s="489"/>
      <c r="H34" s="489"/>
      <c r="I34" s="1099"/>
      <c r="J34" s="141"/>
      <c r="K34" s="110"/>
      <c r="L34" s="110"/>
      <c r="M34" s="110"/>
    </row>
    <row r="35" spans="1:13" s="940" customFormat="1" ht="27" customHeight="1" x14ac:dyDescent="0.2">
      <c r="A35" s="1467"/>
      <c r="B35" s="1552"/>
      <c r="C35" s="1467"/>
      <c r="D35" s="1468"/>
      <c r="E35" s="489"/>
      <c r="F35" s="489"/>
      <c r="G35" s="489"/>
      <c r="H35" s="489"/>
      <c r="I35" s="110"/>
      <c r="J35" s="141"/>
      <c r="K35" s="110"/>
      <c r="L35" s="110"/>
      <c r="M35" s="110"/>
    </row>
    <row r="36" spans="1:13" s="940" customFormat="1" ht="27" customHeight="1" x14ac:dyDescent="0.2">
      <c r="A36" s="1467"/>
      <c r="B36" s="1552"/>
      <c r="C36" s="1467"/>
      <c r="D36" s="1468"/>
      <c r="E36" s="489"/>
      <c r="F36" s="489"/>
      <c r="G36" s="489"/>
      <c r="H36" s="489"/>
      <c r="J36" s="141"/>
      <c r="K36" s="110"/>
      <c r="L36" s="110"/>
      <c r="M36" s="110"/>
    </row>
    <row r="37" spans="1:13" s="940" customFormat="1" ht="27" customHeight="1" x14ac:dyDescent="0.2">
      <c r="A37" s="1467"/>
      <c r="B37" s="1630"/>
      <c r="C37" s="1467"/>
      <c r="D37" s="1468"/>
      <c r="E37" s="489"/>
      <c r="F37" s="489"/>
      <c r="G37" s="489"/>
      <c r="H37" s="489"/>
      <c r="I37" s="110"/>
      <c r="J37" s="141"/>
      <c r="K37" s="110"/>
      <c r="L37" s="110"/>
      <c r="M37" s="110"/>
    </row>
    <row r="38" spans="1:13" s="940" customFormat="1" ht="42" customHeight="1" x14ac:dyDescent="0.2">
      <c r="A38" s="110"/>
      <c r="B38" s="110"/>
      <c r="C38" s="110"/>
      <c r="D38" s="110"/>
      <c r="E38" s="110"/>
      <c r="F38" s="110"/>
      <c r="G38" s="110"/>
      <c r="H38" s="110"/>
      <c r="I38" s="110"/>
      <c r="J38" s="141"/>
      <c r="K38" s="110"/>
      <c r="L38" s="110"/>
      <c r="M38" s="110"/>
    </row>
    <row r="39" spans="1:13" s="940" customFormat="1" ht="42" customHeight="1" x14ac:dyDescent="0.2">
      <c r="A39" s="110"/>
      <c r="B39" s="110"/>
      <c r="C39" s="110"/>
      <c r="D39" s="110"/>
      <c r="E39" s="110"/>
      <c r="F39" s="110"/>
      <c r="G39" s="110"/>
      <c r="H39" s="110"/>
      <c r="I39" s="1099"/>
      <c r="J39" s="141"/>
      <c r="K39" s="110"/>
      <c r="L39" s="110"/>
      <c r="M39" s="110"/>
    </row>
    <row r="40" spans="1:13" ht="27" customHeight="1" x14ac:dyDescent="0.2">
      <c r="A40" s="110"/>
      <c r="B40" s="110"/>
      <c r="C40" s="110"/>
      <c r="D40" s="110"/>
      <c r="E40" s="110"/>
      <c r="F40" s="110"/>
      <c r="G40" s="110"/>
      <c r="H40" s="110"/>
      <c r="I40" s="122"/>
    </row>
    <row r="41" spans="1:13" ht="27" customHeight="1" x14ac:dyDescent="0.2">
      <c r="A41" s="110"/>
      <c r="B41" s="110"/>
      <c r="C41" s="110"/>
      <c r="D41" s="110"/>
      <c r="E41" s="110"/>
      <c r="F41" s="110"/>
      <c r="G41" s="110"/>
      <c r="H41" s="110"/>
      <c r="I41" s="122"/>
    </row>
    <row r="42" spans="1:13" ht="42" customHeight="1" x14ac:dyDescent="0.2">
      <c r="A42" s="110"/>
      <c r="B42" s="110"/>
      <c r="C42" s="110"/>
      <c r="D42" s="110"/>
      <c r="E42" s="110"/>
      <c r="F42" s="110"/>
      <c r="G42" s="110"/>
      <c r="H42" s="110"/>
      <c r="I42" s="122"/>
    </row>
    <row r="43" spans="1:13" ht="42" customHeight="1" x14ac:dyDescent="0.2">
      <c r="A43" s="110"/>
      <c r="B43" s="110"/>
      <c r="C43" s="110"/>
      <c r="D43" s="110"/>
      <c r="E43" s="110"/>
      <c r="F43" s="110"/>
      <c r="G43" s="110"/>
      <c r="H43" s="110"/>
      <c r="I43" s="1099"/>
    </row>
    <row r="44" spans="1:13" ht="40.5" customHeight="1" x14ac:dyDescent="0.2">
      <c r="A44" s="110"/>
      <c r="B44" s="110"/>
      <c r="C44" s="110"/>
      <c r="D44" s="110"/>
      <c r="E44" s="110"/>
      <c r="F44" s="110"/>
      <c r="G44" s="110"/>
      <c r="H44" s="110"/>
      <c r="I44" s="1099"/>
    </row>
    <row r="45" spans="1:13" x14ac:dyDescent="0.2">
      <c r="C45" s="200"/>
    </row>
    <row r="46" spans="1:13" x14ac:dyDescent="0.2">
      <c r="C46" s="200"/>
    </row>
    <row r="47" spans="1:13" x14ac:dyDescent="0.2">
      <c r="C47" s="200"/>
    </row>
    <row r="48" spans="1:13" x14ac:dyDescent="0.2">
      <c r="C48" s="200"/>
    </row>
    <row r="49" spans="1:10" x14ac:dyDescent="0.2">
      <c r="C49" s="200"/>
    </row>
    <row r="50" spans="1:10" x14ac:dyDescent="0.2">
      <c r="C50" s="200"/>
    </row>
    <row r="51" spans="1:10" s="213" customFormat="1" x14ac:dyDescent="0.2">
      <c r="A51" s="15"/>
      <c r="B51" s="15"/>
      <c r="D51" s="181"/>
      <c r="E51" s="181"/>
      <c r="F51" s="181"/>
      <c r="G51" s="251"/>
      <c r="H51" s="19"/>
      <c r="J51" s="134"/>
    </row>
    <row r="52" spans="1:10" s="213" customFormat="1" x14ac:dyDescent="0.2">
      <c r="A52" s="15"/>
      <c r="B52" s="15"/>
      <c r="D52" s="181"/>
      <c r="E52" s="181"/>
      <c r="F52" s="181"/>
      <c r="G52" s="251"/>
      <c r="H52" s="19"/>
      <c r="J52" s="134"/>
    </row>
    <row r="53" spans="1:10" s="213" customFormat="1" x14ac:dyDescent="0.2">
      <c r="A53" s="15"/>
      <c r="B53" s="15"/>
      <c r="D53" s="181"/>
      <c r="E53" s="181"/>
      <c r="F53" s="181"/>
      <c r="G53" s="251"/>
      <c r="H53" s="19"/>
      <c r="J53" s="134"/>
    </row>
    <row r="54" spans="1:10" s="213" customFormat="1" x14ac:dyDescent="0.2">
      <c r="A54" s="15"/>
      <c r="B54" s="15"/>
      <c r="D54" s="181"/>
      <c r="E54" s="181"/>
      <c r="F54" s="181"/>
      <c r="G54" s="251"/>
      <c r="H54" s="19"/>
      <c r="J54" s="134"/>
    </row>
    <row r="55" spans="1:10" s="213" customFormat="1" x14ac:dyDescent="0.2">
      <c r="A55" s="15"/>
      <c r="B55" s="15"/>
      <c r="D55" s="181"/>
      <c r="E55" s="181"/>
      <c r="F55" s="181"/>
      <c r="G55" s="251"/>
      <c r="H55" s="19"/>
      <c r="J55" s="134"/>
    </row>
    <row r="56" spans="1:10" s="213" customFormat="1" x14ac:dyDescent="0.2">
      <c r="A56" s="15"/>
      <c r="B56" s="15"/>
      <c r="D56" s="181"/>
      <c r="E56" s="181"/>
      <c r="F56" s="181"/>
      <c r="G56" s="251"/>
      <c r="H56" s="19"/>
      <c r="I56" s="15"/>
      <c r="J56" s="134"/>
    </row>
    <row r="57" spans="1:10" s="213" customFormat="1" x14ac:dyDescent="0.2">
      <c r="A57" s="15"/>
      <c r="B57" s="15"/>
      <c r="D57" s="181"/>
      <c r="E57" s="181"/>
      <c r="F57" s="181"/>
      <c r="G57" s="251"/>
      <c r="H57" s="19"/>
      <c r="I57" s="15"/>
      <c r="J57" s="134"/>
    </row>
    <row r="58" spans="1:10" s="213" customFormat="1" x14ac:dyDescent="0.2">
      <c r="A58" s="15"/>
      <c r="B58" s="15"/>
      <c r="D58" s="181"/>
      <c r="E58" s="181"/>
      <c r="F58" s="181"/>
      <c r="G58" s="251"/>
      <c r="H58" s="19"/>
      <c r="I58" s="15"/>
      <c r="J58" s="134"/>
    </row>
    <row r="59" spans="1:10" x14ac:dyDescent="0.2">
      <c r="C59" s="200"/>
    </row>
    <row r="60" spans="1:10" x14ac:dyDescent="0.2">
      <c r="C60" s="200"/>
    </row>
    <row r="61" spans="1:10" x14ac:dyDescent="0.2">
      <c r="C61" s="200"/>
    </row>
    <row r="62" spans="1:10" x14ac:dyDescent="0.2">
      <c r="C62" s="200"/>
    </row>
    <row r="63" spans="1:10" x14ac:dyDescent="0.2">
      <c r="C63" s="200"/>
    </row>
    <row r="64" spans="1:10" x14ac:dyDescent="0.2">
      <c r="C64" s="200"/>
    </row>
  </sheetData>
  <sheetProtection password="C4B9" sheet="1" objects="1" scenarios="1"/>
  <mergeCells count="10">
    <mergeCell ref="I13:I17"/>
    <mergeCell ref="B13:B17"/>
    <mergeCell ref="A1:B1"/>
    <mergeCell ref="E1:I1"/>
    <mergeCell ref="A6:A12"/>
    <mergeCell ref="B6:B12"/>
    <mergeCell ref="H6:H12"/>
    <mergeCell ref="I6:I12"/>
    <mergeCell ref="A13:A17"/>
    <mergeCell ref="H13:H17"/>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BM93"/>
  <sheetViews>
    <sheetView zoomScaleNormal="100" workbookViewId="0">
      <selection activeCell="H7" sqref="H7"/>
    </sheetView>
  </sheetViews>
  <sheetFormatPr defaultColWidth="9.33203125" defaultRowHeight="12.75" x14ac:dyDescent="0.2"/>
  <cols>
    <col min="1" max="1" width="5.83203125" style="25" customWidth="1"/>
    <col min="2" max="2" width="18.83203125" style="25" customWidth="1"/>
    <col min="3" max="3" width="69.83203125" style="25" customWidth="1"/>
    <col min="4" max="6" width="6.83203125" style="574" customWidth="1"/>
    <col min="7" max="7" width="10.83203125" style="179" customWidth="1"/>
    <col min="8" max="8" width="12.83203125" style="25" customWidth="1"/>
    <col min="9" max="9" width="67.83203125" style="25" customWidth="1"/>
    <col min="10" max="16384" width="9.33203125" style="1"/>
  </cols>
  <sheetData>
    <row r="1" spans="1:65" s="65" customFormat="1" ht="75.75" thickBot="1" x14ac:dyDescent="0.3">
      <c r="A1" s="2249" t="s">
        <v>1758</v>
      </c>
      <c r="B1" s="2250"/>
      <c r="C1" s="560" t="s">
        <v>518</v>
      </c>
      <c r="D1" s="176" t="s">
        <v>1116</v>
      </c>
      <c r="E1" s="2252"/>
      <c r="F1" s="2253"/>
      <c r="G1" s="2253"/>
      <c r="H1" s="2253"/>
      <c r="I1" s="2254"/>
    </row>
    <row r="2" spans="1:65" s="1100" customFormat="1" ht="50.25" thickBot="1" x14ac:dyDescent="0.25">
      <c r="A2" s="1008" t="s">
        <v>78</v>
      </c>
      <c r="B2" s="1009" t="s">
        <v>1237</v>
      </c>
      <c r="C2" s="1010" t="s">
        <v>866</v>
      </c>
      <c r="D2" s="1008"/>
      <c r="E2" s="1011"/>
      <c r="F2" s="1012"/>
      <c r="G2" s="1013" t="s">
        <v>710</v>
      </c>
      <c r="H2" s="1009" t="s">
        <v>2028</v>
      </c>
      <c r="I2" s="1009" t="s">
        <v>255</v>
      </c>
    </row>
    <row r="3" spans="1:65" s="1353" customFormat="1" ht="39" thickBot="1" x14ac:dyDescent="0.25">
      <c r="A3" s="418" t="str">
        <f>OF!A8</f>
        <v>OF7</v>
      </c>
      <c r="B3" s="323" t="str">
        <f>OF!C8</f>
        <v>Distance to Nearest Road (from Wetland Edge)</v>
      </c>
      <c r="C3" s="1078"/>
      <c r="D3" s="413"/>
      <c r="E3" s="325"/>
      <c r="F3" s="325"/>
      <c r="G3" s="345" t="str">
        <f>IF((Dist2Road=""),"",Dist2Road)</f>
        <v/>
      </c>
      <c r="H3" s="1360" t="s">
        <v>812</v>
      </c>
      <c r="I3" s="1378" t="s">
        <v>471</v>
      </c>
    </row>
    <row r="4" spans="1:65" s="1353" customFormat="1" ht="31.5" customHeight="1" thickBot="1" x14ac:dyDescent="0.25">
      <c r="A4" s="317" t="str">
        <f>OF!A9</f>
        <v>OF8</v>
      </c>
      <c r="B4" s="318" t="str">
        <f>OF!C9</f>
        <v>Distance to Nearest Well-settled Area</v>
      </c>
      <c r="C4" s="1078"/>
      <c r="D4" s="414"/>
      <c r="E4" s="321"/>
      <c r="F4" s="321"/>
      <c r="G4" s="330" t="str">
        <f>IF((DistPop=""),"",DistPop)</f>
        <v/>
      </c>
      <c r="H4" s="332" t="s">
        <v>673</v>
      </c>
      <c r="I4" s="77" t="s">
        <v>257</v>
      </c>
    </row>
    <row r="5" spans="1:65" s="1353" customFormat="1" ht="30" customHeight="1" thickBot="1" x14ac:dyDescent="0.25">
      <c r="A5" s="1308" t="str">
        <f>OF!A23</f>
        <v>OF22</v>
      </c>
      <c r="B5" s="1308" t="str">
        <f>OF!C23</f>
        <v xml:space="preserve">Open Water Area </v>
      </c>
      <c r="C5" s="479"/>
      <c r="D5" s="414"/>
      <c r="E5" s="1260"/>
      <c r="F5" s="865"/>
      <c r="G5" s="809" t="str">
        <f>IF((OWarea=""),"",OWarea)</f>
        <v/>
      </c>
      <c r="H5" s="1261" t="s">
        <v>852</v>
      </c>
      <c r="I5" s="1352" t="s">
        <v>2422</v>
      </c>
    </row>
    <row r="6" spans="1:65" s="1353" customFormat="1" ht="30" customHeight="1" thickBot="1" x14ac:dyDescent="0.25">
      <c r="A6" s="418" t="str">
        <f>OF!A32</f>
        <v>OF31</v>
      </c>
      <c r="B6" s="323" t="str">
        <f>OF!C32</f>
        <v>Road Density Within 1km Buffer</v>
      </c>
      <c r="C6" s="447"/>
      <c r="D6" s="413"/>
      <c r="E6" s="325"/>
      <c r="F6" s="503"/>
      <c r="G6" s="485" t="str">
        <f>IF((RdDens1k=""),"",RdDens1k)</f>
        <v/>
      </c>
      <c r="H6" s="1374" t="s">
        <v>688</v>
      </c>
      <c r="I6" s="501" t="s">
        <v>911</v>
      </c>
      <c r="J6" s="1707"/>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25"/>
    </row>
    <row r="7" spans="1:65" s="1353" customFormat="1" ht="30" customHeight="1" thickBot="1" x14ac:dyDescent="0.25">
      <c r="A7" s="317" t="str">
        <f>OF!A33</f>
        <v>OF32</v>
      </c>
      <c r="B7" s="318" t="str">
        <f>OF!C33</f>
        <v xml:space="preserve">Ecological Reserve or Natural Area </v>
      </c>
      <c r="C7" s="479" t="s">
        <v>1046</v>
      </c>
      <c r="D7" s="414"/>
      <c r="E7" s="321"/>
      <c r="F7" s="415"/>
      <c r="G7" s="330" t="str">
        <f>IF((Reserve=""),"",IF((Reserve=1),1,""))</f>
        <v/>
      </c>
      <c r="H7" s="332" t="s">
        <v>691</v>
      </c>
      <c r="I7" s="424" t="s">
        <v>912</v>
      </c>
    </row>
    <row r="8" spans="1:65" s="1353" customFormat="1" ht="30" customHeight="1" thickBot="1" x14ac:dyDescent="0.25">
      <c r="A8" s="418" t="str">
        <f>OF!A44</f>
        <v>OF43</v>
      </c>
      <c r="B8" s="323" t="str">
        <f>OF!C44</f>
        <v>AA Size</v>
      </c>
      <c r="C8" s="447" t="s">
        <v>406</v>
      </c>
      <c r="D8" s="324"/>
      <c r="E8" s="325"/>
      <c r="F8" s="325"/>
      <c r="G8" s="345" t="str">
        <f>IF((WetArea=""),"",WetArea)</f>
        <v/>
      </c>
      <c r="H8" s="1360" t="s">
        <v>655</v>
      </c>
      <c r="I8" s="1362" t="s">
        <v>2421</v>
      </c>
      <c r="J8" s="1707"/>
    </row>
    <row r="9" spans="1:65" s="1101" customFormat="1" ht="66.75" thickBot="1" x14ac:dyDescent="0.25">
      <c r="A9" s="1106" t="s">
        <v>78</v>
      </c>
      <c r="B9" s="1063" t="s">
        <v>1238</v>
      </c>
      <c r="C9" s="1021" t="s">
        <v>708</v>
      </c>
      <c r="D9" s="1064" t="s">
        <v>33</v>
      </c>
      <c r="E9" s="1065" t="s">
        <v>1131</v>
      </c>
      <c r="F9" s="1066" t="s">
        <v>1130</v>
      </c>
      <c r="G9" s="1067" t="s">
        <v>710</v>
      </c>
      <c r="H9" s="1068" t="s">
        <v>2028</v>
      </c>
      <c r="I9" s="1068" t="s">
        <v>917</v>
      </c>
    </row>
    <row r="10" spans="1:65" ht="60" customHeight="1" thickBot="1" x14ac:dyDescent="0.25">
      <c r="A10" s="541" t="str">
        <f>F!A140</f>
        <v>F25</v>
      </c>
      <c r="B10" s="791" t="str">
        <f>F!B140</f>
        <v>Fringe Wetland</v>
      </c>
      <c r="C10" s="555" t="str">
        <f>F!C140</f>
        <v>Open water that adjoins the vegetated wetland in a lake, stream, or river during annual low water condition is much wider than the vegetated wetland. Enter "1" if true, "0" if false.</v>
      </c>
      <c r="D10" s="1107">
        <f>F!D140</f>
        <v>0</v>
      </c>
      <c r="E10" s="1108"/>
      <c r="F10" s="1108"/>
      <c r="G10" s="811" t="str">
        <f>IF((Algae21=1),"",IF((D10=1),1,""))</f>
        <v/>
      </c>
      <c r="H10" s="769" t="s">
        <v>771</v>
      </c>
      <c r="I10" s="769" t="s">
        <v>2057</v>
      </c>
    </row>
    <row r="11" spans="1:65" ht="60" customHeight="1" thickBot="1" x14ac:dyDescent="0.25">
      <c r="A11" s="1384" t="str">
        <f>F!A141</f>
        <v>F26</v>
      </c>
      <c r="B11" s="1362" t="str">
        <f>F!B141</f>
        <v>Lacustrine Wetland</v>
      </c>
      <c r="C11" s="406" t="str">
        <f>F!C141</f>
        <v>The AA borders a body of ponded open water whose size -- not counting the vegetated AA -- exceeds 8 hectares (about 300 x 300 m) during most of the growing season.  Enter "1" if true, "0" if false.</v>
      </c>
      <c r="D11" s="442">
        <f>F!D141</f>
        <v>0</v>
      </c>
      <c r="E11" s="89"/>
      <c r="F11" s="89"/>
      <c r="G11" s="1109" t="str">
        <f>IF((Algae21=1),"", IF((D11=1),1,""))</f>
        <v/>
      </c>
      <c r="H11" s="1378" t="s">
        <v>772</v>
      </c>
      <c r="I11" s="1378" t="s">
        <v>2058</v>
      </c>
    </row>
    <row r="12" spans="1:65" ht="39" thickBot="1" x14ac:dyDescent="0.25">
      <c r="A12" s="2036" t="str">
        <f>F!A173</f>
        <v>F33</v>
      </c>
      <c r="B12" s="1867" t="str">
        <f>F!B173</f>
        <v xml:space="preserve">% of Ponded Water That Is Open </v>
      </c>
      <c r="C12" s="769" t="str">
        <f>F!C173</f>
        <v>In ducks-eye aerial view, the percentage of the ponded water that is open (lacking emergent vegetation during most of the growing season, and unhidden by a forest or shrub canopy) is:</v>
      </c>
      <c r="D12" s="299"/>
      <c r="E12" s="105"/>
      <c r="F12" s="563"/>
      <c r="G12" s="811">
        <f>IF((AllSat1&gt;0),"", IF((NoPonded=1),"", IF((SmallAA=1),"", IF((Algae21=1),"", MAX(F13:F18)/MAX(E13:E18)))))</f>
        <v>0</v>
      </c>
      <c r="H12" s="2000" t="s">
        <v>1223</v>
      </c>
      <c r="I12" s="2000" t="s">
        <v>2059</v>
      </c>
    </row>
    <row r="13" spans="1:65" ht="27" customHeight="1" x14ac:dyDescent="0.2">
      <c r="A13" s="2035"/>
      <c r="B13" s="1911"/>
      <c r="C13" s="768" t="str">
        <f>F!C174</f>
        <v>None, or &lt;1% of the AA and largest pool occupies &lt;0.01 hectares.  Enter "1" and SKIP to F41 (Floating Algae &amp; Duckweed).</v>
      </c>
      <c r="D13" s="737">
        <f>F!D174</f>
        <v>0</v>
      </c>
      <c r="E13" s="812">
        <v>0</v>
      </c>
      <c r="F13" s="812">
        <f t="shared" ref="F13:F18" si="0">D13*E13</f>
        <v>0</v>
      </c>
      <c r="G13" s="884"/>
      <c r="H13" s="1989"/>
      <c r="I13" s="1989"/>
    </row>
    <row r="14" spans="1:65" ht="15" customHeight="1" x14ac:dyDescent="0.2">
      <c r="A14" s="2035"/>
      <c r="B14" s="1911"/>
      <c r="C14" s="813" t="str">
        <f>F!C175</f>
        <v>1-5% of the ponded water.  Enter "1" and SKIP to F41.</v>
      </c>
      <c r="D14" s="737">
        <f>F!D175</f>
        <v>0</v>
      </c>
      <c r="E14" s="812">
        <v>2</v>
      </c>
      <c r="F14" s="812">
        <f t="shared" si="0"/>
        <v>0</v>
      </c>
      <c r="G14" s="884"/>
      <c r="H14" s="1989"/>
      <c r="I14" s="1989"/>
    </row>
    <row r="15" spans="1:65" ht="15" customHeight="1" x14ac:dyDescent="0.2">
      <c r="A15" s="2035"/>
      <c r="B15" s="1911"/>
      <c r="C15" s="813" t="str">
        <f>F!C176</f>
        <v>5-30% of the ponded water.</v>
      </c>
      <c r="D15" s="737">
        <f>F!D176</f>
        <v>0</v>
      </c>
      <c r="E15" s="812">
        <v>3</v>
      </c>
      <c r="F15" s="812">
        <f t="shared" si="0"/>
        <v>0</v>
      </c>
      <c r="G15" s="884"/>
      <c r="H15" s="1989"/>
      <c r="I15" s="1989"/>
    </row>
    <row r="16" spans="1:65" ht="15" customHeight="1" x14ac:dyDescent="0.2">
      <c r="A16" s="2035"/>
      <c r="B16" s="1911"/>
      <c r="C16" s="813" t="str">
        <f>F!C177</f>
        <v>30-70% of the ponded water.</v>
      </c>
      <c r="D16" s="737">
        <f>F!D177</f>
        <v>0</v>
      </c>
      <c r="E16" s="812">
        <v>4</v>
      </c>
      <c r="F16" s="812">
        <f t="shared" si="0"/>
        <v>0</v>
      </c>
      <c r="G16" s="884"/>
      <c r="H16" s="1989"/>
      <c r="I16" s="1989"/>
    </row>
    <row r="17" spans="1:9" ht="15" customHeight="1" x14ac:dyDescent="0.2">
      <c r="A17" s="2035"/>
      <c r="B17" s="1911"/>
      <c r="C17" s="813" t="str">
        <f>F!C178</f>
        <v>70-99% of the ponded water.</v>
      </c>
      <c r="D17" s="737">
        <f>F!D178</f>
        <v>0</v>
      </c>
      <c r="E17" s="812">
        <v>4</v>
      </c>
      <c r="F17" s="812">
        <f t="shared" si="0"/>
        <v>0</v>
      </c>
      <c r="G17" s="884"/>
      <c r="H17" s="1989"/>
      <c r="I17" s="1989"/>
    </row>
    <row r="18" spans="1:9" ht="15" customHeight="1" thickBot="1" x14ac:dyDescent="0.25">
      <c r="A18" s="2037"/>
      <c r="B18" s="1978"/>
      <c r="C18" s="340" t="str">
        <f>F!C179</f>
        <v xml:space="preserve">100% of the ponded water. </v>
      </c>
      <c r="D18" s="81">
        <f>F!D179</f>
        <v>0</v>
      </c>
      <c r="E18" s="88">
        <v>4</v>
      </c>
      <c r="F18" s="88">
        <f t="shared" si="0"/>
        <v>0</v>
      </c>
      <c r="G18" s="559"/>
      <c r="H18" s="1990"/>
      <c r="I18" s="1990"/>
    </row>
    <row r="19" spans="1:9" ht="63.75" customHeight="1" thickBot="1" x14ac:dyDescent="0.25">
      <c r="A19" s="57" t="str">
        <f>F!A209</f>
        <v>F41</v>
      </c>
      <c r="B19" s="43" t="str">
        <f>F!B209</f>
        <v>Floating Algae &amp; Duckweed</v>
      </c>
      <c r="C19" s="562" t="str">
        <f>F!C209</f>
        <v>At some time of the year, mats of algae and/or duckweed cover &gt;50% of the AA's otherwise-unshaded water surface, or blanket &gt;50% of the underwater substrate.  If true, enter "1" in next column.  If untrue or unlikely, enter "0".</v>
      </c>
      <c r="D19" s="178">
        <f>F!D209</f>
        <v>0</v>
      </c>
      <c r="E19" s="198"/>
      <c r="F19" s="198"/>
      <c r="G19" s="358" t="str">
        <f>IF((AllSat1&gt;0),"", IF((NoPonded=1),"", IF((SmallAA=1),"", IF((D19=1),0,""))))</f>
        <v/>
      </c>
      <c r="H19" s="77" t="s">
        <v>773</v>
      </c>
      <c r="I19" s="77" t="s">
        <v>1224</v>
      </c>
    </row>
    <row r="20" spans="1:9" ht="45" customHeight="1" thickBot="1" x14ac:dyDescent="0.25">
      <c r="A20" s="2248" t="str">
        <f>F!A274</f>
        <v>F57</v>
      </c>
      <c r="B20" s="2016" t="str">
        <f>F!B274</f>
        <v>Visibility</v>
      </c>
      <c r="C20" s="1380" t="str">
        <f>F!C274</f>
        <v>From the best vantage point on public roads, public parking lots, public buildings, or well-defined public trails that intersect, adjoin, or are within 100 m of the wetland, some part of the AA is (select best case):</v>
      </c>
      <c r="D20" s="84"/>
      <c r="E20" s="127"/>
      <c r="F20" s="45"/>
      <c r="G20" s="229">
        <f>MAX(F21:F23)/MAX(E21:E23)</f>
        <v>0</v>
      </c>
      <c r="H20" s="2000" t="s">
        <v>250</v>
      </c>
      <c r="I20" s="1989" t="s">
        <v>256</v>
      </c>
    </row>
    <row r="21" spans="1:9" ht="15" customHeight="1" x14ac:dyDescent="0.2">
      <c r="A21" s="2050"/>
      <c r="B21" s="2113"/>
      <c r="C21" s="327" t="str">
        <f>F!C275</f>
        <v>easily visible.</v>
      </c>
      <c r="D21" s="40">
        <f>F!D275</f>
        <v>0</v>
      </c>
      <c r="E21" s="42">
        <v>0</v>
      </c>
      <c r="F21" s="42">
        <f>D21*E21</f>
        <v>0</v>
      </c>
      <c r="G21" s="202"/>
      <c r="H21" s="1989"/>
      <c r="I21" s="1989"/>
    </row>
    <row r="22" spans="1:9" ht="15" customHeight="1" x14ac:dyDescent="0.2">
      <c r="A22" s="2050"/>
      <c r="B22" s="2113"/>
      <c r="C22" s="342" t="str">
        <f>F!C276</f>
        <v>somewhat visible.</v>
      </c>
      <c r="D22" s="40">
        <f>F!D276</f>
        <v>0</v>
      </c>
      <c r="E22" s="42">
        <v>1</v>
      </c>
      <c r="F22" s="42">
        <f t="shared" ref="F22:F28" si="1">D22*E22</f>
        <v>0</v>
      </c>
      <c r="G22" s="257"/>
      <c r="H22" s="1989"/>
      <c r="I22" s="1989"/>
    </row>
    <row r="23" spans="1:9" ht="15" customHeight="1" thickBot="1" x14ac:dyDescent="0.25">
      <c r="A23" s="2051"/>
      <c r="B23" s="2251"/>
      <c r="C23" s="339" t="str">
        <f>F!C277</f>
        <v>barely or not visible.</v>
      </c>
      <c r="D23" s="22">
        <f>F!D277</f>
        <v>0</v>
      </c>
      <c r="E23" s="41">
        <v>2</v>
      </c>
      <c r="F23" s="41">
        <f t="shared" si="1"/>
        <v>0</v>
      </c>
      <c r="G23" s="433"/>
      <c r="H23" s="1990"/>
      <c r="I23" s="1990"/>
    </row>
    <row r="24" spans="1:9" ht="21" customHeight="1" thickBot="1" x14ac:dyDescent="0.25">
      <c r="A24" s="2000" t="str">
        <f>F!A278</f>
        <v>F58</v>
      </c>
      <c r="B24" s="2000" t="str">
        <f>F!B278</f>
        <v>Ownership</v>
      </c>
      <c r="C24" s="77" t="str">
        <f>F!C278</f>
        <v>Most of the AA is (select one):</v>
      </c>
      <c r="D24" s="565"/>
      <c r="E24" s="563"/>
      <c r="F24" s="563"/>
      <c r="G24" s="358">
        <f>MAX(F25:F28)/MAX(E25:E28)</f>
        <v>0</v>
      </c>
      <c r="H24" s="2000" t="s">
        <v>246</v>
      </c>
      <c r="I24" s="2000" t="s">
        <v>913</v>
      </c>
    </row>
    <row r="25" spans="1:9" ht="38.25" x14ac:dyDescent="0.2">
      <c r="A25" s="1989"/>
      <c r="B25" s="1989"/>
      <c r="C25" s="406" t="str">
        <f>F!C279</f>
        <v>Publicly owned conservation lands that exclude new timber harvest, roads, mineral extraction, and intensive summer recreation (e.g., off-road vehicles).  Includes most Protected Lands.</v>
      </c>
      <c r="D25" s="356">
        <f>F!D279</f>
        <v>0</v>
      </c>
      <c r="E25" s="564">
        <v>4</v>
      </c>
      <c r="F25" s="564">
        <f t="shared" si="1"/>
        <v>0</v>
      </c>
      <c r="G25" s="257"/>
      <c r="H25" s="1989"/>
      <c r="I25" s="1989"/>
    </row>
    <row r="26" spans="1:9" ht="27" customHeight="1" x14ac:dyDescent="0.2">
      <c r="A26" s="1989"/>
      <c r="B26" s="1989"/>
      <c r="C26" s="339" t="str">
        <f>F!C280</f>
        <v>Publicly owned resource use lands (allowed activities such as timber harvest, mining, or intensive recreation), or unknown.  Includes most Crown Reservations/Notations.</v>
      </c>
      <c r="D26" s="359">
        <f>F!D280</f>
        <v>0</v>
      </c>
      <c r="E26" s="564">
        <v>3</v>
      </c>
      <c r="F26" s="564">
        <f t="shared" si="1"/>
        <v>0</v>
      </c>
      <c r="G26" s="257"/>
      <c r="H26" s="1989"/>
      <c r="I26" s="1989"/>
    </row>
    <row r="27" spans="1:9" ht="15" customHeight="1" x14ac:dyDescent="0.2">
      <c r="A27" s="1989"/>
      <c r="B27" s="1989"/>
      <c r="C27" s="339" t="str">
        <f>F!C281</f>
        <v>Private owner who allows public access.</v>
      </c>
      <c r="D27" s="359">
        <f>F!D281</f>
        <v>0</v>
      </c>
      <c r="E27" s="564">
        <v>2</v>
      </c>
      <c r="F27" s="564">
        <f t="shared" si="1"/>
        <v>0</v>
      </c>
      <c r="G27" s="257"/>
      <c r="H27" s="1989"/>
      <c r="I27" s="1989"/>
    </row>
    <row r="28" spans="1:9" ht="15" customHeight="1" thickBot="1" x14ac:dyDescent="0.25">
      <c r="A28" s="1990"/>
      <c r="B28" s="1990"/>
      <c r="C28" s="340" t="str">
        <f>F!C282</f>
        <v>Private owner who does not allow access, or access permission unknown.</v>
      </c>
      <c r="D28" s="81">
        <f>F!D282</f>
        <v>0</v>
      </c>
      <c r="E28" s="88">
        <v>1</v>
      </c>
      <c r="F28" s="88">
        <f t="shared" si="1"/>
        <v>0</v>
      </c>
      <c r="G28" s="258"/>
      <c r="H28" s="1990"/>
      <c r="I28" s="1990"/>
    </row>
    <row r="29" spans="1:9" ht="30" customHeight="1" thickBot="1" x14ac:dyDescent="0.25">
      <c r="A29" s="2036" t="str">
        <f>F!A283</f>
        <v>F59</v>
      </c>
      <c r="B29" s="2000" t="str">
        <f>F!B283</f>
        <v>Non-consumptive Uses - Actual or Potential</v>
      </c>
      <c r="C29" s="421" t="str">
        <f>F!C283</f>
        <v>Assuming access permission was granted, select ALL statements that are true of the AA as it currently exists:</v>
      </c>
      <c r="D29" s="86"/>
      <c r="E29" s="166"/>
      <c r="F29" s="87"/>
      <c r="G29" s="358">
        <f>SUM(D30:D33)/4</f>
        <v>0</v>
      </c>
      <c r="H29" s="2000" t="s">
        <v>777</v>
      </c>
      <c r="I29" s="2000" t="s">
        <v>475</v>
      </c>
    </row>
    <row r="30" spans="1:9" ht="31.5" customHeight="1" x14ac:dyDescent="0.2">
      <c r="A30" s="2035"/>
      <c r="B30" s="1989"/>
      <c r="C30" s="327" t="str">
        <f>F!C284</f>
        <v>For an average person, walking is physically possible in (not just near) &gt;5% of the AA during most of the growing season, e.g., free of deep water and dense shrub thickets.</v>
      </c>
      <c r="D30" s="443">
        <f>F!D284</f>
        <v>0</v>
      </c>
      <c r="E30" s="42">
        <v>1</v>
      </c>
      <c r="F30" s="42">
        <f>D30*E30</f>
        <v>0</v>
      </c>
      <c r="G30" s="202"/>
      <c r="H30" s="1989"/>
      <c r="I30" s="1989"/>
    </row>
    <row r="31" spans="1:9" ht="27" customHeight="1" x14ac:dyDescent="0.2">
      <c r="A31" s="2035"/>
      <c r="B31" s="1989"/>
      <c r="C31" s="339" t="str">
        <f>F!C285</f>
        <v>Maintained roads, parking areas, or foot-trails are within 10 m of the AA, or the AA can be accessed part of the year by boats arriving via contiguous waters.</v>
      </c>
      <c r="D31" s="22">
        <f>F!D285</f>
        <v>0</v>
      </c>
      <c r="E31" s="41">
        <v>1</v>
      </c>
      <c r="F31" s="42">
        <f>D31*E31</f>
        <v>0</v>
      </c>
      <c r="G31" s="257"/>
      <c r="H31" s="1989"/>
      <c r="I31" s="1989"/>
    </row>
    <row r="32" spans="1:9" ht="27" customHeight="1" x14ac:dyDescent="0.2">
      <c r="A32" s="2035"/>
      <c r="B32" s="1989"/>
      <c r="C32" s="339" t="str">
        <f>F!C286</f>
        <v xml:space="preserve">Within or near the AA, there is an interpretive center, trails with interpretive signs or brochures, and/or regular guided interpretive tours. </v>
      </c>
      <c r="D32" s="22">
        <f>F!D286</f>
        <v>0</v>
      </c>
      <c r="E32" s="41">
        <v>1</v>
      </c>
      <c r="F32" s="42">
        <f>D32*E32</f>
        <v>0</v>
      </c>
      <c r="G32" s="257"/>
      <c r="H32" s="1989"/>
      <c r="I32" s="1989"/>
    </row>
    <row r="33" spans="1:9" ht="27" customHeight="1" thickBot="1" x14ac:dyDescent="0.25">
      <c r="A33" s="2037"/>
      <c r="B33" s="1990"/>
      <c r="C33" s="340" t="str">
        <f>F!C287</f>
        <v>The AA contains or adjoins a public boat dock or ramp, or is within 1 km of a campground, picnic area, or winter sports park.</v>
      </c>
      <c r="D33" s="81">
        <f>F!D287</f>
        <v>0</v>
      </c>
      <c r="E33" s="88">
        <v>1</v>
      </c>
      <c r="F33" s="88">
        <f>D33*E33</f>
        <v>0</v>
      </c>
      <c r="G33" s="258"/>
      <c r="H33" s="1990"/>
      <c r="I33" s="1990"/>
    </row>
    <row r="34" spans="1:9" ht="69.75" customHeight="1" thickBot="1" x14ac:dyDescent="0.25">
      <c r="A34" s="2036" t="str">
        <f>F!A288</f>
        <v>F60</v>
      </c>
      <c r="B34" s="2000" t="str">
        <f>F!B288</f>
        <v xml:space="preserve">Unvisited Core Area </v>
      </c>
      <c r="C34" s="421" t="str">
        <f>F!C288</f>
        <v>The percentage of the AA almost never visited by humans during an average growing season probably comprises: [Note: Only include the part actually walked or driven (not simply viewed from) with a vehicle or boat. Do not include visitors on trails outside of the AA unless more than half the wetland is visible from the trails and they are within 30 m of the wetland edge. In that case include only the area occupied by the trail]</v>
      </c>
      <c r="D34" s="565"/>
      <c r="E34" s="563"/>
      <c r="F34" s="87"/>
      <c r="G34" s="358">
        <f>MAX(F35:F40)/MAX(E35:E40)</f>
        <v>0</v>
      </c>
      <c r="H34" s="2000" t="s">
        <v>263</v>
      </c>
      <c r="I34" s="2000" t="s">
        <v>914</v>
      </c>
    </row>
    <row r="35" spans="1:9" ht="15" customHeight="1" x14ac:dyDescent="0.2">
      <c r="A35" s="2035"/>
      <c r="B35" s="1989"/>
      <c r="C35" s="327" t="str">
        <f>F!C289</f>
        <v>&lt;5% and no inhabited building is within 100 m of the AA.</v>
      </c>
      <c r="D35" s="359">
        <f>F!D289</f>
        <v>0</v>
      </c>
      <c r="E35" s="564">
        <v>4</v>
      </c>
      <c r="F35" s="564">
        <f t="shared" ref="F35:F40" si="2">D35*E35</f>
        <v>0</v>
      </c>
      <c r="G35" s="202"/>
      <c r="H35" s="1989"/>
      <c r="I35" s="1989"/>
    </row>
    <row r="36" spans="1:9" ht="15" customHeight="1" x14ac:dyDescent="0.2">
      <c r="A36" s="2035"/>
      <c r="B36" s="1989"/>
      <c r="C36" s="342" t="str">
        <f>F!C290</f>
        <v>&lt;5% and inhabited building is within 100 m of the AA.</v>
      </c>
      <c r="D36" s="359">
        <f>F!D290</f>
        <v>0</v>
      </c>
      <c r="E36" s="564">
        <v>5</v>
      </c>
      <c r="F36" s="564">
        <f t="shared" si="2"/>
        <v>0</v>
      </c>
      <c r="G36" s="257"/>
      <c r="H36" s="1989"/>
      <c r="I36" s="1989"/>
    </row>
    <row r="37" spans="1:9" ht="15" customHeight="1" x14ac:dyDescent="0.2">
      <c r="A37" s="2035"/>
      <c r="B37" s="1989"/>
      <c r="C37" s="342" t="str">
        <f>F!C291</f>
        <v>5-50% and no inhabited building is within 100 m of the AA.</v>
      </c>
      <c r="D37" s="359">
        <f>F!D291</f>
        <v>0</v>
      </c>
      <c r="E37" s="564">
        <v>2</v>
      </c>
      <c r="F37" s="564">
        <f t="shared" si="2"/>
        <v>0</v>
      </c>
      <c r="G37" s="257"/>
      <c r="H37" s="1989"/>
      <c r="I37" s="1989"/>
    </row>
    <row r="38" spans="1:9" ht="15" customHeight="1" x14ac:dyDescent="0.2">
      <c r="A38" s="2035"/>
      <c r="B38" s="1989"/>
      <c r="C38" s="342" t="str">
        <f>F!C292</f>
        <v>5-50% and inhabited building is within 100 m of the AA.</v>
      </c>
      <c r="D38" s="359">
        <f>F!D292</f>
        <v>0</v>
      </c>
      <c r="E38" s="564">
        <v>3</v>
      </c>
      <c r="F38" s="564">
        <f t="shared" si="2"/>
        <v>0</v>
      </c>
      <c r="G38" s="257"/>
      <c r="H38" s="1989"/>
      <c r="I38" s="1989"/>
    </row>
    <row r="39" spans="1:9" ht="15" customHeight="1" x14ac:dyDescent="0.2">
      <c r="A39" s="2035"/>
      <c r="B39" s="1989"/>
      <c r="C39" s="342" t="str">
        <f>F!C293</f>
        <v>50-95%, with or without inhabited building nearby.</v>
      </c>
      <c r="D39" s="359">
        <f>F!D293</f>
        <v>0</v>
      </c>
      <c r="E39" s="564">
        <v>1</v>
      </c>
      <c r="F39" s="564">
        <f t="shared" si="2"/>
        <v>0</v>
      </c>
      <c r="G39" s="257"/>
      <c r="H39" s="1989"/>
      <c r="I39" s="1989"/>
    </row>
    <row r="40" spans="1:9" ht="15" customHeight="1" thickBot="1" x14ac:dyDescent="0.25">
      <c r="A40" s="2037"/>
      <c r="B40" s="1990"/>
      <c r="C40" s="340" t="str">
        <f>F!C294</f>
        <v>&gt;95% of the AA with or without inhabited building nearby.</v>
      </c>
      <c r="D40" s="81">
        <f>F!D294</f>
        <v>0</v>
      </c>
      <c r="E40" s="88">
        <v>0</v>
      </c>
      <c r="F40" s="88">
        <f t="shared" si="2"/>
        <v>0</v>
      </c>
      <c r="G40" s="258"/>
      <c r="H40" s="1990"/>
      <c r="I40" s="1990"/>
    </row>
    <row r="41" spans="1:9" ht="75" customHeight="1" thickBot="1" x14ac:dyDescent="0.25">
      <c r="A41" s="2035" t="str">
        <f>F!A295</f>
        <v>F61</v>
      </c>
      <c r="B41" s="1989" t="str">
        <f>F!B295</f>
        <v>Frequently Visited Area</v>
      </c>
      <c r="C41" s="1399" t="str">
        <f>F!C295</f>
        <v>The percentage of the AA visited by humans almost daily for several weeks during an average growing season probably comprises: [Note: Do not include visitors on trails outside of the AA unless more than half the wetland is visible from the trails and they are within 30 m of the wetland edge.  In that case, imagine the percentage of the AA that would be covered by the trail if it were placed within the AA.]</v>
      </c>
      <c r="D41" s="84"/>
      <c r="E41" s="127"/>
      <c r="F41" s="45"/>
      <c r="G41" s="229">
        <f>MAX(F42:F45)/MAX(E42:E45)</f>
        <v>0</v>
      </c>
      <c r="H41" s="2000" t="s">
        <v>264</v>
      </c>
      <c r="I41" s="1989" t="s">
        <v>75</v>
      </c>
    </row>
    <row r="42" spans="1:9" ht="15" customHeight="1" x14ac:dyDescent="0.2">
      <c r="A42" s="2035"/>
      <c r="B42" s="1989"/>
      <c r="C42" s="327" t="str">
        <f>F!C296</f>
        <v>&lt;5%.  If F62 was answered "&gt;95%", SKIP to F64 (Consumptive Uses).</v>
      </c>
      <c r="D42" s="40">
        <f>F!D296</f>
        <v>0</v>
      </c>
      <c r="E42" s="42">
        <v>0</v>
      </c>
      <c r="F42" s="42">
        <f>D42*E42</f>
        <v>0</v>
      </c>
      <c r="G42" s="202"/>
      <c r="H42" s="1989"/>
      <c r="I42" s="1989"/>
    </row>
    <row r="43" spans="1:9" ht="15" customHeight="1" x14ac:dyDescent="0.2">
      <c r="A43" s="2035"/>
      <c r="B43" s="1989"/>
      <c r="C43" s="342" t="str">
        <f>F!C297</f>
        <v>5-50%</v>
      </c>
      <c r="D43" s="40">
        <f>F!D297</f>
        <v>0</v>
      </c>
      <c r="E43" s="42">
        <v>1</v>
      </c>
      <c r="F43" s="42">
        <f>D43*E43</f>
        <v>0</v>
      </c>
      <c r="G43" s="257"/>
      <c r="H43" s="1989"/>
      <c r="I43" s="1989"/>
    </row>
    <row r="44" spans="1:9" ht="15" customHeight="1" x14ac:dyDescent="0.2">
      <c r="A44" s="2035"/>
      <c r="B44" s="1989"/>
      <c r="C44" s="342" t="str">
        <f>F!C298</f>
        <v>50-95%</v>
      </c>
      <c r="D44" s="40">
        <f>F!D298</f>
        <v>0</v>
      </c>
      <c r="E44" s="42">
        <v>2</v>
      </c>
      <c r="F44" s="42">
        <f>D44*E44</f>
        <v>0</v>
      </c>
      <c r="G44" s="257"/>
      <c r="H44" s="1989"/>
      <c r="I44" s="1989"/>
    </row>
    <row r="45" spans="1:9" ht="15" customHeight="1" thickBot="1" x14ac:dyDescent="0.25">
      <c r="A45" s="2035"/>
      <c r="B45" s="1989"/>
      <c r="C45" s="339" t="str">
        <f>F!C299</f>
        <v>&gt;95% of the AA.</v>
      </c>
      <c r="D45" s="356">
        <f>F!D299</f>
        <v>0</v>
      </c>
      <c r="E45" s="561">
        <v>3</v>
      </c>
      <c r="F45" s="561">
        <f>D45*E45</f>
        <v>0</v>
      </c>
      <c r="G45" s="433"/>
      <c r="H45" s="1990"/>
      <c r="I45" s="1989"/>
    </row>
    <row r="46" spans="1:9" ht="51.75" customHeight="1" thickBot="1" x14ac:dyDescent="0.25">
      <c r="A46" s="541" t="str">
        <f>F!A300</f>
        <v>F62</v>
      </c>
      <c r="B46" s="77" t="str">
        <f>F!B300</f>
        <v>BMP - Soils</v>
      </c>
      <c r="C46" s="555" t="str">
        <f>F!C300</f>
        <v>Boardwalks, paved trails, fences or other infrastructure and/or well-enforced regulations appear to effectively prevent visitors from walking on soils within nearly all of the AA when they are unfrozen.  Enter "1" if true.</v>
      </c>
      <c r="D46" s="116">
        <f>F!D300</f>
        <v>0</v>
      </c>
      <c r="E46" s="198"/>
      <c r="F46" s="198"/>
      <c r="G46" s="358">
        <f>IF((D40+D42&gt;1),"",D46)</f>
        <v>0</v>
      </c>
      <c r="H46" s="77" t="s">
        <v>489</v>
      </c>
      <c r="I46" s="43" t="s">
        <v>2060</v>
      </c>
    </row>
    <row r="47" spans="1:9" ht="60" customHeight="1" thickBot="1" x14ac:dyDescent="0.25">
      <c r="A47" s="1384" t="str">
        <f>F!A301</f>
        <v>F63</v>
      </c>
      <c r="B47" s="1378" t="str">
        <f>F!B301</f>
        <v>BMP - Wildlife Protection</v>
      </c>
      <c r="C47" s="406" t="str">
        <f>F!C301</f>
        <v xml:space="preserve">Fences, observation blinds, platforms, paved trails, exclusion periods, and/or well-enforced prohibitions on motorized boats, off-leash pets, and off road vehicles appear to effectively exclude or divert visitors and their pets from the AA at critical times in order to minimize disturbance of wildlife (except during hunting seasons).  Enter "1" if true. </v>
      </c>
      <c r="D47" s="442">
        <f>F!D301</f>
        <v>0</v>
      </c>
      <c r="E47" s="89"/>
      <c r="F47" s="89"/>
      <c r="G47" s="644">
        <f>IF((D40+D42&gt;1),"",D47)</f>
        <v>0</v>
      </c>
      <c r="H47" s="1378" t="s">
        <v>490</v>
      </c>
      <c r="I47" s="1362" t="s">
        <v>75</v>
      </c>
    </row>
    <row r="48" spans="1:9" ht="30" customHeight="1" thickBot="1" x14ac:dyDescent="0.25">
      <c r="A48" s="1992" t="str">
        <f>F!A302</f>
        <v>F64</v>
      </c>
      <c r="B48" s="2247" t="str">
        <f>F!B302</f>
        <v>Consumptive Uses (Provisioning Services)</v>
      </c>
      <c r="C48" s="352" t="str">
        <f>F!C302</f>
        <v>Recent evidence was found within the AA of the following potentially-sustainable consumptive uses.  Select all that apply.</v>
      </c>
      <c r="D48" s="299"/>
      <c r="E48" s="563"/>
      <c r="F48" s="563"/>
      <c r="G48" s="358">
        <f>IF((D56=1),0,1)</f>
        <v>1</v>
      </c>
      <c r="H48" s="2000" t="s">
        <v>770</v>
      </c>
      <c r="I48" s="1867" t="s">
        <v>1225</v>
      </c>
    </row>
    <row r="49" spans="1:9" ht="15" customHeight="1" x14ac:dyDescent="0.2">
      <c r="A49" s="1991"/>
      <c r="B49" s="2055"/>
      <c r="C49" s="552" t="str">
        <f>F!C303</f>
        <v>Low-impact commercial timber harvest (e.g., selective thinning).</v>
      </c>
      <c r="D49" s="354">
        <f>F!D303</f>
        <v>0</v>
      </c>
      <c r="E49" s="564"/>
      <c r="F49" s="564"/>
      <c r="G49" s="45"/>
      <c r="H49" s="1989"/>
      <c r="I49" s="1911"/>
    </row>
    <row r="50" spans="1:9" ht="25.5" x14ac:dyDescent="0.2">
      <c r="A50" s="1991"/>
      <c r="B50" s="2055"/>
      <c r="C50" s="576" t="str">
        <f>F!C304</f>
        <v>Extraction of surface water without noticeably affecting surface water area, depth, or persistence.</v>
      </c>
      <c r="D50" s="354">
        <f>F!D304</f>
        <v>0</v>
      </c>
      <c r="E50" s="564"/>
      <c r="F50" s="564"/>
      <c r="G50" s="298"/>
      <c r="H50" s="1989"/>
      <c r="I50" s="1911"/>
    </row>
    <row r="51" spans="1:9" ht="15" customHeight="1" x14ac:dyDescent="0.2">
      <c r="A51" s="1991"/>
      <c r="B51" s="2055"/>
      <c r="C51" s="576" t="str">
        <f>F!C305</f>
        <v>Grazing by livestock.</v>
      </c>
      <c r="D51" s="354">
        <f>F!D305</f>
        <v>0</v>
      </c>
      <c r="E51" s="564"/>
      <c r="F51" s="564"/>
      <c r="G51" s="298"/>
      <c r="H51" s="1989"/>
      <c r="I51" s="1911"/>
    </row>
    <row r="52" spans="1:9" ht="25.5" x14ac:dyDescent="0.2">
      <c r="A52" s="1991"/>
      <c r="B52" s="2055"/>
      <c r="C52" s="576" t="str">
        <f>F!C306</f>
        <v>Harvesting of native plants, native hay, or mushrooms (observed or known, not assumed).</v>
      </c>
      <c r="D52" s="354">
        <f>F!D306</f>
        <v>0</v>
      </c>
      <c r="E52" s="564"/>
      <c r="F52" s="564"/>
      <c r="G52" s="298"/>
      <c r="H52" s="1989"/>
      <c r="I52" s="1911"/>
    </row>
    <row r="53" spans="1:9" ht="15" customHeight="1" x14ac:dyDescent="0.2">
      <c r="A53" s="1991"/>
      <c r="B53" s="2055"/>
      <c r="C53" s="576" t="str">
        <f>F!C307</f>
        <v>Hunting (observed or known, not assumed).</v>
      </c>
      <c r="D53" s="354">
        <f>F!D307</f>
        <v>0</v>
      </c>
      <c r="E53" s="564"/>
      <c r="F53" s="564"/>
      <c r="G53" s="298"/>
      <c r="H53" s="1989"/>
      <c r="I53" s="1911"/>
    </row>
    <row r="54" spans="1:9" ht="15" customHeight="1" x14ac:dyDescent="0.2">
      <c r="A54" s="1991"/>
      <c r="B54" s="2055"/>
      <c r="C54" s="576" t="str">
        <f>F!C308</f>
        <v>Furbearer trapping.</v>
      </c>
      <c r="D54" s="354">
        <f>F!D308</f>
        <v>0</v>
      </c>
      <c r="E54" s="564"/>
      <c r="F54" s="564"/>
      <c r="G54" s="298"/>
      <c r="H54" s="1989"/>
      <c r="I54" s="1911"/>
    </row>
    <row r="55" spans="1:9" ht="15" customHeight="1" x14ac:dyDescent="0.2">
      <c r="A55" s="1991"/>
      <c r="B55" s="2055"/>
      <c r="C55" s="576" t="str">
        <f>F!C309</f>
        <v>Fishing (observed or known, not assumed).</v>
      </c>
      <c r="D55" s="354">
        <f>F!D309</f>
        <v>0</v>
      </c>
      <c r="E55" s="564"/>
      <c r="F55" s="564"/>
      <c r="G55" s="298"/>
      <c r="H55" s="1989"/>
      <c r="I55" s="1911"/>
    </row>
    <row r="56" spans="1:9" ht="15" customHeight="1" thickBot="1" x14ac:dyDescent="0.25">
      <c r="A56" s="1993"/>
      <c r="B56" s="2059"/>
      <c r="C56" s="445" t="str">
        <f>F!C310</f>
        <v>No evidence of any of the above.</v>
      </c>
      <c r="D56" s="94">
        <f>F!D310</f>
        <v>0</v>
      </c>
      <c r="E56" s="88"/>
      <c r="F56" s="88"/>
      <c r="G56" s="559"/>
      <c r="H56" s="1990"/>
      <c r="I56" s="1978"/>
    </row>
    <row r="57" spans="1:9" ht="21" customHeight="1" thickBot="1" x14ac:dyDescent="0.25">
      <c r="A57" s="2080" t="str">
        <f>F!A311</f>
        <v>F65</v>
      </c>
      <c r="B57" s="2080" t="str">
        <f>F!B311</f>
        <v>Domestic Wells</v>
      </c>
      <c r="C57" s="333" t="str">
        <f>F!C311</f>
        <v>The closest wells or water bodies that currently provide drinking water are:</v>
      </c>
      <c r="D57" s="299"/>
      <c r="E57" s="105"/>
      <c r="F57" s="105"/>
      <c r="G57" s="358">
        <f>MAX(F58:F60)/MAX(E58:E60)</f>
        <v>0</v>
      </c>
      <c r="H57" s="2000" t="s">
        <v>909</v>
      </c>
      <c r="I57" s="2000" t="s">
        <v>1226</v>
      </c>
    </row>
    <row r="58" spans="1:9" ht="15" customHeight="1" x14ac:dyDescent="0.2">
      <c r="A58" s="2081"/>
      <c r="B58" s="2081"/>
      <c r="C58" s="326" t="str">
        <f>F!C312</f>
        <v>Within 0-100 m of the AA</v>
      </c>
      <c r="D58" s="92">
        <f>F!D312</f>
        <v>0</v>
      </c>
      <c r="E58" s="41">
        <v>2</v>
      </c>
      <c r="F58" s="42">
        <f>D58*E58</f>
        <v>0</v>
      </c>
      <c r="G58" s="558"/>
      <c r="H58" s="1989"/>
      <c r="I58" s="1989"/>
    </row>
    <row r="59" spans="1:9" ht="15" customHeight="1" x14ac:dyDescent="0.2">
      <c r="A59" s="2081"/>
      <c r="B59" s="2081"/>
      <c r="C59" s="314" t="str">
        <f>F!C313</f>
        <v>100-500 m away</v>
      </c>
      <c r="D59" s="92">
        <f>F!D313</f>
        <v>0</v>
      </c>
      <c r="E59" s="41">
        <v>1</v>
      </c>
      <c r="F59" s="42">
        <f>D59*E59</f>
        <v>0</v>
      </c>
      <c r="G59" s="558"/>
      <c r="H59" s="1989"/>
      <c r="I59" s="1989"/>
    </row>
    <row r="60" spans="1:9" ht="15" customHeight="1" thickBot="1" x14ac:dyDescent="0.25">
      <c r="A60" s="2081"/>
      <c r="B60" s="2081"/>
      <c r="C60" s="882" t="str">
        <f>F!C314</f>
        <v>&gt;500 m away, or no information</v>
      </c>
      <c r="D60" s="434">
        <f>F!D314</f>
        <v>0</v>
      </c>
      <c r="E60" s="561">
        <v>0</v>
      </c>
      <c r="F60" s="561">
        <f>D60*E60</f>
        <v>0</v>
      </c>
      <c r="G60" s="883"/>
      <c r="H60" s="1989"/>
      <c r="I60" s="1989"/>
    </row>
    <row r="61" spans="1:9" ht="21" customHeight="1" thickBot="1" x14ac:dyDescent="0.25">
      <c r="A61" s="1992" t="str">
        <f>F!A319</f>
        <v>F67</v>
      </c>
      <c r="B61" s="1867" t="str">
        <f>F!B319</f>
        <v>Prior Investment in the Wetland</v>
      </c>
      <c r="C61" s="352" t="str">
        <f>F!C319</f>
        <v>Mark ALL of the following that apply to this AA:</v>
      </c>
      <c r="D61" s="881"/>
      <c r="E61" s="563"/>
      <c r="F61" s="563"/>
      <c r="G61" s="358">
        <f>SUM(D62:D64)/3</f>
        <v>0</v>
      </c>
      <c r="H61" s="2000" t="s">
        <v>774</v>
      </c>
      <c r="I61" s="1867" t="s">
        <v>1227</v>
      </c>
    </row>
    <row r="62" spans="1:9" ht="27" customHeight="1" x14ac:dyDescent="0.2">
      <c r="A62" s="1991"/>
      <c r="B62" s="1911"/>
      <c r="C62" s="934" t="str">
        <f>F!C320</f>
        <v>Regulatory Investment: The AA is all or part of a mitigation or replacement site used explicitly to offset impacts elsewhere.</v>
      </c>
      <c r="D62" s="733">
        <f>F!D320</f>
        <v>0</v>
      </c>
      <c r="E62" s="812"/>
      <c r="F62" s="812"/>
      <c r="G62" s="884"/>
      <c r="H62" s="1989"/>
      <c r="I62" s="1911"/>
    </row>
    <row r="63" spans="1:9" ht="42" customHeight="1" x14ac:dyDescent="0.2">
      <c r="A63" s="1991"/>
      <c r="B63" s="1911"/>
      <c r="C63" s="935" t="str">
        <f>F!C321</f>
        <v>Non-regulatory Investment: The AA is part of or contiguous to a wetland on which public or private organizational funds were spent to preserve, create, restore, enhance, the wetland (excluding mitigation wetlands).</v>
      </c>
      <c r="D63" s="733">
        <f>F!D321</f>
        <v>0</v>
      </c>
      <c r="E63" s="812"/>
      <c r="F63" s="812"/>
      <c r="G63" s="884"/>
      <c r="H63" s="1989"/>
      <c r="I63" s="1911"/>
    </row>
    <row r="64" spans="1:9" ht="54" customHeight="1" x14ac:dyDescent="0.2">
      <c r="A64" s="1991"/>
      <c r="B64" s="1911"/>
      <c r="C64" s="935" t="str">
        <f>F!C322</f>
        <v>Sustained Scientific Use: Plants, animals, or water in the AA have been monitored for &gt;2 years, unrelated to any regulatory requirements, and data are available to the public.  Or the AA is part of an area that has been designated by an agency or institution as a benchmark, reference, or status-trends monitoring area.</v>
      </c>
      <c r="D64" s="733">
        <f>F!D322</f>
        <v>0</v>
      </c>
      <c r="E64" s="812"/>
      <c r="F64" s="812"/>
      <c r="G64" s="884"/>
      <c r="H64" s="1989"/>
      <c r="I64" s="1911"/>
    </row>
    <row r="65" spans="1:10" ht="15" customHeight="1" thickBot="1" x14ac:dyDescent="0.25">
      <c r="A65" s="1993"/>
      <c r="B65" s="1978"/>
      <c r="C65" s="445" t="str">
        <f>F!C323</f>
        <v>None of the above, or no information for any.</v>
      </c>
      <c r="D65" s="94">
        <f>F!D323</f>
        <v>0</v>
      </c>
      <c r="E65" s="88"/>
      <c r="F65" s="88"/>
      <c r="G65" s="559"/>
      <c r="H65" s="1990"/>
      <c r="I65" s="1978"/>
    </row>
    <row r="66" spans="1:10" ht="21" customHeight="1" thickBot="1" x14ac:dyDescent="0.25">
      <c r="A66" s="940"/>
      <c r="B66" s="940"/>
      <c r="D66" s="940"/>
      <c r="E66" s="940"/>
      <c r="F66" s="940"/>
      <c r="G66" s="940"/>
      <c r="H66" s="940"/>
      <c r="I66" s="940"/>
    </row>
    <row r="67" spans="1:10" s="5" customFormat="1" ht="21" customHeight="1" thickBot="1" x14ac:dyDescent="0.25">
      <c r="C67" s="391" t="s">
        <v>823</v>
      </c>
      <c r="D67" s="1027"/>
      <c r="E67" s="1027"/>
      <c r="F67" s="1027"/>
      <c r="G67" s="1027"/>
      <c r="H67" s="940"/>
      <c r="I67" s="940"/>
    </row>
    <row r="68" spans="1:10" s="5" customFormat="1" ht="21" customHeight="1" thickBot="1" x14ac:dyDescent="0.25">
      <c r="C68" s="78" t="s">
        <v>2490</v>
      </c>
      <c r="D68" s="507"/>
      <c r="E68" s="507"/>
      <c r="F68" s="507"/>
      <c r="G68" s="285">
        <f>IFERROR(AVERAGE(1-Dist2Road, RdDens1k, 1-DistPop, Reserve),"")</f>
        <v>1</v>
      </c>
      <c r="H68" s="940"/>
      <c r="I68" s="940"/>
      <c r="J68" s="110"/>
    </row>
    <row r="69" spans="1:10" s="5" customFormat="1" ht="21" customHeight="1" thickBot="1" x14ac:dyDescent="0.25">
      <c r="C69" s="25"/>
      <c r="D69" s="827"/>
      <c r="E69" s="827"/>
      <c r="F69" s="827"/>
      <c r="G69" s="827"/>
      <c r="H69" s="940"/>
      <c r="I69" s="940"/>
    </row>
    <row r="70" spans="1:10" s="5" customFormat="1" ht="21" customHeight="1" thickBot="1" x14ac:dyDescent="0.25">
      <c r="C70" s="391" t="s">
        <v>910</v>
      </c>
      <c r="D70" s="1027"/>
      <c r="E70" s="1027"/>
      <c r="F70" s="1027"/>
      <c r="G70" s="1027"/>
      <c r="H70" s="940"/>
      <c r="I70" s="940"/>
    </row>
    <row r="71" spans="1:10" s="5" customFormat="1" ht="30" customHeight="1" thickBot="1" x14ac:dyDescent="0.25">
      <c r="C71" s="566" t="s">
        <v>1125</v>
      </c>
      <c r="D71" s="507"/>
      <c r="E71" s="507"/>
      <c r="F71" s="507"/>
      <c r="G71" s="285">
        <f>IFERROR(AVERAGE(Provis21, Visibility, Core1PU, Core2PU, RecreaPoten, BMPsoilsPU, BMPwildPU, Wells21),"")</f>
        <v>0.125</v>
      </c>
      <c r="H71" s="940"/>
      <c r="I71" s="940"/>
    </row>
    <row r="72" spans="1:10" s="6" customFormat="1" ht="21" customHeight="1" thickBot="1" x14ac:dyDescent="0.25">
      <c r="A72" s="5"/>
      <c r="B72" s="5"/>
      <c r="C72" s="135"/>
      <c r="D72" s="617"/>
      <c r="E72" s="617"/>
      <c r="F72" s="617"/>
      <c r="G72" s="617"/>
      <c r="H72" s="940"/>
      <c r="I72" s="940"/>
    </row>
    <row r="73" spans="1:10" s="5" customFormat="1" ht="21" customHeight="1" thickBot="1" x14ac:dyDescent="0.25">
      <c r="C73" s="391" t="s">
        <v>776</v>
      </c>
      <c r="D73" s="618"/>
      <c r="E73" s="618"/>
      <c r="F73" s="618"/>
      <c r="G73" s="618"/>
      <c r="H73" s="940"/>
      <c r="I73" s="940"/>
    </row>
    <row r="74" spans="1:10" s="5" customFormat="1" ht="26.25" thickBot="1" x14ac:dyDescent="0.25">
      <c r="A74" s="1589"/>
      <c r="B74" s="1589"/>
      <c r="C74" s="1270" t="s">
        <v>2489</v>
      </c>
      <c r="D74" s="1264"/>
      <c r="E74" s="1264"/>
      <c r="F74" s="1708"/>
      <c r="G74" s="285">
        <f>IFERROR(IF((Algae21=1),0, AVERAGE(WetArea, OWarea, Fringe21, Lake21, PondedOWpct21)),"")</f>
        <v>0</v>
      </c>
      <c r="H74" s="940"/>
      <c r="I74" s="1589"/>
    </row>
    <row r="75" spans="1:10" s="5" customFormat="1" ht="21" customHeight="1" x14ac:dyDescent="0.2">
      <c r="A75" s="1589"/>
      <c r="B75" s="1589"/>
      <c r="C75" s="1589"/>
      <c r="D75" s="1589"/>
      <c r="E75" s="1589"/>
      <c r="F75" s="1589"/>
      <c r="G75" s="1589"/>
      <c r="H75" s="940"/>
      <c r="I75" s="1589"/>
    </row>
    <row r="76" spans="1:10" s="6" customFormat="1" ht="21" customHeight="1" thickBot="1" x14ac:dyDescent="0.25">
      <c r="A76" s="1548"/>
      <c r="B76" s="1548"/>
      <c r="C76" s="135"/>
      <c r="D76" s="1589"/>
      <c r="E76" s="1589"/>
      <c r="F76" s="1589"/>
      <c r="G76" s="1589"/>
      <c r="H76" s="1589"/>
      <c r="I76" s="940"/>
    </row>
    <row r="77" spans="1:10" s="5" customFormat="1" ht="21" customHeight="1" thickBot="1" x14ac:dyDescent="0.25">
      <c r="A77" s="1548"/>
      <c r="B77" s="1548"/>
      <c r="C77" s="639" t="s">
        <v>847</v>
      </c>
      <c r="D77" s="1262"/>
      <c r="E77" s="1262"/>
      <c r="F77" s="1262"/>
      <c r="G77" s="1262"/>
      <c r="H77" s="940"/>
      <c r="I77" s="940"/>
    </row>
    <row r="78" spans="1:10" s="5" customFormat="1" ht="21" customHeight="1" thickBot="1" x14ac:dyDescent="0.25">
      <c r="A78" s="1548"/>
      <c r="B78" s="1548"/>
      <c r="C78" s="417" t="s">
        <v>775</v>
      </c>
      <c r="D78" s="618"/>
      <c r="E78" s="618"/>
      <c r="F78" s="618"/>
      <c r="G78" s="618"/>
      <c r="H78" s="940"/>
      <c r="I78" s="940"/>
    </row>
    <row r="79" spans="1:10" s="5" customFormat="1" ht="21" customHeight="1" thickBot="1" x14ac:dyDescent="0.25">
      <c r="A79" s="1548"/>
      <c r="B79" s="1548"/>
      <c r="C79" s="78" t="s">
        <v>1126</v>
      </c>
      <c r="D79" s="507"/>
      <c r="E79" s="507"/>
      <c r="F79" s="507"/>
      <c r="G79" s="582">
        <f>10*AVERAGE(Ownership, Invest21, Access1a, Use1a, Wet1a)</f>
        <v>2.25</v>
      </c>
      <c r="H79" s="940"/>
      <c r="I79" s="940"/>
    </row>
    <row r="80" spans="1:10" ht="21" customHeight="1" x14ac:dyDescent="0.2">
      <c r="A80" s="1548"/>
      <c r="B80" s="1548"/>
      <c r="C80" s="827"/>
      <c r="D80" s="827"/>
      <c r="E80" s="940"/>
      <c r="F80" s="940"/>
      <c r="G80" s="940"/>
      <c r="H80" s="940"/>
      <c r="I80" s="940"/>
    </row>
    <row r="81" spans="1:9" ht="21" customHeight="1" x14ac:dyDescent="0.2">
      <c r="A81" s="1709"/>
      <c r="B81" s="1709"/>
      <c r="C81" s="1496"/>
      <c r="D81" s="1463"/>
      <c r="E81" s="940"/>
      <c r="F81" s="940"/>
      <c r="G81" s="940"/>
      <c r="H81" s="940"/>
      <c r="I81" s="940"/>
    </row>
    <row r="82" spans="1:9" s="124" customFormat="1" ht="21" customHeight="1" x14ac:dyDescent="0.2">
      <c r="A82" s="1627"/>
      <c r="B82" s="1466"/>
      <c r="C82" s="1498"/>
      <c r="D82" s="1463"/>
      <c r="E82" s="940"/>
      <c r="F82" s="940"/>
      <c r="G82" s="940"/>
      <c r="H82" s="940"/>
      <c r="I82" s="940"/>
    </row>
    <row r="83" spans="1:9" s="124" customFormat="1" ht="21" customHeight="1" x14ac:dyDescent="0.2">
      <c r="A83" s="1627"/>
      <c r="B83" s="1552"/>
      <c r="C83" s="1498"/>
      <c r="D83" s="1468"/>
      <c r="E83" s="940"/>
      <c r="F83" s="940"/>
      <c r="G83" s="940"/>
      <c r="H83" s="940"/>
      <c r="I83" s="940"/>
    </row>
    <row r="84" spans="1:9" s="124" customFormat="1" ht="21" customHeight="1" x14ac:dyDescent="0.2">
      <c r="A84" s="1627"/>
      <c r="B84" s="1552"/>
      <c r="C84" s="1498"/>
      <c r="D84" s="1468"/>
      <c r="E84" s="940"/>
      <c r="F84" s="940"/>
      <c r="G84" s="940"/>
      <c r="H84" s="940"/>
      <c r="I84" s="940"/>
    </row>
    <row r="85" spans="1:9" s="124" customFormat="1" ht="21" customHeight="1" x14ac:dyDescent="0.2">
      <c r="A85" s="1627"/>
      <c r="B85" s="1552"/>
      <c r="C85" s="1498"/>
      <c r="D85" s="1468"/>
      <c r="E85" s="940"/>
      <c r="F85" s="940"/>
      <c r="G85" s="940"/>
      <c r="H85" s="940"/>
      <c r="I85" s="940"/>
    </row>
    <row r="86" spans="1:9" s="124" customFormat="1" ht="21" customHeight="1" x14ac:dyDescent="0.2">
      <c r="A86" s="1627"/>
      <c r="B86" s="1552"/>
      <c r="C86" s="1498"/>
      <c r="D86" s="1468"/>
      <c r="E86" s="940"/>
      <c r="F86" s="940"/>
      <c r="G86" s="940"/>
      <c r="H86" s="940"/>
      <c r="I86" s="940"/>
    </row>
    <row r="87" spans="1:9" ht="21" customHeight="1" x14ac:dyDescent="0.2">
      <c r="A87" s="1627"/>
      <c r="B87" s="1710"/>
      <c r="C87" s="412"/>
      <c r="D87" s="1711"/>
      <c r="E87" s="940"/>
      <c r="F87" s="940"/>
      <c r="G87" s="940"/>
      <c r="H87" s="940"/>
      <c r="I87" s="940"/>
    </row>
    <row r="88" spans="1:9" ht="21" customHeight="1" x14ac:dyDescent="0.2">
      <c r="A88" s="1627"/>
      <c r="B88" s="1712"/>
      <c r="C88" s="1496"/>
      <c r="D88" s="1711"/>
      <c r="E88" s="940"/>
      <c r="F88" s="940"/>
      <c r="G88" s="940"/>
      <c r="H88" s="940"/>
      <c r="I88" s="940"/>
    </row>
    <row r="89" spans="1:9" ht="21" customHeight="1" x14ac:dyDescent="0.2">
      <c r="A89" s="1627"/>
      <c r="B89" s="1466"/>
      <c r="C89" s="1498"/>
      <c r="D89" s="1711"/>
      <c r="E89" s="940"/>
      <c r="F89" s="940"/>
      <c r="G89" s="940"/>
      <c r="H89" s="940"/>
      <c r="I89" s="940"/>
    </row>
    <row r="90" spans="1:9" ht="21" customHeight="1" x14ac:dyDescent="0.2">
      <c r="A90" s="1627"/>
      <c r="B90" s="1552"/>
      <c r="C90" s="1498"/>
      <c r="D90" s="1468"/>
      <c r="E90" s="940"/>
      <c r="F90" s="940"/>
      <c r="G90" s="940"/>
      <c r="H90" s="940"/>
      <c r="I90" s="940"/>
    </row>
    <row r="91" spans="1:9" ht="21" customHeight="1" x14ac:dyDescent="0.2">
      <c r="A91" s="1627"/>
      <c r="B91" s="1552"/>
      <c r="C91" s="1498"/>
      <c r="D91" s="1468"/>
      <c r="E91" s="940"/>
      <c r="F91" s="940"/>
      <c r="G91" s="940"/>
      <c r="H91" s="940"/>
      <c r="I91" s="940"/>
    </row>
    <row r="92" spans="1:9" ht="21" customHeight="1" x14ac:dyDescent="0.2">
      <c r="A92" s="1627"/>
      <c r="B92" s="1552"/>
      <c r="C92" s="1498"/>
      <c r="D92" s="1468"/>
      <c r="E92" s="940"/>
      <c r="F92" s="940"/>
      <c r="G92" s="940"/>
      <c r="H92" s="940"/>
      <c r="I92" s="940"/>
    </row>
    <row r="93" spans="1:9" ht="21" customHeight="1" x14ac:dyDescent="0.2">
      <c r="A93" s="1713"/>
      <c r="B93" s="1552"/>
      <c r="C93" s="1498"/>
      <c r="D93" s="1468"/>
      <c r="E93" s="940"/>
      <c r="F93" s="940"/>
      <c r="G93" s="940"/>
      <c r="H93" s="940"/>
      <c r="I93" s="940"/>
    </row>
  </sheetData>
  <sheetProtection password="C4B9" sheet="1" objects="1" scenarios="1"/>
  <sortState ref="A3:BO13">
    <sortCondition ref="H3:H13"/>
  </sortState>
  <customSheetViews>
    <customSheetView guid="{B8E02330-2419-4DE6-AD01-7ACC7A5D18DD}" scale="75">
      <pageMargins left="0.75" right="0.75" top="1" bottom="1" header="0.5" footer="0.5"/>
      <pageSetup orientation="portrait" r:id="rId1"/>
      <headerFooter alignWithMargins="0"/>
    </customSheetView>
  </customSheetViews>
  <mergeCells count="38">
    <mergeCell ref="B61:B65"/>
    <mergeCell ref="H48:H56"/>
    <mergeCell ref="H41:H45"/>
    <mergeCell ref="H34:H40"/>
    <mergeCell ref="I57:I60"/>
    <mergeCell ref="I61:I65"/>
    <mergeCell ref="A20:A23"/>
    <mergeCell ref="A48:A56"/>
    <mergeCell ref="A1:B1"/>
    <mergeCell ref="I12:I18"/>
    <mergeCell ref="B12:B18"/>
    <mergeCell ref="A12:A18"/>
    <mergeCell ref="A24:A28"/>
    <mergeCell ref="I20:I23"/>
    <mergeCell ref="I24:I28"/>
    <mergeCell ref="B20:B23"/>
    <mergeCell ref="H24:H28"/>
    <mergeCell ref="H20:H23"/>
    <mergeCell ref="A41:A45"/>
    <mergeCell ref="H12:H18"/>
    <mergeCell ref="E1:I1"/>
    <mergeCell ref="B24:B28"/>
    <mergeCell ref="A61:A65"/>
    <mergeCell ref="I29:I33"/>
    <mergeCell ref="B34:B40"/>
    <mergeCell ref="I34:I40"/>
    <mergeCell ref="B29:B33"/>
    <mergeCell ref="A29:A33"/>
    <mergeCell ref="A34:A40"/>
    <mergeCell ref="I48:I56"/>
    <mergeCell ref="I41:I45"/>
    <mergeCell ref="B41:B45"/>
    <mergeCell ref="B57:B60"/>
    <mergeCell ref="A57:A60"/>
    <mergeCell ref="H29:H33"/>
    <mergeCell ref="B48:B56"/>
    <mergeCell ref="H61:H65"/>
    <mergeCell ref="H57:H60"/>
  </mergeCells>
  <phoneticPr fontId="12" type="noConversion"/>
  <conditionalFormatting sqref="D12:D15 D17:D22 D24 D26:D35 D37:D44 D46:D56 D61:D65">
    <cfRule type="cellIs" dxfId="2" priority="1" operator="greaterThan">
      <formula>0</formula>
    </cfRule>
  </conditionalFormatting>
  <pageMargins left="0.75" right="0.75" top="1" bottom="1" header="0.5" footer="0.5"/>
  <pageSetup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2" tint="-0.499984740745262"/>
  </sheetPr>
  <dimension ref="A1:AH45"/>
  <sheetViews>
    <sheetView zoomScaleNormal="100" workbookViewId="0">
      <selection activeCell="B1" sqref="B1:K1"/>
    </sheetView>
  </sheetViews>
  <sheetFormatPr defaultColWidth="5.83203125" defaultRowHeight="12.75" x14ac:dyDescent="0.2"/>
  <cols>
    <col min="1" max="1" width="66.83203125" style="9" customWidth="1"/>
    <col min="2" max="2" width="22.1640625" style="46" customWidth="1"/>
    <col min="3" max="3" width="15.1640625" style="46" customWidth="1"/>
    <col min="4" max="4" width="17.33203125" style="46" customWidth="1"/>
    <col min="5" max="5" width="19.33203125" style="51" customWidth="1"/>
    <col min="6" max="6" width="17.83203125" style="51" customWidth="1"/>
    <col min="7" max="7" width="10.1640625" style="51" customWidth="1"/>
    <col min="8" max="8" width="11.33203125" style="51" customWidth="1"/>
    <col min="9" max="9" width="12.5" style="51" customWidth="1"/>
    <col min="10" max="10" width="12.33203125" style="9" customWidth="1"/>
    <col min="11" max="11" width="12.6640625" style="9" customWidth="1"/>
    <col min="12" max="12" width="11.5" style="9" bestFit="1" customWidth="1"/>
    <col min="13" max="13" width="9.83203125" style="9" bestFit="1" customWidth="1"/>
    <col min="14" max="14" width="8.5" style="9" bestFit="1" customWidth="1"/>
    <col min="15" max="15" width="9.83203125" style="9" bestFit="1" customWidth="1"/>
    <col min="16" max="16" width="8.5" style="9" bestFit="1" customWidth="1"/>
    <col min="17" max="17" width="12.1640625" style="9" bestFit="1" customWidth="1"/>
    <col min="18" max="18" width="11.5" style="9" bestFit="1" customWidth="1"/>
    <col min="19" max="16384" width="5.83203125" style="9"/>
  </cols>
  <sheetData>
    <row r="1" spans="1:26" ht="21.75" customHeight="1" x14ac:dyDescent="0.2">
      <c r="A1" s="692"/>
      <c r="B1" s="2256"/>
      <c r="C1" s="2256"/>
      <c r="D1" s="2256"/>
      <c r="E1" s="2256"/>
      <c r="F1" s="2256"/>
      <c r="G1" s="2256"/>
      <c r="H1" s="2256"/>
      <c r="I1" s="2256"/>
      <c r="J1" s="2256"/>
      <c r="K1" s="2256"/>
    </row>
    <row r="2" spans="1:26" ht="20.25" customHeight="1" x14ac:dyDescent="0.2">
      <c r="A2" s="692"/>
      <c r="B2" s="2256"/>
      <c r="C2" s="2256"/>
      <c r="D2" s="2256"/>
      <c r="E2" s="2256"/>
      <c r="F2" s="2256"/>
      <c r="G2" s="2256"/>
      <c r="H2" s="2256"/>
      <c r="I2" s="2256"/>
      <c r="J2" s="2256"/>
      <c r="K2" s="2256"/>
    </row>
    <row r="3" spans="1:26" ht="19.5" customHeight="1" x14ac:dyDescent="0.2">
      <c r="A3" s="692"/>
      <c r="B3" s="2256"/>
      <c r="C3" s="2256"/>
      <c r="D3" s="2256"/>
      <c r="E3" s="2256"/>
      <c r="F3" s="2256"/>
      <c r="G3" s="2256"/>
      <c r="H3" s="2256"/>
      <c r="I3" s="2256"/>
      <c r="J3" s="2256"/>
      <c r="K3" s="2256"/>
    </row>
    <row r="4" spans="1:26" ht="19.5" customHeight="1" x14ac:dyDescent="0.2">
      <c r="A4" s="692"/>
      <c r="B4" s="2256"/>
      <c r="C4" s="2256"/>
      <c r="D4" s="2256"/>
      <c r="E4" s="2256"/>
      <c r="F4" s="2256"/>
      <c r="G4" s="2256"/>
      <c r="H4" s="2256"/>
      <c r="I4" s="2256"/>
      <c r="J4" s="2256"/>
      <c r="K4" s="2256"/>
    </row>
    <row r="5" spans="1:26" x14ac:dyDescent="0.2">
      <c r="B5" s="47"/>
      <c r="C5" s="48"/>
      <c r="D5" s="54"/>
      <c r="E5" s="55"/>
      <c r="F5" s="56"/>
      <c r="G5" s="56"/>
    </row>
    <row r="6" spans="1:26" ht="41.25" customHeight="1" x14ac:dyDescent="0.2">
      <c r="A6" s="2259" t="s">
        <v>859</v>
      </c>
      <c r="B6" s="2259"/>
      <c r="C6" s="50"/>
      <c r="D6" s="52"/>
      <c r="E6" s="53"/>
      <c r="F6" s="53"/>
      <c r="G6" s="53"/>
    </row>
    <row r="7" spans="1:26" ht="14.25" customHeight="1" thickBot="1" x14ac:dyDescent="0.25">
      <c r="A7" s="49"/>
      <c r="B7" s="49"/>
      <c r="C7" s="49"/>
      <c r="D7" s="306"/>
      <c r="E7" s="306"/>
      <c r="F7" s="306"/>
      <c r="G7" s="306"/>
      <c r="H7" s="306"/>
      <c r="I7" s="306"/>
      <c r="J7" s="7"/>
      <c r="K7" s="7"/>
      <c r="L7" s="7"/>
      <c r="M7" s="7"/>
      <c r="N7" s="7"/>
      <c r="O7" s="7"/>
      <c r="P7" s="7"/>
      <c r="Q7" s="7"/>
      <c r="R7" s="7"/>
    </row>
    <row r="8" spans="1:26" ht="19.5" customHeight="1" thickBot="1" x14ac:dyDescent="0.25">
      <c r="A8" s="2257" t="s">
        <v>1118</v>
      </c>
      <c r="B8" s="2258"/>
      <c r="C8" s="1114"/>
      <c r="D8" s="1115"/>
      <c r="E8" s="1116"/>
      <c r="F8" s="1116"/>
      <c r="G8" s="1112"/>
      <c r="H8" s="1112"/>
      <c r="I8" s="1112"/>
      <c r="J8" s="675"/>
      <c r="K8" s="675"/>
      <c r="L8" s="1113"/>
      <c r="M8" s="1113"/>
      <c r="N8" s="675"/>
      <c r="O8" s="675"/>
      <c r="P8" s="675"/>
      <c r="Q8" s="675"/>
      <c r="R8" s="675"/>
      <c r="S8" s="675"/>
      <c r="T8" s="675"/>
      <c r="U8" s="675"/>
      <c r="V8" s="675"/>
    </row>
    <row r="9" spans="1:26" ht="36" customHeight="1" thickBot="1" x14ac:dyDescent="0.35">
      <c r="A9" s="1119" t="s">
        <v>1128</v>
      </c>
      <c r="B9" s="1120" t="s">
        <v>1959</v>
      </c>
      <c r="C9" s="673"/>
      <c r="D9" s="673"/>
      <c r="E9" s="676"/>
      <c r="F9" s="677"/>
      <c r="G9" s="677"/>
      <c r="H9" s="678"/>
      <c r="I9" s="678"/>
      <c r="J9" s="678"/>
      <c r="K9" s="678"/>
      <c r="L9" s="678"/>
      <c r="M9" s="678"/>
      <c r="N9" s="678"/>
      <c r="O9" s="678"/>
      <c r="P9" s="678"/>
      <c r="Q9" s="678"/>
      <c r="R9" s="678"/>
      <c r="S9" s="675"/>
      <c r="T9" s="675"/>
      <c r="U9" s="675"/>
      <c r="V9" s="675"/>
    </row>
    <row r="10" spans="1:26" s="177" customFormat="1" ht="24" customHeight="1" x14ac:dyDescent="0.3">
      <c r="A10" s="693" t="s">
        <v>267</v>
      </c>
      <c r="B10" s="1117">
        <f>IFERROR(IF(WS!$G118&gt;10,10, IF(WS!$G118&lt;0,0, WS!$G118)),"")</f>
        <v>0.55555555555555558</v>
      </c>
      <c r="C10" s="674"/>
      <c r="D10" s="674"/>
      <c r="E10" s="674"/>
      <c r="F10" s="2255"/>
      <c r="G10" s="679"/>
      <c r="H10" s="680"/>
      <c r="I10" s="680"/>
      <c r="J10" s="680"/>
      <c r="K10" s="680"/>
      <c r="L10" s="680"/>
      <c r="M10" s="680"/>
      <c r="N10" s="680"/>
      <c r="O10" s="680"/>
      <c r="P10" s="680"/>
      <c r="Q10" s="680"/>
      <c r="R10" s="680"/>
      <c r="S10" s="681"/>
      <c r="T10" s="681"/>
      <c r="U10" s="681"/>
      <c r="V10" s="681"/>
    </row>
    <row r="11" spans="1:26" s="177" customFormat="1" ht="24" customHeight="1" thickBot="1" x14ac:dyDescent="0.35">
      <c r="A11" s="694" t="s">
        <v>266</v>
      </c>
      <c r="B11" s="709">
        <f>IFERROR(IF(SFS!$G53&gt;10,10, IF(SFS!$G53&lt;0,0, SFS!$G53)),"")</f>
        <v>10</v>
      </c>
      <c r="C11" s="674"/>
      <c r="D11" s="674"/>
      <c r="E11" s="674"/>
      <c r="F11" s="2255"/>
      <c r="G11" s="679"/>
      <c r="H11" s="680"/>
      <c r="I11" s="680"/>
      <c r="J11" s="680"/>
      <c r="K11" s="680"/>
      <c r="L11" s="680"/>
      <c r="M11" s="680"/>
      <c r="N11" s="680"/>
      <c r="O11" s="680"/>
      <c r="P11" s="680"/>
      <c r="Q11" s="680"/>
      <c r="R11" s="680"/>
      <c r="S11" s="681"/>
      <c r="T11" s="681"/>
      <c r="U11" s="681"/>
      <c r="V11" s="681"/>
    </row>
    <row r="12" spans="1:26" s="177" customFormat="1" ht="24" customHeight="1" x14ac:dyDescent="0.3">
      <c r="A12" s="695" t="s">
        <v>2459</v>
      </c>
      <c r="B12" s="1117">
        <f>IFERROR(IF(WC!$G69&gt;10,10, IF(WC!$G69&lt;0,0, WC!$G69)),"")</f>
        <v>0</v>
      </c>
      <c r="C12" s="674"/>
      <c r="D12" s="674"/>
      <c r="E12" s="674"/>
      <c r="F12" s="2255"/>
      <c r="G12" s="679"/>
      <c r="H12" s="680"/>
      <c r="I12" s="680"/>
      <c r="J12" s="680"/>
      <c r="K12" s="680"/>
      <c r="L12" s="680"/>
      <c r="M12" s="680"/>
      <c r="N12" s="680"/>
      <c r="O12" s="680"/>
      <c r="P12" s="680"/>
      <c r="Q12" s="680"/>
      <c r="R12" s="680"/>
      <c r="S12" s="681"/>
      <c r="T12" s="681"/>
      <c r="U12" s="681"/>
      <c r="V12" s="681"/>
    </row>
    <row r="13" spans="1:26" s="177" customFormat="1" ht="24" customHeight="1" x14ac:dyDescent="0.3">
      <c r="A13" s="696" t="s">
        <v>2460</v>
      </c>
      <c r="B13" s="1118">
        <f>IFERROR(IF(SR!$G105&gt;10,10, IF(SR!$G105&lt;0,0, SR!$G105)),"")</f>
        <v>0.76388888888888895</v>
      </c>
      <c r="C13" s="674"/>
      <c r="D13" s="674"/>
      <c r="E13" s="674"/>
      <c r="F13" s="2255"/>
      <c r="G13" s="679"/>
      <c r="H13" s="680"/>
      <c r="I13" s="680"/>
      <c r="J13" s="680"/>
      <c r="K13" s="680"/>
      <c r="L13" s="680"/>
      <c r="M13" s="680"/>
      <c r="N13" s="680"/>
      <c r="O13" s="680"/>
      <c r="P13" s="680"/>
      <c r="Q13" s="680"/>
      <c r="R13" s="680"/>
      <c r="S13" s="681"/>
      <c r="T13" s="681"/>
      <c r="U13" s="681"/>
      <c r="V13" s="681"/>
      <c r="W13" s="1111"/>
      <c r="X13" s="1111"/>
      <c r="Y13" s="1111"/>
    </row>
    <row r="14" spans="1:26" s="177" customFormat="1" ht="24" customHeight="1" x14ac:dyDescent="0.3">
      <c r="A14" s="696" t="s">
        <v>262</v>
      </c>
      <c r="B14" s="1118">
        <f>IFERROR(IF( PR!$G121&gt;10,10, IF( PR!$G121&lt;0,0, PR!$G121)),"")</f>
        <v>0.27777777777777779</v>
      </c>
      <c r="C14" s="674"/>
      <c r="D14" s="674"/>
      <c r="E14" s="674"/>
      <c r="F14" s="2255"/>
      <c r="G14" s="679"/>
      <c r="H14" s="680"/>
      <c r="I14" s="680"/>
      <c r="J14" s="680"/>
      <c r="K14" s="680"/>
      <c r="L14" s="680"/>
      <c r="M14" s="680"/>
      <c r="N14" s="680"/>
      <c r="O14" s="680"/>
      <c r="P14" s="680"/>
      <c r="Q14" s="680"/>
      <c r="R14" s="680"/>
      <c r="S14" s="681"/>
      <c r="T14" s="681"/>
      <c r="U14" s="681"/>
      <c r="V14" s="681"/>
    </row>
    <row r="15" spans="1:26" s="177" customFormat="1" ht="24" customHeight="1" thickBot="1" x14ac:dyDescent="0.35">
      <c r="A15" s="694" t="s">
        <v>51</v>
      </c>
      <c r="B15" s="709">
        <f>IFERROR(IF(NR!$G152&gt;10,10, IF(NR!$G152&lt;0,0, NR!$G152)),"")</f>
        <v>1.4</v>
      </c>
      <c r="C15" s="674"/>
      <c r="D15" s="674"/>
      <c r="E15" s="674"/>
      <c r="F15" s="2255"/>
      <c r="G15" s="679"/>
      <c r="H15" s="680"/>
      <c r="I15" s="680"/>
      <c r="J15" s="680"/>
      <c r="K15" s="680"/>
      <c r="L15" s="680"/>
      <c r="M15" s="680"/>
      <c r="N15" s="680"/>
      <c r="O15" s="680"/>
      <c r="P15" s="680"/>
      <c r="Q15" s="680"/>
      <c r="R15" s="680"/>
      <c r="S15" s="681"/>
      <c r="T15" s="681"/>
      <c r="U15" s="681"/>
      <c r="V15" s="681"/>
      <c r="W15" s="1111"/>
      <c r="X15" s="1111"/>
      <c r="Y15" s="1111"/>
      <c r="Z15" s="1111"/>
    </row>
    <row r="16" spans="1:26" s="177" customFormat="1" ht="24" customHeight="1" x14ac:dyDescent="0.3">
      <c r="A16" s="695" t="s">
        <v>235</v>
      </c>
      <c r="B16" s="1117">
        <f>IFERROR(IF(OE!$G133&gt;10,10, IF(OE!$G133&lt;0,0, OE!$G133)),"")</f>
        <v>0</v>
      </c>
      <c r="C16" s="674"/>
      <c r="D16" s="674"/>
      <c r="E16" s="674"/>
      <c r="F16" s="2255"/>
      <c r="G16" s="679"/>
      <c r="H16" s="680"/>
      <c r="I16" s="680"/>
      <c r="J16" s="680"/>
      <c r="K16" s="680"/>
      <c r="L16" s="680"/>
      <c r="M16" s="680"/>
      <c r="N16" s="680"/>
      <c r="O16" s="680"/>
      <c r="P16" s="680"/>
      <c r="Q16" s="680"/>
      <c r="R16" s="680"/>
      <c r="S16" s="681"/>
      <c r="T16" s="681"/>
      <c r="U16" s="681"/>
      <c r="V16" s="681"/>
    </row>
    <row r="17" spans="1:34" s="177" customFormat="1" ht="24" customHeight="1" x14ac:dyDescent="0.3">
      <c r="A17" s="696" t="s">
        <v>705</v>
      </c>
      <c r="B17" s="1118">
        <f>IFERROR(IF(FH!$G132&gt;10,10, IF(FH!$G132&lt;0,0, FH!$G132)),"")</f>
        <v>0.95</v>
      </c>
      <c r="C17" s="674"/>
      <c r="D17" s="674"/>
      <c r="E17" s="674"/>
      <c r="F17" s="2255"/>
      <c r="G17" s="679"/>
      <c r="H17" s="680"/>
      <c r="I17" s="680"/>
      <c r="J17" s="680"/>
      <c r="K17" s="680"/>
      <c r="L17" s="680"/>
      <c r="M17" s="680"/>
      <c r="N17" s="680"/>
      <c r="O17" s="680"/>
      <c r="P17" s="680"/>
      <c r="Q17" s="680"/>
      <c r="R17" s="680"/>
      <c r="S17" s="681"/>
      <c r="T17" s="681"/>
      <c r="U17" s="681"/>
      <c r="V17" s="681"/>
      <c r="W17" s="1111"/>
      <c r="X17" s="1111"/>
      <c r="Y17" s="1111"/>
      <c r="Z17" s="1111"/>
      <c r="AA17" s="1111"/>
      <c r="AB17" s="1111"/>
      <c r="AC17" s="1111"/>
      <c r="AD17" s="1111"/>
      <c r="AE17" s="1111"/>
      <c r="AF17" s="1111"/>
      <c r="AG17" s="1111"/>
      <c r="AH17" s="1111"/>
    </row>
    <row r="18" spans="1:34" s="177" customFormat="1" ht="24" customHeight="1" x14ac:dyDescent="0.3">
      <c r="A18" s="696" t="s">
        <v>13</v>
      </c>
      <c r="B18" s="1118">
        <f>IFERROR(IF(INV!$G168&gt;10,10, IF(INV!$G168&lt;0,0, INV!$G168)),"")</f>
        <v>0.95833333333333326</v>
      </c>
      <c r="C18" s="674"/>
      <c r="D18" s="674"/>
      <c r="E18" s="674"/>
      <c r="F18" s="682"/>
      <c r="G18" s="681"/>
      <c r="H18" s="677"/>
      <c r="I18" s="677"/>
      <c r="J18" s="677"/>
      <c r="K18" s="677"/>
      <c r="L18" s="677"/>
      <c r="M18" s="677"/>
      <c r="N18" s="677"/>
      <c r="O18" s="677"/>
      <c r="P18" s="677"/>
      <c r="Q18" s="677"/>
      <c r="R18" s="677"/>
      <c r="S18" s="681"/>
      <c r="T18" s="681"/>
      <c r="U18" s="681"/>
      <c r="V18" s="681"/>
    </row>
    <row r="19" spans="1:34" s="177" customFormat="1" ht="24" customHeight="1" x14ac:dyDescent="0.2">
      <c r="A19" s="696" t="s">
        <v>65</v>
      </c>
      <c r="B19" s="1118">
        <f>IFERROR(IF(AM!$G146&gt;10,10, IF(AM!$G146&lt;0,0, AM!$G146)),"")</f>
        <v>1.4</v>
      </c>
      <c r="C19" s="674"/>
      <c r="D19" s="674"/>
      <c r="E19" s="674"/>
      <c r="F19" s="681"/>
      <c r="G19" s="681"/>
      <c r="H19" s="681"/>
      <c r="I19" s="681"/>
      <c r="J19" s="681"/>
      <c r="K19" s="681"/>
      <c r="L19" s="681"/>
      <c r="M19" s="681"/>
      <c r="N19" s="681"/>
      <c r="O19" s="681"/>
      <c r="P19" s="681"/>
      <c r="Q19" s="681"/>
      <c r="R19" s="681"/>
      <c r="S19" s="681"/>
      <c r="T19" s="681"/>
      <c r="U19" s="681"/>
      <c r="V19" s="681"/>
    </row>
    <row r="20" spans="1:34" s="177" customFormat="1" ht="30.75" customHeight="1" x14ac:dyDescent="0.3">
      <c r="A20" s="696" t="s">
        <v>623</v>
      </c>
      <c r="B20" s="1118">
        <f>IFERROR(IF(WB!$G171&gt;10,10, IF(WB!$G171&lt;0,0, WB!$G171)),"")</f>
        <v>0.41666666666666663</v>
      </c>
      <c r="C20" s="674"/>
      <c r="D20" s="674"/>
      <c r="E20" s="674"/>
      <c r="F20" s="683"/>
      <c r="G20" s="683"/>
      <c r="H20" s="683"/>
      <c r="I20" s="684"/>
      <c r="J20" s="684"/>
      <c r="K20" s="681"/>
      <c r="L20" s="681"/>
      <c r="M20" s="681"/>
      <c r="N20" s="681"/>
      <c r="O20" s="681"/>
      <c r="P20" s="681"/>
      <c r="Q20" s="681"/>
      <c r="R20" s="681"/>
      <c r="S20" s="681"/>
      <c r="T20" s="681"/>
      <c r="U20" s="681"/>
      <c r="V20" s="681"/>
    </row>
    <row r="21" spans="1:34" s="177" customFormat="1" ht="24" customHeight="1" x14ac:dyDescent="0.3">
      <c r="A21" s="696" t="s">
        <v>157</v>
      </c>
      <c r="B21" s="1118">
        <f>IFERROR(IF(SBRM!$G162&gt;10,10, IF(SBRM!$G162&lt;0,0, SBRM!$G162)),"")</f>
        <v>1.6666666666666665</v>
      </c>
      <c r="C21" s="674"/>
      <c r="D21" s="674"/>
      <c r="E21" s="674"/>
      <c r="F21" s="685"/>
      <c r="G21" s="677"/>
      <c r="H21" s="680"/>
      <c r="I21" s="684"/>
      <c r="J21" s="681"/>
      <c r="K21" s="681"/>
      <c r="L21" s="681"/>
      <c r="M21" s="681"/>
      <c r="N21" s="681"/>
      <c r="O21" s="681"/>
      <c r="P21" s="681"/>
      <c r="Q21" s="681"/>
      <c r="R21" s="681"/>
      <c r="S21" s="681"/>
      <c r="T21" s="681"/>
      <c r="U21" s="681"/>
      <c r="V21" s="681"/>
    </row>
    <row r="22" spans="1:34" s="177" customFormat="1" ht="24" customHeight="1" thickBot="1" x14ac:dyDescent="0.35">
      <c r="A22" s="862" t="s">
        <v>1249</v>
      </c>
      <c r="B22" s="709">
        <f>IFERROR(IF(PH!$G195&gt;10,10, IF(PH!$G195&lt;0,0, PH!$G195)),"")</f>
        <v>0.4285714285714286</v>
      </c>
      <c r="C22" s="674"/>
      <c r="D22" s="674"/>
      <c r="E22" s="674"/>
      <c r="F22" s="685"/>
      <c r="G22" s="677"/>
      <c r="H22" s="680"/>
      <c r="I22" s="684"/>
      <c r="J22" s="681"/>
      <c r="K22" s="681"/>
      <c r="L22" s="681"/>
      <c r="M22" s="681"/>
      <c r="N22" s="681"/>
      <c r="O22" s="681"/>
      <c r="P22" s="681"/>
      <c r="Q22" s="681"/>
      <c r="R22" s="681"/>
      <c r="S22" s="681"/>
      <c r="T22" s="681"/>
      <c r="U22" s="681"/>
      <c r="V22" s="681"/>
    </row>
    <row r="23" spans="1:34" s="177" customFormat="1" ht="24" customHeight="1" x14ac:dyDescent="0.3">
      <c r="A23" s="1166" t="s">
        <v>1958</v>
      </c>
      <c r="B23" s="1121">
        <f>IFERROR(IF(FIRE!$G21&gt;10,10, IF(FIRE!$G21&lt;0,0, FIRE!$G21)),"")</f>
        <v>0</v>
      </c>
      <c r="C23" s="674"/>
      <c r="D23" s="674"/>
      <c r="E23" s="674"/>
      <c r="F23" s="685"/>
      <c r="G23" s="677"/>
      <c r="H23" s="680"/>
      <c r="I23" s="684"/>
      <c r="J23" s="681"/>
      <c r="K23" s="681"/>
      <c r="L23" s="681"/>
      <c r="M23" s="681"/>
      <c r="N23" s="681"/>
      <c r="O23" s="681"/>
      <c r="P23" s="681"/>
      <c r="Q23" s="681"/>
      <c r="R23" s="681"/>
      <c r="S23" s="681"/>
      <c r="T23" s="681"/>
      <c r="U23" s="681"/>
      <c r="V23" s="681"/>
    </row>
    <row r="24" spans="1:34" s="177" customFormat="1" ht="21.75" customHeight="1" thickBot="1" x14ac:dyDescent="0.35">
      <c r="A24" s="863" t="s">
        <v>654</v>
      </c>
      <c r="B24" s="709">
        <f>IFERROR(IF(HU!$G79&gt;10,10, IF(HU!$G79&lt;0,0, HU!$G79)),"")</f>
        <v>2.25</v>
      </c>
      <c r="C24" s="674"/>
      <c r="D24" s="674"/>
      <c r="E24" s="686"/>
      <c r="F24" s="685"/>
      <c r="G24" s="677"/>
      <c r="H24" s="680"/>
      <c r="I24" s="684"/>
      <c r="J24" s="681"/>
      <c r="K24" s="681"/>
      <c r="L24" s="681"/>
      <c r="M24" s="681"/>
      <c r="N24" s="681"/>
      <c r="O24" s="681"/>
      <c r="P24" s="681"/>
      <c r="Q24" s="681"/>
      <c r="R24" s="681"/>
      <c r="S24" s="681"/>
      <c r="T24" s="681"/>
      <c r="U24" s="681"/>
      <c r="V24" s="681"/>
    </row>
    <row r="25" spans="1:34" ht="16.5" x14ac:dyDescent="0.3">
      <c r="C25" s="672"/>
      <c r="D25" s="672"/>
      <c r="E25" s="687"/>
      <c r="F25" s="685"/>
      <c r="G25" s="677"/>
      <c r="H25" s="680"/>
      <c r="I25" s="684"/>
      <c r="J25" s="675"/>
      <c r="K25" s="675"/>
      <c r="L25" s="675"/>
      <c r="M25" s="675"/>
      <c r="N25" s="675"/>
      <c r="O25" s="675"/>
      <c r="P25" s="675"/>
      <c r="Q25" s="675"/>
      <c r="R25" s="675"/>
      <c r="S25" s="675"/>
      <c r="T25" s="675"/>
      <c r="U25" s="675"/>
      <c r="V25" s="675"/>
    </row>
    <row r="26" spans="1:34" ht="37.5" customHeight="1" x14ac:dyDescent="0.3">
      <c r="A26" s="671"/>
      <c r="B26" s="672"/>
      <c r="C26" s="672"/>
      <c r="D26" s="672"/>
      <c r="E26" s="688"/>
      <c r="F26" s="685"/>
      <c r="G26" s="677"/>
      <c r="H26" s="680"/>
      <c r="I26" s="684"/>
      <c r="J26" s="684"/>
      <c r="K26" s="675"/>
      <c r="L26" s="675"/>
      <c r="M26" s="675"/>
      <c r="N26" s="675"/>
      <c r="O26" s="675"/>
      <c r="P26" s="675"/>
      <c r="Q26" s="675"/>
      <c r="R26" s="675"/>
      <c r="S26" s="675"/>
      <c r="T26" s="675"/>
      <c r="U26" s="675"/>
      <c r="V26" s="675"/>
    </row>
    <row r="27" spans="1:34" ht="16.5" x14ac:dyDescent="0.3">
      <c r="B27" s="672"/>
      <c r="C27" s="672"/>
      <c r="D27" s="672"/>
      <c r="E27" s="687"/>
      <c r="F27" s="685"/>
      <c r="G27" s="677"/>
      <c r="H27" s="680"/>
      <c r="I27" s="684"/>
      <c r="J27" s="684"/>
      <c r="K27" s="675"/>
      <c r="L27" s="675"/>
      <c r="M27" s="675"/>
      <c r="N27" s="675"/>
      <c r="O27" s="675"/>
      <c r="P27" s="675"/>
      <c r="Q27" s="675"/>
      <c r="R27" s="675"/>
      <c r="S27" s="675"/>
      <c r="T27" s="675"/>
      <c r="U27" s="675"/>
      <c r="V27" s="675"/>
    </row>
    <row r="28" spans="1:34" ht="16.5" x14ac:dyDescent="0.3">
      <c r="B28" s="672"/>
      <c r="C28" s="672"/>
      <c r="D28" s="672"/>
      <c r="E28" s="710"/>
      <c r="F28" s="711"/>
      <c r="G28" s="712"/>
      <c r="H28" s="712"/>
      <c r="I28" s="713"/>
      <c r="J28" s="713"/>
      <c r="K28" s="714"/>
      <c r="L28" s="714"/>
      <c r="M28" s="714"/>
      <c r="N28" s="714"/>
      <c r="O28" s="714"/>
      <c r="P28" s="714"/>
      <c r="Q28" s="714"/>
      <c r="R28" s="714"/>
      <c r="S28" s="675"/>
      <c r="T28" s="675"/>
      <c r="U28" s="675"/>
      <c r="V28" s="675"/>
    </row>
    <row r="29" spans="1:34" ht="15.75" x14ac:dyDescent="0.2">
      <c r="B29" s="672"/>
      <c r="C29" s="672"/>
      <c r="D29" s="672"/>
      <c r="E29" s="710"/>
      <c r="F29" s="689"/>
      <c r="G29" s="690"/>
      <c r="H29" s="690"/>
      <c r="I29" s="690"/>
      <c r="J29" s="690"/>
      <c r="K29" s="690"/>
      <c r="L29" s="690"/>
      <c r="M29" s="690"/>
      <c r="N29" s="690"/>
      <c r="O29" s="690"/>
      <c r="P29" s="690"/>
      <c r="Q29" s="690"/>
      <c r="R29" s="690"/>
      <c r="S29" s="675"/>
      <c r="T29" s="675"/>
      <c r="U29" s="675"/>
      <c r="V29" s="675"/>
    </row>
    <row r="30" spans="1:34" ht="15.75" x14ac:dyDescent="0.2">
      <c r="B30" s="672"/>
      <c r="C30" s="672"/>
      <c r="D30" s="1110"/>
      <c r="E30" s="1110"/>
      <c r="F30" s="690"/>
      <c r="G30" s="691"/>
      <c r="H30" s="691"/>
      <c r="I30" s="691"/>
      <c r="J30" s="691"/>
      <c r="K30" s="691"/>
      <c r="L30" s="691"/>
      <c r="M30" s="691"/>
      <c r="N30" s="691"/>
      <c r="O30" s="691"/>
      <c r="P30" s="691"/>
      <c r="Q30" s="691"/>
      <c r="R30" s="691"/>
      <c r="S30" s="675"/>
      <c r="T30" s="675"/>
      <c r="U30" s="675"/>
      <c r="V30" s="675"/>
    </row>
    <row r="31" spans="1:34" ht="15.75" x14ac:dyDescent="0.2">
      <c r="A31" s="7"/>
      <c r="B31" s="7"/>
      <c r="C31" s="672"/>
      <c r="D31" s="1110"/>
      <c r="E31" s="1110"/>
      <c r="F31" s="690"/>
      <c r="G31" s="691"/>
      <c r="H31" s="691"/>
      <c r="I31" s="691"/>
      <c r="J31" s="691"/>
      <c r="K31" s="691"/>
      <c r="L31" s="691"/>
      <c r="M31" s="691"/>
      <c r="N31" s="691"/>
      <c r="O31" s="691"/>
      <c r="P31" s="691"/>
      <c r="Q31" s="691"/>
      <c r="R31" s="691"/>
      <c r="S31" s="675"/>
      <c r="T31" s="675"/>
      <c r="U31" s="675"/>
      <c r="V31" s="675"/>
    </row>
    <row r="32" spans="1:34" ht="15.75" x14ac:dyDescent="0.2">
      <c r="B32" s="672"/>
      <c r="C32" s="672"/>
      <c r="D32" s="1110"/>
      <c r="E32" s="1110"/>
      <c r="F32" s="690"/>
      <c r="G32" s="691"/>
      <c r="H32" s="691"/>
      <c r="I32" s="691"/>
      <c r="J32" s="691"/>
      <c r="K32" s="691"/>
      <c r="L32" s="691"/>
      <c r="M32" s="691"/>
      <c r="N32" s="691"/>
      <c r="O32" s="691"/>
      <c r="P32" s="691"/>
      <c r="Q32" s="691"/>
      <c r="R32" s="691"/>
      <c r="S32" s="675"/>
      <c r="T32" s="675"/>
      <c r="U32" s="675"/>
      <c r="V32" s="675"/>
    </row>
    <row r="33" spans="2:22" ht="15.75" x14ac:dyDescent="0.2">
      <c r="B33" s="672"/>
      <c r="C33" s="672"/>
      <c r="D33" s="1110"/>
      <c r="E33" s="1110"/>
      <c r="F33" s="690"/>
      <c r="G33" s="691"/>
      <c r="H33" s="691"/>
      <c r="I33" s="691"/>
      <c r="J33" s="691"/>
      <c r="K33" s="691"/>
      <c r="L33" s="691"/>
      <c r="M33" s="691"/>
      <c r="N33" s="691"/>
      <c r="O33" s="691"/>
      <c r="P33" s="691"/>
      <c r="Q33" s="691"/>
      <c r="R33" s="691"/>
      <c r="S33" s="675"/>
      <c r="T33" s="675"/>
      <c r="U33" s="675"/>
      <c r="V33" s="675"/>
    </row>
    <row r="34" spans="2:22" ht="15.75" x14ac:dyDescent="0.2">
      <c r="B34" s="672"/>
      <c r="C34" s="672"/>
      <c r="D34" s="1110"/>
      <c r="E34" s="1110"/>
      <c r="F34" s="690"/>
      <c r="G34" s="691"/>
      <c r="H34" s="691"/>
      <c r="I34" s="691"/>
      <c r="J34" s="691"/>
      <c r="K34" s="691"/>
      <c r="L34" s="691"/>
      <c r="M34" s="691"/>
      <c r="N34" s="691"/>
      <c r="O34" s="691"/>
      <c r="P34" s="691"/>
      <c r="Q34" s="691"/>
      <c r="R34" s="691"/>
      <c r="S34" s="675"/>
      <c r="T34" s="675"/>
      <c r="U34" s="675"/>
      <c r="V34" s="675"/>
    </row>
    <row r="35" spans="2:22" ht="15.75" x14ac:dyDescent="0.2">
      <c r="B35" s="672"/>
      <c r="C35" s="672"/>
      <c r="D35" s="1110"/>
      <c r="E35" s="1110"/>
      <c r="F35" s="690"/>
      <c r="G35" s="691"/>
      <c r="H35" s="691"/>
      <c r="I35" s="691"/>
      <c r="J35" s="691"/>
      <c r="K35" s="691"/>
      <c r="L35" s="691"/>
      <c r="M35" s="691"/>
      <c r="N35" s="691"/>
      <c r="O35" s="691"/>
      <c r="P35" s="691"/>
      <c r="Q35" s="691"/>
      <c r="R35" s="691"/>
      <c r="S35" s="675"/>
      <c r="T35" s="675"/>
      <c r="U35" s="675"/>
      <c r="V35" s="675"/>
    </row>
    <row r="36" spans="2:22" ht="15.75" x14ac:dyDescent="0.2">
      <c r="B36" s="672"/>
      <c r="C36" s="672"/>
      <c r="D36" s="1110"/>
      <c r="E36" s="1110"/>
      <c r="F36" s="690"/>
      <c r="G36" s="691"/>
      <c r="H36" s="691"/>
      <c r="I36" s="691"/>
      <c r="J36" s="691"/>
      <c r="K36" s="691"/>
      <c r="L36" s="691"/>
      <c r="M36" s="691"/>
      <c r="N36" s="691"/>
      <c r="O36" s="691"/>
      <c r="P36" s="691"/>
      <c r="Q36" s="691"/>
      <c r="R36" s="691"/>
      <c r="S36" s="675"/>
      <c r="T36" s="675"/>
      <c r="U36" s="675"/>
      <c r="V36" s="675"/>
    </row>
    <row r="37" spans="2:22" ht="15.75" x14ac:dyDescent="0.2">
      <c r="B37" s="672"/>
      <c r="C37" s="672"/>
      <c r="D37" s="1110"/>
      <c r="E37" s="1110"/>
      <c r="F37" s="690"/>
      <c r="G37" s="691"/>
      <c r="H37" s="691"/>
      <c r="I37" s="691"/>
      <c r="J37" s="691"/>
      <c r="K37" s="691"/>
      <c r="L37" s="691"/>
      <c r="M37" s="691"/>
      <c r="N37" s="691"/>
      <c r="O37" s="691"/>
      <c r="P37" s="691"/>
      <c r="Q37" s="691"/>
      <c r="R37" s="691"/>
      <c r="S37" s="675"/>
      <c r="T37" s="675"/>
      <c r="U37" s="675"/>
      <c r="V37" s="675"/>
    </row>
    <row r="38" spans="2:22" ht="15.75" x14ac:dyDescent="0.2">
      <c r="B38" s="672"/>
      <c r="C38" s="672"/>
      <c r="D38" s="1110"/>
      <c r="E38" s="1110"/>
      <c r="F38" s="690"/>
      <c r="G38" s="691"/>
      <c r="H38" s="691"/>
      <c r="I38" s="691"/>
      <c r="J38" s="691"/>
      <c r="K38" s="691"/>
      <c r="L38" s="691"/>
      <c r="M38" s="691"/>
      <c r="N38" s="691"/>
      <c r="O38" s="691"/>
      <c r="P38" s="691"/>
      <c r="Q38" s="691"/>
      <c r="R38" s="691"/>
      <c r="S38" s="675"/>
      <c r="T38" s="675"/>
      <c r="U38" s="675"/>
      <c r="V38" s="675"/>
    </row>
    <row r="39" spans="2:22" ht="15.75" x14ac:dyDescent="0.2">
      <c r="B39" s="672"/>
      <c r="C39" s="672"/>
      <c r="D39" s="1110"/>
      <c r="E39" s="1110"/>
      <c r="F39" s="690"/>
      <c r="G39" s="691"/>
      <c r="H39" s="691"/>
      <c r="I39" s="691"/>
      <c r="J39" s="691"/>
      <c r="K39" s="691"/>
      <c r="L39" s="691"/>
      <c r="M39" s="691"/>
      <c r="N39" s="691"/>
      <c r="O39" s="691"/>
      <c r="P39" s="691"/>
      <c r="Q39" s="691"/>
      <c r="R39" s="691"/>
      <c r="S39" s="675"/>
      <c r="T39" s="675"/>
      <c r="U39" s="675"/>
      <c r="V39" s="675"/>
    </row>
    <row r="40" spans="2:22" ht="15.75" x14ac:dyDescent="0.2">
      <c r="B40" s="672"/>
      <c r="C40" s="672"/>
      <c r="D40" s="1110"/>
      <c r="E40" s="1110"/>
      <c r="F40" s="690" t="s">
        <v>516</v>
      </c>
      <c r="G40" s="691">
        <v>10</v>
      </c>
      <c r="H40" s="691">
        <v>2.170015327568783</v>
      </c>
      <c r="I40" s="691">
        <v>10</v>
      </c>
      <c r="J40" s="691">
        <v>1.3613012483333333</v>
      </c>
      <c r="K40" s="691">
        <v>10</v>
      </c>
      <c r="L40" s="691">
        <v>1.3535442445833334</v>
      </c>
      <c r="M40" s="691"/>
      <c r="N40" s="691"/>
      <c r="O40" s="691"/>
      <c r="P40" s="691"/>
      <c r="Q40" s="691"/>
      <c r="R40" s="691"/>
      <c r="S40" s="675"/>
      <c r="T40" s="675"/>
      <c r="U40" s="675"/>
      <c r="V40" s="675"/>
    </row>
    <row r="41" spans="2:22" ht="15.75" x14ac:dyDescent="0.2">
      <c r="B41" s="672"/>
      <c r="C41" s="672"/>
      <c r="D41" s="1110"/>
      <c r="E41" s="1110"/>
      <c r="F41" s="690" t="s">
        <v>517</v>
      </c>
      <c r="G41" s="691">
        <v>7.8589086118301585</v>
      </c>
      <c r="H41" s="691">
        <v>2.3605539013455021</v>
      </c>
      <c r="I41" s="691">
        <v>7.871541955833333</v>
      </c>
      <c r="J41" s="691">
        <v>3.487968728611111</v>
      </c>
      <c r="K41" s="691">
        <v>8.0435897574074087</v>
      </c>
      <c r="L41" s="691">
        <v>3.54272569375</v>
      </c>
      <c r="M41" s="691"/>
      <c r="N41" s="691"/>
      <c r="O41" s="691"/>
      <c r="P41" s="691"/>
      <c r="Q41" s="691"/>
      <c r="R41" s="691"/>
      <c r="S41" s="675"/>
      <c r="T41" s="675"/>
      <c r="U41" s="675"/>
      <c r="V41" s="675"/>
    </row>
    <row r="42" spans="2:22" ht="15.75" x14ac:dyDescent="0.2">
      <c r="B42" s="672"/>
      <c r="C42" s="672"/>
      <c r="D42" s="1110"/>
      <c r="E42" s="1110"/>
      <c r="F42" s="690" t="s">
        <v>519</v>
      </c>
      <c r="G42" s="691">
        <v>7.6962532355238098</v>
      </c>
      <c r="H42" s="691">
        <v>2.1835193160544217</v>
      </c>
      <c r="I42" s="691">
        <v>7.9573209432500001</v>
      </c>
      <c r="J42" s="691">
        <v>2.886473983138889</v>
      </c>
      <c r="K42" s="691">
        <v>8.5472264932962965</v>
      </c>
      <c r="L42" s="691">
        <v>2.8834063551666667</v>
      </c>
      <c r="M42" s="691"/>
      <c r="N42" s="691"/>
      <c r="O42" s="691"/>
      <c r="P42" s="691"/>
      <c r="Q42" s="691"/>
      <c r="R42" s="691"/>
      <c r="S42" s="675"/>
      <c r="T42" s="675"/>
      <c r="U42" s="675"/>
      <c r="V42" s="675"/>
    </row>
    <row r="43" spans="2:22" ht="15.75" x14ac:dyDescent="0.2">
      <c r="B43" s="672"/>
      <c r="C43" s="672"/>
      <c r="D43" s="1110"/>
      <c r="E43" s="1110"/>
      <c r="F43" s="690" t="s">
        <v>1116</v>
      </c>
      <c r="G43" s="691">
        <v>6.4603991528285718</v>
      </c>
      <c r="H43" s="691">
        <v>1.2687647593333335</v>
      </c>
      <c r="I43" s="691">
        <v>8.5681033908749988</v>
      </c>
      <c r="J43" s="691">
        <v>0.74711518975000002</v>
      </c>
      <c r="K43" s="691">
        <v>8.1682851186250005</v>
      </c>
      <c r="L43" s="691">
        <v>1.3721151897500001</v>
      </c>
      <c r="M43" s="691">
        <v>6.4603991528285718</v>
      </c>
      <c r="N43" s="691">
        <v>1.2687647593333335</v>
      </c>
      <c r="O43" s="691">
        <v>8.5681033908749988</v>
      </c>
      <c r="P43" s="691">
        <v>0.74711518975000002</v>
      </c>
      <c r="Q43" s="691">
        <v>8.1682851186250005</v>
      </c>
      <c r="R43" s="691">
        <v>1.3721151897500001</v>
      </c>
      <c r="S43" s="675"/>
      <c r="T43" s="675"/>
      <c r="U43" s="675"/>
      <c r="V43" s="675"/>
    </row>
    <row r="44" spans="2:22" x14ac:dyDescent="0.2">
      <c r="B44" s="672"/>
      <c r="C44" s="672"/>
      <c r="D44" s="672"/>
      <c r="E44" s="710"/>
      <c r="F44" s="710"/>
      <c r="G44" s="710"/>
      <c r="H44" s="710"/>
      <c r="I44" s="710"/>
      <c r="J44" s="714"/>
      <c r="K44" s="714"/>
      <c r="L44" s="714"/>
      <c r="M44" s="714"/>
      <c r="N44" s="714"/>
      <c r="O44" s="714"/>
      <c r="P44" s="714"/>
      <c r="Q44" s="714"/>
      <c r="R44" s="714"/>
      <c r="S44" s="675"/>
      <c r="T44" s="675"/>
      <c r="U44" s="675"/>
      <c r="V44" s="675"/>
    </row>
    <row r="45" spans="2:22" x14ac:dyDescent="0.2">
      <c r="C45" s="672"/>
      <c r="D45" s="672"/>
      <c r="E45" s="687"/>
      <c r="F45" s="687"/>
      <c r="G45" s="687"/>
      <c r="H45" s="687"/>
      <c r="I45" s="687"/>
      <c r="J45" s="675"/>
      <c r="K45" s="675"/>
      <c r="L45" s="675"/>
      <c r="M45" s="675"/>
      <c r="N45" s="675"/>
      <c r="O45" s="675"/>
      <c r="P45" s="675"/>
      <c r="Q45" s="675"/>
      <c r="R45" s="675"/>
      <c r="S45" s="675"/>
      <c r="T45" s="675"/>
      <c r="U45" s="675"/>
      <c r="V45" s="675"/>
    </row>
  </sheetData>
  <sheetProtection password="C4B9" sheet="1" objects="1" scenarios="1"/>
  <customSheetViews>
    <customSheetView guid="{B8E02330-2419-4DE6-AD01-7ACC7A5D18DD}" hiddenColumns="1">
      <selection sqref="A1:I1"/>
      <pageMargins left="0.25" right="0.25" top="0.75" bottom="0.75" header="0.3" footer="0.3"/>
      <pageSetup orientation="portrait" r:id="rId1"/>
      <headerFooter alignWithMargins="0"/>
    </customSheetView>
  </customSheetViews>
  <mergeCells count="10">
    <mergeCell ref="F10:F11"/>
    <mergeCell ref="F12:F13"/>
    <mergeCell ref="F14:F15"/>
    <mergeCell ref="F16:F17"/>
    <mergeCell ref="B1:K1"/>
    <mergeCell ref="B2:K2"/>
    <mergeCell ref="B3:K3"/>
    <mergeCell ref="B4:K4"/>
    <mergeCell ref="A8:B8"/>
    <mergeCell ref="A6:B6"/>
  </mergeCells>
  <phoneticPr fontId="12" type="noConversion"/>
  <conditionalFormatting sqref="E24 B10:D24">
    <cfRule type="expression" dxfId="1" priority="9">
      <formula>"enter =ISERROR(B8:C31)"</formula>
    </cfRule>
  </conditionalFormatting>
  <pageMargins left="0.25" right="0.25" top="0.75" bottom="0.75" header="0.3" footer="0.3"/>
  <pageSetup scale="70"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34"/>
  <sheetViews>
    <sheetView workbookViewId="0"/>
  </sheetViews>
  <sheetFormatPr defaultRowHeight="12.75" x14ac:dyDescent="0.2"/>
  <cols>
    <col min="1" max="1" width="33.83203125" style="1253" customWidth="1"/>
    <col min="2" max="2" width="30.83203125" style="1253" customWidth="1"/>
    <col min="3" max="3" width="16.33203125" style="1253" customWidth="1"/>
  </cols>
  <sheetData>
    <row r="1" spans="1:3" ht="28.15" customHeight="1" x14ac:dyDescent="0.3">
      <c r="A1" s="1249" t="s">
        <v>1360</v>
      </c>
      <c r="B1" s="1249" t="s">
        <v>1361</v>
      </c>
      <c r="C1" s="1250" t="s">
        <v>1362</v>
      </c>
    </row>
    <row r="2" spans="1:3" x14ac:dyDescent="0.2">
      <c r="A2" s="1251" t="s">
        <v>1367</v>
      </c>
      <c r="B2" s="1251" t="s">
        <v>1368</v>
      </c>
      <c r="C2" s="1252">
        <v>1</v>
      </c>
    </row>
    <row r="3" spans="1:3" x14ac:dyDescent="0.2">
      <c r="A3" s="1251" t="s">
        <v>1375</v>
      </c>
      <c r="B3" s="1251" t="s">
        <v>1376</v>
      </c>
      <c r="C3" s="1252">
        <v>1</v>
      </c>
    </row>
    <row r="4" spans="1:3" x14ac:dyDescent="0.2">
      <c r="A4" s="1251" t="s">
        <v>1377</v>
      </c>
      <c r="B4" s="1251" t="s">
        <v>1378</v>
      </c>
      <c r="C4" s="1252">
        <v>1</v>
      </c>
    </row>
    <row r="5" spans="1:3" x14ac:dyDescent="0.2">
      <c r="A5" s="1251" t="s">
        <v>1405</v>
      </c>
      <c r="B5" s="1251" t="s">
        <v>1406</v>
      </c>
      <c r="C5" s="1252">
        <v>1</v>
      </c>
    </row>
    <row r="6" spans="1:3" x14ac:dyDescent="0.2">
      <c r="A6" s="1251" t="s">
        <v>1409</v>
      </c>
      <c r="B6" s="1251" t="s">
        <v>1410</v>
      </c>
      <c r="C6" s="1252">
        <v>1</v>
      </c>
    </row>
    <row r="7" spans="1:3" x14ac:dyDescent="0.2">
      <c r="A7" s="1251" t="s">
        <v>1411</v>
      </c>
      <c r="B7" s="1251" t="s">
        <v>1412</v>
      </c>
      <c r="C7" s="1252">
        <v>1</v>
      </c>
    </row>
    <row r="8" spans="1:3" x14ac:dyDescent="0.2">
      <c r="A8" s="1251" t="s">
        <v>1413</v>
      </c>
      <c r="B8" s="1251" t="s">
        <v>1414</v>
      </c>
      <c r="C8" s="1252">
        <v>1</v>
      </c>
    </row>
    <row r="9" spans="1:3" x14ac:dyDescent="0.2">
      <c r="A9" s="1251" t="s">
        <v>1415</v>
      </c>
      <c r="B9" s="1251" t="s">
        <v>1416</v>
      </c>
      <c r="C9" s="1252">
        <v>1</v>
      </c>
    </row>
    <row r="10" spans="1:3" x14ac:dyDescent="0.2">
      <c r="A10" s="1251" t="s">
        <v>1417</v>
      </c>
      <c r="B10" s="1251" t="s">
        <v>1418</v>
      </c>
      <c r="C10" s="1252">
        <v>1</v>
      </c>
    </row>
    <row r="11" spans="1:3" x14ac:dyDescent="0.2">
      <c r="A11" s="1251" t="s">
        <v>1419</v>
      </c>
      <c r="B11" s="1251" t="s">
        <v>1420</v>
      </c>
      <c r="C11" s="1252">
        <v>1</v>
      </c>
    </row>
    <row r="12" spans="1:3" x14ac:dyDescent="0.2">
      <c r="A12" s="1251" t="s">
        <v>1421</v>
      </c>
      <c r="B12" s="1251" t="s">
        <v>1422</v>
      </c>
      <c r="C12" s="1252">
        <v>1</v>
      </c>
    </row>
    <row r="13" spans="1:3" x14ac:dyDescent="0.2">
      <c r="A13" s="1251" t="s">
        <v>1423</v>
      </c>
      <c r="B13" s="1251" t="s">
        <v>1424</v>
      </c>
      <c r="C13" s="1252">
        <v>1</v>
      </c>
    </row>
    <row r="14" spans="1:3" x14ac:dyDescent="0.2">
      <c r="A14" s="1251" t="s">
        <v>1425</v>
      </c>
      <c r="B14" s="1251" t="s">
        <v>1426</v>
      </c>
      <c r="C14" s="1252">
        <v>1</v>
      </c>
    </row>
    <row r="15" spans="1:3" x14ac:dyDescent="0.2">
      <c r="A15" s="1251" t="s">
        <v>1427</v>
      </c>
      <c r="B15" s="1251" t="s">
        <v>1428</v>
      </c>
      <c r="C15" s="1252">
        <v>1</v>
      </c>
    </row>
    <row r="16" spans="1:3" x14ac:dyDescent="0.2">
      <c r="A16" s="1251" t="s">
        <v>1429</v>
      </c>
      <c r="B16" s="1251" t="s">
        <v>1430</v>
      </c>
      <c r="C16" s="1252">
        <v>1</v>
      </c>
    </row>
    <row r="17" spans="1:3" x14ac:dyDescent="0.2">
      <c r="A17" s="1251" t="s">
        <v>1431</v>
      </c>
      <c r="B17" s="1251" t="s">
        <v>1432</v>
      </c>
      <c r="C17" s="1252">
        <v>1</v>
      </c>
    </row>
    <row r="18" spans="1:3" x14ac:dyDescent="0.2">
      <c r="A18" s="1251" t="s">
        <v>1433</v>
      </c>
      <c r="B18" s="1251" t="s">
        <v>1434</v>
      </c>
      <c r="C18" s="1252">
        <v>1</v>
      </c>
    </row>
    <row r="19" spans="1:3" x14ac:dyDescent="0.2">
      <c r="A19" s="1251" t="s">
        <v>1435</v>
      </c>
      <c r="B19" s="1251" t="s">
        <v>1436</v>
      </c>
      <c r="C19" s="1252">
        <v>1</v>
      </c>
    </row>
    <row r="20" spans="1:3" x14ac:dyDescent="0.2">
      <c r="A20" s="1251" t="s">
        <v>1437</v>
      </c>
      <c r="B20" s="1251" t="s">
        <v>1438</v>
      </c>
      <c r="C20" s="1252">
        <v>1</v>
      </c>
    </row>
    <row r="21" spans="1:3" x14ac:dyDescent="0.2">
      <c r="A21" s="1251" t="s">
        <v>1447</v>
      </c>
      <c r="B21" s="1251" t="s">
        <v>1448</v>
      </c>
      <c r="C21" s="1252">
        <v>1</v>
      </c>
    </row>
    <row r="22" spans="1:3" x14ac:dyDescent="0.2">
      <c r="A22" s="1251" t="s">
        <v>1457</v>
      </c>
      <c r="B22" s="1251" t="s">
        <v>1458</v>
      </c>
      <c r="C22" s="1252">
        <v>1</v>
      </c>
    </row>
    <row r="23" spans="1:3" x14ac:dyDescent="0.2">
      <c r="A23" s="1251" t="s">
        <v>1459</v>
      </c>
      <c r="B23" s="1251" t="s">
        <v>1460</v>
      </c>
      <c r="C23" s="1252">
        <v>1</v>
      </c>
    </row>
    <row r="24" spans="1:3" x14ac:dyDescent="0.2">
      <c r="A24" s="1251" t="s">
        <v>1461</v>
      </c>
      <c r="B24" s="1251" t="s">
        <v>1462</v>
      </c>
      <c r="C24" s="1252">
        <v>1</v>
      </c>
    </row>
    <row r="25" spans="1:3" x14ac:dyDescent="0.2">
      <c r="A25" s="1251" t="s">
        <v>1463</v>
      </c>
      <c r="B25" s="1251" t="s">
        <v>1464</v>
      </c>
      <c r="C25" s="1252">
        <v>1</v>
      </c>
    </row>
    <row r="26" spans="1:3" x14ac:dyDescent="0.2">
      <c r="A26" s="1251" t="s">
        <v>1474</v>
      </c>
      <c r="B26" s="1251" t="s">
        <v>1475</v>
      </c>
      <c r="C26" s="1252">
        <v>1</v>
      </c>
    </row>
    <row r="27" spans="1:3" x14ac:dyDescent="0.2">
      <c r="A27" s="1251" t="s">
        <v>1482</v>
      </c>
      <c r="B27" s="1251" t="s">
        <v>1483</v>
      </c>
      <c r="C27" s="1252">
        <v>1</v>
      </c>
    </row>
    <row r="28" spans="1:3" x14ac:dyDescent="0.2">
      <c r="A28" s="1251" t="s">
        <v>1492</v>
      </c>
      <c r="B28" s="1251" t="s">
        <v>1493</v>
      </c>
      <c r="C28" s="1252">
        <v>1</v>
      </c>
    </row>
    <row r="29" spans="1:3" x14ac:dyDescent="0.2">
      <c r="A29" s="1251" t="s">
        <v>1494</v>
      </c>
      <c r="B29" s="1251" t="s">
        <v>1495</v>
      </c>
      <c r="C29" s="1252">
        <v>1</v>
      </c>
    </row>
    <row r="30" spans="1:3" x14ac:dyDescent="0.2">
      <c r="A30" s="1251" t="s">
        <v>1496</v>
      </c>
      <c r="B30" s="1251" t="s">
        <v>1497</v>
      </c>
      <c r="C30" s="1252">
        <v>1</v>
      </c>
    </row>
    <row r="31" spans="1:3" x14ac:dyDescent="0.2">
      <c r="A31" s="1251" t="s">
        <v>1504</v>
      </c>
      <c r="B31" s="1251" t="s">
        <v>1505</v>
      </c>
      <c r="C31" s="1252">
        <v>1</v>
      </c>
    </row>
    <row r="32" spans="1:3" x14ac:dyDescent="0.2">
      <c r="A32" s="1251" t="s">
        <v>1508</v>
      </c>
      <c r="B32" s="1251" t="s">
        <v>1509</v>
      </c>
      <c r="C32" s="1252">
        <v>1</v>
      </c>
    </row>
    <row r="33" spans="1:3" x14ac:dyDescent="0.2">
      <c r="A33" s="1251" t="s">
        <v>1512</v>
      </c>
      <c r="B33" s="1251" t="s">
        <v>1513</v>
      </c>
      <c r="C33" s="1252">
        <v>1</v>
      </c>
    </row>
    <row r="34" spans="1:3" x14ac:dyDescent="0.2">
      <c r="A34" s="1251" t="s">
        <v>1514</v>
      </c>
      <c r="B34" s="1251" t="s">
        <v>1513</v>
      </c>
      <c r="C34" s="1252">
        <v>1</v>
      </c>
    </row>
    <row r="35" spans="1:3" x14ac:dyDescent="0.2">
      <c r="A35" s="1251" t="s">
        <v>1515</v>
      </c>
      <c r="B35" s="1251" t="s">
        <v>1516</v>
      </c>
      <c r="C35" s="1252">
        <v>1</v>
      </c>
    </row>
    <row r="36" spans="1:3" x14ac:dyDescent="0.2">
      <c r="A36" s="1251" t="s">
        <v>1517</v>
      </c>
      <c r="B36" s="1251" t="s">
        <v>1518</v>
      </c>
      <c r="C36" s="1252">
        <v>1</v>
      </c>
    </row>
    <row r="37" spans="1:3" x14ac:dyDescent="0.2">
      <c r="A37" s="1251" t="s">
        <v>1519</v>
      </c>
      <c r="B37" s="1251" t="s">
        <v>1520</v>
      </c>
      <c r="C37" s="1252">
        <v>1</v>
      </c>
    </row>
    <row r="38" spans="1:3" x14ac:dyDescent="0.2">
      <c r="A38" s="1251" t="s">
        <v>1521</v>
      </c>
      <c r="B38" s="1251" t="s">
        <v>1522</v>
      </c>
      <c r="C38" s="1252">
        <v>1</v>
      </c>
    </row>
    <row r="39" spans="1:3" x14ac:dyDescent="0.2">
      <c r="A39" s="1251" t="s">
        <v>1523</v>
      </c>
      <c r="B39" s="1251" t="s">
        <v>1524</v>
      </c>
      <c r="C39" s="1252">
        <v>1</v>
      </c>
    </row>
    <row r="40" spans="1:3" x14ac:dyDescent="0.2">
      <c r="A40" s="1251" t="s">
        <v>1531</v>
      </c>
      <c r="B40" s="1251" t="s">
        <v>1532</v>
      </c>
      <c r="C40" s="1252">
        <v>1</v>
      </c>
    </row>
    <row r="41" spans="1:3" x14ac:dyDescent="0.2">
      <c r="A41" s="1251" t="s">
        <v>1533</v>
      </c>
      <c r="B41" s="1251" t="s">
        <v>1534</v>
      </c>
      <c r="C41" s="1252">
        <v>1</v>
      </c>
    </row>
    <row r="42" spans="1:3" x14ac:dyDescent="0.2">
      <c r="A42" s="1251" t="s">
        <v>1535</v>
      </c>
      <c r="B42" s="1251" t="s">
        <v>1536</v>
      </c>
      <c r="C42" s="1252">
        <v>1</v>
      </c>
    </row>
    <row r="43" spans="1:3" x14ac:dyDescent="0.2">
      <c r="A43" s="1251" t="s">
        <v>1537</v>
      </c>
      <c r="B43" s="1251" t="s">
        <v>1538</v>
      </c>
      <c r="C43" s="1252">
        <v>1</v>
      </c>
    </row>
    <row r="44" spans="1:3" x14ac:dyDescent="0.2">
      <c r="A44" s="1251" t="s">
        <v>1555</v>
      </c>
      <c r="B44" s="1251" t="s">
        <v>1556</v>
      </c>
      <c r="C44" s="1252">
        <v>1</v>
      </c>
    </row>
    <row r="45" spans="1:3" x14ac:dyDescent="0.2">
      <c r="A45" s="1251" t="s">
        <v>1559</v>
      </c>
      <c r="B45" s="1251" t="s">
        <v>1560</v>
      </c>
      <c r="C45" s="1252">
        <v>1</v>
      </c>
    </row>
    <row r="46" spans="1:3" x14ac:dyDescent="0.2">
      <c r="A46" s="1251" t="s">
        <v>1561</v>
      </c>
      <c r="B46" s="1251" t="s">
        <v>1562</v>
      </c>
      <c r="C46" s="1252">
        <v>1</v>
      </c>
    </row>
    <row r="47" spans="1:3" x14ac:dyDescent="0.2">
      <c r="A47" s="1251" t="s">
        <v>1563</v>
      </c>
      <c r="B47" s="1251" t="s">
        <v>1564</v>
      </c>
      <c r="C47" s="1252">
        <v>1</v>
      </c>
    </row>
    <row r="48" spans="1:3" x14ac:dyDescent="0.2">
      <c r="A48" s="1251" t="s">
        <v>1565</v>
      </c>
      <c r="B48" s="1251" t="s">
        <v>1566</v>
      </c>
      <c r="C48" s="1252">
        <v>1</v>
      </c>
    </row>
    <row r="49" spans="1:3" x14ac:dyDescent="0.2">
      <c r="A49" s="1251" t="s">
        <v>1577</v>
      </c>
      <c r="B49" s="1251" t="s">
        <v>1578</v>
      </c>
      <c r="C49" s="1252">
        <v>1</v>
      </c>
    </row>
    <row r="50" spans="1:3" x14ac:dyDescent="0.2">
      <c r="A50" s="1251" t="s">
        <v>1581</v>
      </c>
      <c r="B50" s="1251" t="s">
        <v>1582</v>
      </c>
      <c r="C50" s="1252">
        <v>1</v>
      </c>
    </row>
    <row r="51" spans="1:3" x14ac:dyDescent="0.2">
      <c r="A51" s="1251" t="s">
        <v>1587</v>
      </c>
      <c r="B51" s="1251" t="s">
        <v>1588</v>
      </c>
      <c r="C51" s="1252">
        <v>1</v>
      </c>
    </row>
    <row r="52" spans="1:3" x14ac:dyDescent="0.2">
      <c r="A52" s="1251" t="s">
        <v>1589</v>
      </c>
      <c r="B52" s="1251" t="s">
        <v>1590</v>
      </c>
      <c r="C52" s="1252">
        <v>1</v>
      </c>
    </row>
    <row r="53" spans="1:3" x14ac:dyDescent="0.2">
      <c r="A53" s="1251" t="s">
        <v>1591</v>
      </c>
      <c r="B53" s="1251" t="s">
        <v>1592</v>
      </c>
      <c r="C53" s="1252">
        <v>1</v>
      </c>
    </row>
    <row r="54" spans="1:3" x14ac:dyDescent="0.2">
      <c r="A54" s="1251" t="s">
        <v>1593</v>
      </c>
      <c r="B54" s="1251" t="s">
        <v>1594</v>
      </c>
      <c r="C54" s="1252">
        <v>1</v>
      </c>
    </row>
    <row r="55" spans="1:3" x14ac:dyDescent="0.2">
      <c r="A55" s="1251" t="s">
        <v>1597</v>
      </c>
      <c r="B55" s="1251" t="s">
        <v>1598</v>
      </c>
      <c r="C55" s="1252">
        <v>1</v>
      </c>
    </row>
    <row r="56" spans="1:3" x14ac:dyDescent="0.2">
      <c r="A56" s="1251" t="s">
        <v>1599</v>
      </c>
      <c r="B56" s="1251" t="s">
        <v>1600</v>
      </c>
      <c r="C56" s="1252">
        <v>1</v>
      </c>
    </row>
    <row r="57" spans="1:3" x14ac:dyDescent="0.2">
      <c r="A57" s="1251" t="s">
        <v>1603</v>
      </c>
      <c r="B57" s="1251" t="s">
        <v>1604</v>
      </c>
      <c r="C57" s="1252">
        <v>1</v>
      </c>
    </row>
    <row r="58" spans="1:3" x14ac:dyDescent="0.2">
      <c r="A58" s="1251" t="s">
        <v>1605</v>
      </c>
      <c r="B58" s="1251" t="s">
        <v>1606</v>
      </c>
      <c r="C58" s="1252">
        <v>1</v>
      </c>
    </row>
    <row r="59" spans="1:3" x14ac:dyDescent="0.2">
      <c r="A59" s="1251" t="s">
        <v>1607</v>
      </c>
      <c r="B59" s="1251" t="s">
        <v>1606</v>
      </c>
      <c r="C59" s="1252">
        <v>1</v>
      </c>
    </row>
    <row r="60" spans="1:3" x14ac:dyDescent="0.2">
      <c r="A60" s="1251" t="s">
        <v>1608</v>
      </c>
      <c r="B60" s="1251" t="s">
        <v>1609</v>
      </c>
      <c r="C60" s="1252">
        <v>1</v>
      </c>
    </row>
    <row r="61" spans="1:3" x14ac:dyDescent="0.2">
      <c r="A61" s="1251" t="s">
        <v>1610</v>
      </c>
      <c r="B61" s="1251" t="s">
        <v>1611</v>
      </c>
      <c r="C61" s="1252">
        <v>1</v>
      </c>
    </row>
    <row r="62" spans="1:3" x14ac:dyDescent="0.2">
      <c r="A62" s="1251" t="s">
        <v>1612</v>
      </c>
      <c r="B62" s="1251" t="s">
        <v>1613</v>
      </c>
      <c r="C62" s="1252">
        <v>1</v>
      </c>
    </row>
    <row r="63" spans="1:3" x14ac:dyDescent="0.2">
      <c r="A63" s="1251" t="s">
        <v>1626</v>
      </c>
      <c r="B63" s="1251" t="s">
        <v>1627</v>
      </c>
      <c r="C63" s="1252">
        <v>1</v>
      </c>
    </row>
    <row r="64" spans="1:3" x14ac:dyDescent="0.2">
      <c r="A64" s="1251" t="s">
        <v>1630</v>
      </c>
      <c r="B64" s="1251" t="s">
        <v>1631</v>
      </c>
      <c r="C64" s="1252">
        <v>1</v>
      </c>
    </row>
    <row r="65" spans="1:3" x14ac:dyDescent="0.2">
      <c r="A65" s="1251" t="s">
        <v>1634</v>
      </c>
      <c r="B65" s="1251" t="s">
        <v>1635</v>
      </c>
      <c r="C65" s="1252">
        <v>1</v>
      </c>
    </row>
    <row r="66" spans="1:3" x14ac:dyDescent="0.2">
      <c r="A66" s="1251" t="s">
        <v>1363</v>
      </c>
      <c r="B66" s="1251" t="s">
        <v>1364</v>
      </c>
      <c r="C66" s="1252"/>
    </row>
    <row r="67" spans="1:3" x14ac:dyDescent="0.2">
      <c r="A67" s="1251" t="s">
        <v>1365</v>
      </c>
      <c r="B67" s="1251" t="s">
        <v>1366</v>
      </c>
      <c r="C67" s="1252"/>
    </row>
    <row r="68" spans="1:3" x14ac:dyDescent="0.2">
      <c r="A68" s="1251" t="s">
        <v>1369</v>
      </c>
      <c r="B68" s="1251" t="s">
        <v>1370</v>
      </c>
      <c r="C68" s="1252"/>
    </row>
    <row r="69" spans="1:3" x14ac:dyDescent="0.2">
      <c r="A69" s="1251" t="s">
        <v>1371</v>
      </c>
      <c r="B69" s="1251" t="s">
        <v>1372</v>
      </c>
      <c r="C69" s="1252"/>
    </row>
    <row r="70" spans="1:3" x14ac:dyDescent="0.2">
      <c r="A70" s="1251" t="s">
        <v>1373</v>
      </c>
      <c r="B70" s="1251" t="s">
        <v>1374</v>
      </c>
      <c r="C70" s="1252"/>
    </row>
    <row r="71" spans="1:3" x14ac:dyDescent="0.2">
      <c r="A71" s="1251" t="s">
        <v>1379</v>
      </c>
      <c r="B71" s="1251" t="s">
        <v>1380</v>
      </c>
      <c r="C71" s="1252"/>
    </row>
    <row r="72" spans="1:3" x14ac:dyDescent="0.2">
      <c r="A72" s="1251" t="s">
        <v>1381</v>
      </c>
      <c r="B72" s="1251" t="s">
        <v>1382</v>
      </c>
      <c r="C72" s="1252"/>
    </row>
    <row r="73" spans="1:3" x14ac:dyDescent="0.2">
      <c r="A73" s="1251" t="s">
        <v>1383</v>
      </c>
      <c r="B73" s="1251" t="s">
        <v>1384</v>
      </c>
      <c r="C73" s="1252"/>
    </row>
    <row r="74" spans="1:3" x14ac:dyDescent="0.2">
      <c r="A74" s="1251" t="s">
        <v>1385</v>
      </c>
      <c r="B74" s="1251" t="s">
        <v>1386</v>
      </c>
      <c r="C74" s="1252"/>
    </row>
    <row r="75" spans="1:3" x14ac:dyDescent="0.2">
      <c r="A75" s="1251" t="s">
        <v>1387</v>
      </c>
      <c r="B75" s="1251" t="s">
        <v>1388</v>
      </c>
      <c r="C75" s="1252"/>
    </row>
    <row r="76" spans="1:3" x14ac:dyDescent="0.2">
      <c r="A76" s="1251" t="s">
        <v>1389</v>
      </c>
      <c r="B76" s="1251" t="s">
        <v>1390</v>
      </c>
      <c r="C76" s="1252"/>
    </row>
    <row r="77" spans="1:3" x14ac:dyDescent="0.2">
      <c r="A77" s="1251" t="s">
        <v>1391</v>
      </c>
      <c r="B77" s="1251" t="s">
        <v>1392</v>
      </c>
      <c r="C77" s="1252"/>
    </row>
    <row r="78" spans="1:3" x14ac:dyDescent="0.2">
      <c r="A78" s="1251" t="s">
        <v>1393</v>
      </c>
      <c r="B78" s="1251" t="s">
        <v>1394</v>
      </c>
      <c r="C78" s="1252"/>
    </row>
    <row r="79" spans="1:3" x14ac:dyDescent="0.2">
      <c r="A79" s="1251" t="s">
        <v>1395</v>
      </c>
      <c r="B79" s="1251" t="s">
        <v>1396</v>
      </c>
      <c r="C79" s="1252"/>
    </row>
    <row r="80" spans="1:3" x14ac:dyDescent="0.2">
      <c r="A80" s="1251" t="s">
        <v>1397</v>
      </c>
      <c r="B80" s="1251" t="s">
        <v>1398</v>
      </c>
      <c r="C80" s="1252"/>
    </row>
    <row r="81" spans="1:3" x14ac:dyDescent="0.2">
      <c r="A81" s="1251" t="s">
        <v>1399</v>
      </c>
      <c r="B81" s="1251" t="s">
        <v>1400</v>
      </c>
      <c r="C81" s="1252"/>
    </row>
    <row r="82" spans="1:3" x14ac:dyDescent="0.2">
      <c r="A82" s="1251" t="s">
        <v>1401</v>
      </c>
      <c r="B82" s="1251" t="s">
        <v>1402</v>
      </c>
      <c r="C82" s="1252"/>
    </row>
    <row r="83" spans="1:3" x14ac:dyDescent="0.2">
      <c r="A83" s="1251" t="s">
        <v>1403</v>
      </c>
      <c r="B83" s="1251" t="s">
        <v>1404</v>
      </c>
      <c r="C83" s="1252"/>
    </row>
    <row r="84" spans="1:3" x14ac:dyDescent="0.2">
      <c r="A84" s="1251" t="s">
        <v>1407</v>
      </c>
      <c r="B84" s="1251" t="s">
        <v>1408</v>
      </c>
      <c r="C84" s="1252"/>
    </row>
    <row r="85" spans="1:3" x14ac:dyDescent="0.2">
      <c r="A85" s="1251" t="s">
        <v>1439</v>
      </c>
      <c r="B85" s="1251" t="s">
        <v>1440</v>
      </c>
      <c r="C85" s="1252"/>
    </row>
    <row r="86" spans="1:3" x14ac:dyDescent="0.2">
      <c r="A86" s="1251" t="s">
        <v>1441</v>
      </c>
      <c r="B86" s="1251" t="s">
        <v>1442</v>
      </c>
      <c r="C86" s="1252"/>
    </row>
    <row r="87" spans="1:3" x14ac:dyDescent="0.2">
      <c r="A87" s="1251" t="s">
        <v>1443</v>
      </c>
      <c r="B87" s="1251" t="s">
        <v>1444</v>
      </c>
      <c r="C87" s="1252"/>
    </row>
    <row r="88" spans="1:3" x14ac:dyDescent="0.2">
      <c r="A88" s="1251" t="s">
        <v>1445</v>
      </c>
      <c r="B88" s="1251" t="s">
        <v>1446</v>
      </c>
      <c r="C88" s="1252"/>
    </row>
    <row r="89" spans="1:3" x14ac:dyDescent="0.2">
      <c r="A89" s="1251" t="s">
        <v>1449</v>
      </c>
      <c r="B89" s="1251" t="s">
        <v>1450</v>
      </c>
      <c r="C89" s="1252"/>
    </row>
    <row r="90" spans="1:3" x14ac:dyDescent="0.2">
      <c r="A90" s="1251" t="s">
        <v>1451</v>
      </c>
      <c r="B90" s="1251" t="s">
        <v>1452</v>
      </c>
      <c r="C90" s="1252"/>
    </row>
    <row r="91" spans="1:3" x14ac:dyDescent="0.2">
      <c r="A91" s="1251" t="s">
        <v>1453</v>
      </c>
      <c r="B91" s="1251" t="s">
        <v>1454</v>
      </c>
      <c r="C91" s="1252"/>
    </row>
    <row r="92" spans="1:3" x14ac:dyDescent="0.2">
      <c r="A92" s="1251" t="s">
        <v>1455</v>
      </c>
      <c r="B92" s="1251" t="s">
        <v>1456</v>
      </c>
      <c r="C92" s="1252"/>
    </row>
    <row r="93" spans="1:3" x14ac:dyDescent="0.2">
      <c r="A93" s="1251" t="s">
        <v>1465</v>
      </c>
      <c r="B93" s="1251" t="s">
        <v>1466</v>
      </c>
      <c r="C93" s="1252"/>
    </row>
    <row r="94" spans="1:3" x14ac:dyDescent="0.2">
      <c r="A94" s="1251" t="s">
        <v>1467</v>
      </c>
      <c r="B94" s="1251" t="s">
        <v>1466</v>
      </c>
      <c r="C94" s="1252"/>
    </row>
    <row r="95" spans="1:3" x14ac:dyDescent="0.2">
      <c r="A95" s="1251" t="s">
        <v>1468</v>
      </c>
      <c r="B95" s="1251" t="s">
        <v>1466</v>
      </c>
      <c r="C95" s="1252"/>
    </row>
    <row r="96" spans="1:3" x14ac:dyDescent="0.2">
      <c r="A96" s="1251" t="s">
        <v>1469</v>
      </c>
      <c r="B96" s="1251" t="s">
        <v>1466</v>
      </c>
      <c r="C96" s="1252"/>
    </row>
    <row r="97" spans="1:3" x14ac:dyDescent="0.2">
      <c r="A97" s="1251" t="s">
        <v>1470</v>
      </c>
      <c r="B97" s="1251" t="s">
        <v>1471</v>
      </c>
      <c r="C97" s="1252"/>
    </row>
    <row r="98" spans="1:3" x14ac:dyDescent="0.2">
      <c r="A98" s="1251" t="s">
        <v>1472</v>
      </c>
      <c r="B98" s="1251" t="s">
        <v>1473</v>
      </c>
      <c r="C98" s="1252"/>
    </row>
    <row r="99" spans="1:3" x14ac:dyDescent="0.2">
      <c r="A99" s="1251" t="s">
        <v>1476</v>
      </c>
      <c r="B99" s="1251" t="s">
        <v>1477</v>
      </c>
      <c r="C99" s="1252"/>
    </row>
    <row r="100" spans="1:3" x14ac:dyDescent="0.2">
      <c r="A100" s="1251" t="s">
        <v>1478</v>
      </c>
      <c r="B100" s="1251" t="s">
        <v>1479</v>
      </c>
      <c r="C100" s="1252"/>
    </row>
    <row r="101" spans="1:3" x14ac:dyDescent="0.2">
      <c r="A101" s="1251" t="s">
        <v>1480</v>
      </c>
      <c r="B101" s="1251" t="s">
        <v>1481</v>
      </c>
      <c r="C101" s="1252"/>
    </row>
    <row r="102" spans="1:3" x14ac:dyDescent="0.2">
      <c r="A102" s="1251" t="s">
        <v>1484</v>
      </c>
      <c r="B102" s="1251" t="s">
        <v>1485</v>
      </c>
      <c r="C102" s="1252"/>
    </row>
    <row r="103" spans="1:3" x14ac:dyDescent="0.2">
      <c r="A103" s="1251" t="s">
        <v>1486</v>
      </c>
      <c r="B103" s="1251" t="s">
        <v>1487</v>
      </c>
      <c r="C103" s="1252"/>
    </row>
    <row r="104" spans="1:3" x14ac:dyDescent="0.2">
      <c r="A104" s="1251" t="s">
        <v>1488</v>
      </c>
      <c r="B104" s="1251" t="s">
        <v>1489</v>
      </c>
      <c r="C104" s="1252"/>
    </row>
    <row r="105" spans="1:3" x14ac:dyDescent="0.2">
      <c r="A105" s="1251" t="s">
        <v>1490</v>
      </c>
      <c r="B105" s="1251" t="s">
        <v>1491</v>
      </c>
      <c r="C105" s="1252"/>
    </row>
    <row r="106" spans="1:3" x14ac:dyDescent="0.2">
      <c r="A106" s="1251" t="s">
        <v>1498</v>
      </c>
      <c r="B106" s="1251" t="s">
        <v>1499</v>
      </c>
      <c r="C106" s="1252"/>
    </row>
    <row r="107" spans="1:3" x14ac:dyDescent="0.2">
      <c r="A107" s="1251" t="s">
        <v>1500</v>
      </c>
      <c r="B107" s="1251" t="s">
        <v>1501</v>
      </c>
      <c r="C107" s="1252"/>
    </row>
    <row r="108" spans="1:3" x14ac:dyDescent="0.2">
      <c r="A108" s="1251" t="s">
        <v>1502</v>
      </c>
      <c r="B108" s="1251" t="s">
        <v>1503</v>
      </c>
      <c r="C108" s="1252"/>
    </row>
    <row r="109" spans="1:3" x14ac:dyDescent="0.2">
      <c r="A109" s="1251" t="s">
        <v>1506</v>
      </c>
      <c r="B109" s="1251" t="s">
        <v>1507</v>
      </c>
      <c r="C109" s="1252"/>
    </row>
    <row r="110" spans="1:3" x14ac:dyDescent="0.2">
      <c r="A110" s="1251" t="s">
        <v>1510</v>
      </c>
      <c r="B110" s="1251" t="s">
        <v>1511</v>
      </c>
      <c r="C110" s="1252"/>
    </row>
    <row r="111" spans="1:3" x14ac:dyDescent="0.2">
      <c r="A111" s="1251" t="s">
        <v>1525</v>
      </c>
      <c r="B111" s="1251" t="s">
        <v>1526</v>
      </c>
      <c r="C111" s="1252"/>
    </row>
    <row r="112" spans="1:3" x14ac:dyDescent="0.2">
      <c r="A112" s="1251" t="s">
        <v>1527</v>
      </c>
      <c r="B112" s="1251" t="s">
        <v>1528</v>
      </c>
      <c r="C112" s="1252"/>
    </row>
    <row r="113" spans="1:3" x14ac:dyDescent="0.2">
      <c r="A113" s="1251" t="s">
        <v>1529</v>
      </c>
      <c r="B113" s="1251" t="s">
        <v>1530</v>
      </c>
      <c r="C113" s="1252"/>
    </row>
    <row r="114" spans="1:3" x14ac:dyDescent="0.2">
      <c r="A114" s="1251" t="s">
        <v>1539</v>
      </c>
      <c r="B114" s="1251" t="s">
        <v>1540</v>
      </c>
      <c r="C114" s="1252"/>
    </row>
    <row r="115" spans="1:3" x14ac:dyDescent="0.2">
      <c r="A115" s="1251" t="s">
        <v>1541</v>
      </c>
      <c r="B115" s="1251" t="s">
        <v>1542</v>
      </c>
      <c r="C115" s="1252"/>
    </row>
    <row r="116" spans="1:3" x14ac:dyDescent="0.2">
      <c r="A116" s="1251" t="s">
        <v>1543</v>
      </c>
      <c r="B116" s="1251" t="s">
        <v>1544</v>
      </c>
      <c r="C116" s="1252"/>
    </row>
    <row r="117" spans="1:3" x14ac:dyDescent="0.2">
      <c r="A117" s="1251" t="s">
        <v>1545</v>
      </c>
      <c r="B117" s="1251" t="s">
        <v>1546</v>
      </c>
      <c r="C117" s="1252"/>
    </row>
    <row r="118" spans="1:3" x14ac:dyDescent="0.2">
      <c r="A118" s="1251" t="s">
        <v>1547</v>
      </c>
      <c r="B118" s="1251" t="s">
        <v>1548</v>
      </c>
      <c r="C118" s="1252"/>
    </row>
    <row r="119" spans="1:3" x14ac:dyDescent="0.2">
      <c r="A119" s="1251" t="s">
        <v>1549</v>
      </c>
      <c r="B119" s="1251" t="s">
        <v>1550</v>
      </c>
      <c r="C119" s="1252"/>
    </row>
    <row r="120" spans="1:3" x14ac:dyDescent="0.2">
      <c r="A120" s="1251" t="s">
        <v>1551</v>
      </c>
      <c r="B120" s="1251" t="s">
        <v>1552</v>
      </c>
      <c r="C120" s="1252"/>
    </row>
    <row r="121" spans="1:3" x14ac:dyDescent="0.2">
      <c r="A121" s="1251" t="s">
        <v>1553</v>
      </c>
      <c r="B121" s="1251" t="s">
        <v>1554</v>
      </c>
      <c r="C121" s="1252"/>
    </row>
    <row r="122" spans="1:3" x14ac:dyDescent="0.2">
      <c r="A122" s="1251" t="s">
        <v>1557</v>
      </c>
      <c r="B122" s="1251" t="s">
        <v>1558</v>
      </c>
      <c r="C122" s="1252"/>
    </row>
    <row r="123" spans="1:3" x14ac:dyDescent="0.2">
      <c r="A123" s="1251" t="s">
        <v>1567</v>
      </c>
      <c r="B123" s="1251" t="s">
        <v>1568</v>
      </c>
      <c r="C123" s="1252"/>
    </row>
    <row r="124" spans="1:3" x14ac:dyDescent="0.2">
      <c r="A124" s="1251" t="s">
        <v>1569</v>
      </c>
      <c r="B124" s="1251" t="s">
        <v>1570</v>
      </c>
      <c r="C124" s="1252"/>
    </row>
    <row r="125" spans="1:3" x14ac:dyDescent="0.2">
      <c r="A125" s="1251" t="s">
        <v>1571</v>
      </c>
      <c r="B125" s="1251" t="s">
        <v>1572</v>
      </c>
      <c r="C125" s="1252"/>
    </row>
    <row r="126" spans="1:3" x14ac:dyDescent="0.2">
      <c r="A126" s="1251" t="s">
        <v>1573</v>
      </c>
      <c r="B126" s="1251" t="s">
        <v>1574</v>
      </c>
      <c r="C126" s="1252"/>
    </row>
    <row r="127" spans="1:3" x14ac:dyDescent="0.2">
      <c r="A127" s="1251" t="s">
        <v>1575</v>
      </c>
      <c r="B127" s="1251" t="s">
        <v>1576</v>
      </c>
      <c r="C127" s="1252"/>
    </row>
    <row r="128" spans="1:3" x14ac:dyDescent="0.2">
      <c r="A128" s="1251" t="s">
        <v>1579</v>
      </c>
      <c r="B128" s="1251" t="s">
        <v>1580</v>
      </c>
      <c r="C128" s="1252"/>
    </row>
    <row r="129" spans="1:3" x14ac:dyDescent="0.2">
      <c r="A129" s="1251" t="s">
        <v>1583</v>
      </c>
      <c r="B129" s="1251" t="s">
        <v>1584</v>
      </c>
      <c r="C129" s="1252"/>
    </row>
    <row r="130" spans="1:3" x14ac:dyDescent="0.2">
      <c r="A130" s="1251" t="s">
        <v>1585</v>
      </c>
      <c r="B130" s="1251" t="s">
        <v>1586</v>
      </c>
      <c r="C130" s="1252"/>
    </row>
    <row r="131" spans="1:3" x14ac:dyDescent="0.2">
      <c r="A131" s="1251" t="s">
        <v>1595</v>
      </c>
      <c r="B131" s="1251" t="s">
        <v>1596</v>
      </c>
      <c r="C131" s="1252"/>
    </row>
    <row r="132" spans="1:3" x14ac:dyDescent="0.2">
      <c r="A132" s="1251" t="s">
        <v>1601</v>
      </c>
      <c r="B132" s="1251" t="s">
        <v>1602</v>
      </c>
      <c r="C132" s="1252"/>
    </row>
    <row r="133" spans="1:3" x14ac:dyDescent="0.2">
      <c r="A133" s="1251" t="s">
        <v>1614</v>
      </c>
      <c r="B133" s="1251" t="s">
        <v>1615</v>
      </c>
      <c r="C133" s="1252"/>
    </row>
    <row r="134" spans="1:3" x14ac:dyDescent="0.2">
      <c r="A134" s="1251" t="s">
        <v>1616</v>
      </c>
      <c r="B134" s="1251" t="s">
        <v>1617</v>
      </c>
      <c r="C134" s="1252"/>
    </row>
    <row r="135" spans="1:3" x14ac:dyDescent="0.2">
      <c r="A135" s="1251" t="s">
        <v>1618</v>
      </c>
      <c r="B135" s="1251" t="s">
        <v>1619</v>
      </c>
      <c r="C135" s="1252"/>
    </row>
    <row r="136" spans="1:3" x14ac:dyDescent="0.2">
      <c r="A136" s="1251" t="s">
        <v>1620</v>
      </c>
      <c r="B136" s="1251" t="s">
        <v>1621</v>
      </c>
      <c r="C136" s="1252"/>
    </row>
    <row r="137" spans="1:3" x14ac:dyDescent="0.2">
      <c r="A137" s="1251" t="s">
        <v>1622</v>
      </c>
      <c r="B137" s="1251" t="s">
        <v>1623</v>
      </c>
      <c r="C137" s="1252"/>
    </row>
    <row r="138" spans="1:3" x14ac:dyDescent="0.2">
      <c r="A138" s="1251" t="s">
        <v>1624</v>
      </c>
      <c r="B138" s="1251" t="s">
        <v>1625</v>
      </c>
      <c r="C138" s="1252"/>
    </row>
    <row r="139" spans="1:3" x14ac:dyDescent="0.2">
      <c r="A139" s="1251" t="s">
        <v>1628</v>
      </c>
      <c r="B139" s="1251" t="s">
        <v>1629</v>
      </c>
      <c r="C139" s="1252"/>
    </row>
    <row r="140" spans="1:3" x14ac:dyDescent="0.2">
      <c r="A140" s="1251" t="s">
        <v>1632</v>
      </c>
      <c r="B140" s="1251" t="s">
        <v>1633</v>
      </c>
      <c r="C140" s="1252"/>
    </row>
    <row r="141" spans="1:3" x14ac:dyDescent="0.2">
      <c r="A141"/>
      <c r="B141"/>
      <c r="C141"/>
    </row>
    <row r="142" spans="1:3" x14ac:dyDescent="0.2">
      <c r="A142"/>
      <c r="B142"/>
      <c r="C142"/>
    </row>
    <row r="143" spans="1:3" x14ac:dyDescent="0.2">
      <c r="A143"/>
      <c r="B143"/>
      <c r="C143"/>
    </row>
    <row r="144" spans="1:3" x14ac:dyDescent="0.2">
      <c r="A144"/>
      <c r="B144"/>
      <c r="C144"/>
    </row>
    <row r="145" spans="1:3" x14ac:dyDescent="0.2">
      <c r="A145"/>
      <c r="B145"/>
      <c r="C145"/>
    </row>
    <row r="146" spans="1:3" x14ac:dyDescent="0.2">
      <c r="A146"/>
      <c r="B146"/>
      <c r="C146"/>
    </row>
    <row r="147" spans="1:3" x14ac:dyDescent="0.2">
      <c r="A147"/>
      <c r="B147"/>
      <c r="C147"/>
    </row>
    <row r="148" spans="1:3" x14ac:dyDescent="0.2">
      <c r="A148"/>
      <c r="B148"/>
      <c r="C148"/>
    </row>
    <row r="149" spans="1:3" x14ac:dyDescent="0.2">
      <c r="A149"/>
      <c r="B149"/>
      <c r="C149"/>
    </row>
    <row r="150" spans="1:3" x14ac:dyDescent="0.2">
      <c r="A150"/>
      <c r="B150"/>
      <c r="C150"/>
    </row>
    <row r="151" spans="1:3" x14ac:dyDescent="0.2">
      <c r="A151"/>
      <c r="B151"/>
      <c r="C151"/>
    </row>
    <row r="152" spans="1:3" x14ac:dyDescent="0.2">
      <c r="A152"/>
      <c r="B152"/>
      <c r="C152"/>
    </row>
    <row r="153" spans="1:3" x14ac:dyDescent="0.2">
      <c r="A153"/>
      <c r="B153"/>
      <c r="C153"/>
    </row>
    <row r="154" spans="1:3" x14ac:dyDescent="0.2">
      <c r="A154"/>
      <c r="B154"/>
      <c r="C154"/>
    </row>
    <row r="155" spans="1:3" x14ac:dyDescent="0.2">
      <c r="A155"/>
      <c r="B155"/>
      <c r="C155"/>
    </row>
    <row r="156" spans="1:3" x14ac:dyDescent="0.2">
      <c r="A156"/>
      <c r="B156"/>
      <c r="C156"/>
    </row>
    <row r="157" spans="1:3" x14ac:dyDescent="0.2">
      <c r="A157"/>
      <c r="B157"/>
      <c r="C157"/>
    </row>
    <row r="158" spans="1:3" x14ac:dyDescent="0.2">
      <c r="A158"/>
      <c r="B158"/>
      <c r="C158"/>
    </row>
    <row r="159" spans="1:3" x14ac:dyDescent="0.2">
      <c r="A159"/>
      <c r="B159"/>
      <c r="C159"/>
    </row>
    <row r="160" spans="1:3" x14ac:dyDescent="0.2">
      <c r="A160"/>
      <c r="B160"/>
      <c r="C160"/>
    </row>
    <row r="161" spans="1:3" x14ac:dyDescent="0.2">
      <c r="A161"/>
      <c r="B161"/>
      <c r="C161"/>
    </row>
    <row r="162" spans="1:3" x14ac:dyDescent="0.2">
      <c r="A162"/>
      <c r="B162"/>
      <c r="C162"/>
    </row>
    <row r="163" spans="1:3" x14ac:dyDescent="0.2">
      <c r="A163"/>
      <c r="B163"/>
      <c r="C163"/>
    </row>
    <row r="164" spans="1:3" x14ac:dyDescent="0.2">
      <c r="A164"/>
      <c r="B164"/>
      <c r="C164"/>
    </row>
    <row r="165" spans="1:3" x14ac:dyDescent="0.2">
      <c r="A165"/>
      <c r="B165"/>
      <c r="C165"/>
    </row>
    <row r="166" spans="1:3" x14ac:dyDescent="0.2">
      <c r="A166"/>
      <c r="B166"/>
      <c r="C166"/>
    </row>
    <row r="167" spans="1:3" x14ac:dyDescent="0.2">
      <c r="A167"/>
      <c r="B167"/>
      <c r="C167"/>
    </row>
    <row r="168" spans="1:3" x14ac:dyDescent="0.2">
      <c r="A168"/>
      <c r="B168"/>
      <c r="C168"/>
    </row>
    <row r="169" spans="1:3" x14ac:dyDescent="0.2">
      <c r="A169"/>
      <c r="B169"/>
      <c r="C169"/>
    </row>
    <row r="170" spans="1:3" x14ac:dyDescent="0.2">
      <c r="A170"/>
      <c r="B170"/>
      <c r="C170"/>
    </row>
    <row r="171" spans="1:3" x14ac:dyDescent="0.2">
      <c r="A171"/>
      <c r="B171"/>
      <c r="C171"/>
    </row>
    <row r="172" spans="1:3" x14ac:dyDescent="0.2">
      <c r="A172"/>
      <c r="B172"/>
      <c r="C172"/>
    </row>
    <row r="173" spans="1:3" x14ac:dyDescent="0.2">
      <c r="A173"/>
      <c r="B173"/>
      <c r="C173"/>
    </row>
    <row r="174" spans="1:3" x14ac:dyDescent="0.2">
      <c r="A174"/>
      <c r="B174"/>
      <c r="C174"/>
    </row>
    <row r="175" spans="1:3" x14ac:dyDescent="0.2">
      <c r="A175"/>
      <c r="B175"/>
      <c r="C175"/>
    </row>
    <row r="176" spans="1:3" x14ac:dyDescent="0.2">
      <c r="A176"/>
      <c r="B176"/>
      <c r="C176"/>
    </row>
    <row r="177" spans="1:3" x14ac:dyDescent="0.2">
      <c r="A177"/>
      <c r="B177"/>
      <c r="C177"/>
    </row>
    <row r="178" spans="1:3" x14ac:dyDescent="0.2">
      <c r="A178"/>
      <c r="B178"/>
      <c r="C178"/>
    </row>
    <row r="179" spans="1:3" x14ac:dyDescent="0.2">
      <c r="A179"/>
      <c r="B179"/>
      <c r="C179"/>
    </row>
    <row r="180" spans="1:3" x14ac:dyDescent="0.2">
      <c r="A180"/>
      <c r="B180"/>
      <c r="C180"/>
    </row>
    <row r="181" spans="1:3" x14ac:dyDescent="0.2">
      <c r="A181"/>
      <c r="B181"/>
      <c r="C181"/>
    </row>
    <row r="182" spans="1:3" x14ac:dyDescent="0.2">
      <c r="A182"/>
      <c r="B182"/>
      <c r="C182"/>
    </row>
    <row r="183" spans="1:3" x14ac:dyDescent="0.2">
      <c r="A183"/>
      <c r="B183"/>
      <c r="C183"/>
    </row>
    <row r="184" spans="1:3" x14ac:dyDescent="0.2">
      <c r="A184"/>
      <c r="B184"/>
      <c r="C184"/>
    </row>
    <row r="185" spans="1:3" x14ac:dyDescent="0.2">
      <c r="A185"/>
      <c r="B185"/>
      <c r="C185"/>
    </row>
    <row r="186" spans="1:3" x14ac:dyDescent="0.2">
      <c r="A186"/>
      <c r="B186"/>
      <c r="C186"/>
    </row>
    <row r="187" spans="1:3" x14ac:dyDescent="0.2">
      <c r="A187"/>
      <c r="B187"/>
      <c r="C187"/>
    </row>
    <row r="188" spans="1:3" x14ac:dyDescent="0.2">
      <c r="A188"/>
      <c r="B188"/>
      <c r="C188"/>
    </row>
    <row r="189" spans="1:3" x14ac:dyDescent="0.2">
      <c r="A189"/>
      <c r="B189"/>
      <c r="C189"/>
    </row>
    <row r="190" spans="1:3" x14ac:dyDescent="0.2">
      <c r="A190"/>
      <c r="B190"/>
      <c r="C190"/>
    </row>
    <row r="191" spans="1:3" x14ac:dyDescent="0.2">
      <c r="A191"/>
      <c r="B191"/>
      <c r="C191"/>
    </row>
    <row r="192" spans="1:3" x14ac:dyDescent="0.2">
      <c r="A192"/>
      <c r="B192"/>
      <c r="C192"/>
    </row>
    <row r="193" spans="1:3" x14ac:dyDescent="0.2">
      <c r="A193"/>
      <c r="B193"/>
      <c r="C193"/>
    </row>
    <row r="194" spans="1:3" x14ac:dyDescent="0.2">
      <c r="A194"/>
      <c r="B194"/>
      <c r="C194"/>
    </row>
    <row r="195" spans="1:3" x14ac:dyDescent="0.2">
      <c r="A195"/>
      <c r="B195"/>
      <c r="C195"/>
    </row>
    <row r="196" spans="1:3" x14ac:dyDescent="0.2">
      <c r="A196"/>
      <c r="B196"/>
      <c r="C196"/>
    </row>
    <row r="197" spans="1:3" x14ac:dyDescent="0.2">
      <c r="A197"/>
      <c r="B197"/>
      <c r="C197"/>
    </row>
    <row r="198" spans="1:3" x14ac:dyDescent="0.2">
      <c r="A198"/>
      <c r="B198"/>
      <c r="C198"/>
    </row>
    <row r="199" spans="1:3" x14ac:dyDescent="0.2">
      <c r="A199"/>
      <c r="B199"/>
      <c r="C199"/>
    </row>
    <row r="200" spans="1:3" x14ac:dyDescent="0.2">
      <c r="A200"/>
      <c r="B200"/>
      <c r="C200"/>
    </row>
    <row r="201" spans="1:3" x14ac:dyDescent="0.2">
      <c r="A201"/>
      <c r="B201"/>
      <c r="C201"/>
    </row>
    <row r="202" spans="1:3" x14ac:dyDescent="0.2">
      <c r="A202"/>
      <c r="B202"/>
      <c r="C202"/>
    </row>
    <row r="203" spans="1:3" x14ac:dyDescent="0.2">
      <c r="A203"/>
      <c r="B203"/>
      <c r="C203"/>
    </row>
    <row r="204" spans="1:3" x14ac:dyDescent="0.2">
      <c r="A204"/>
      <c r="B204"/>
      <c r="C204"/>
    </row>
    <row r="205" spans="1:3" x14ac:dyDescent="0.2">
      <c r="A205"/>
      <c r="B205"/>
      <c r="C205"/>
    </row>
    <row r="206" spans="1:3" x14ac:dyDescent="0.2">
      <c r="A206"/>
      <c r="B206"/>
      <c r="C206"/>
    </row>
    <row r="207" spans="1:3" x14ac:dyDescent="0.2">
      <c r="A207"/>
      <c r="B207"/>
      <c r="C207"/>
    </row>
    <row r="208" spans="1:3" x14ac:dyDescent="0.2">
      <c r="A208"/>
      <c r="B208"/>
      <c r="C208"/>
    </row>
    <row r="209" spans="1:3" x14ac:dyDescent="0.2">
      <c r="A209"/>
      <c r="B209"/>
      <c r="C209"/>
    </row>
    <row r="210" spans="1:3" x14ac:dyDescent="0.2">
      <c r="A210"/>
      <c r="B210"/>
      <c r="C210"/>
    </row>
    <row r="211" spans="1:3" x14ac:dyDescent="0.2">
      <c r="A211"/>
      <c r="B211"/>
      <c r="C211"/>
    </row>
    <row r="212" spans="1:3" x14ac:dyDescent="0.2">
      <c r="A212"/>
      <c r="B212"/>
      <c r="C212"/>
    </row>
    <row r="213" spans="1:3" x14ac:dyDescent="0.2">
      <c r="A213"/>
      <c r="B213"/>
      <c r="C213"/>
    </row>
    <row r="214" spans="1:3" x14ac:dyDescent="0.2">
      <c r="A214"/>
      <c r="B214"/>
      <c r="C214"/>
    </row>
    <row r="215" spans="1:3" x14ac:dyDescent="0.2">
      <c r="A215"/>
      <c r="B215"/>
      <c r="C215"/>
    </row>
    <row r="216" spans="1:3" x14ac:dyDescent="0.2">
      <c r="A216"/>
      <c r="B216"/>
      <c r="C216"/>
    </row>
    <row r="217" spans="1:3" x14ac:dyDescent="0.2">
      <c r="A217"/>
      <c r="B217"/>
      <c r="C217"/>
    </row>
    <row r="218" spans="1:3" x14ac:dyDescent="0.2">
      <c r="A218"/>
      <c r="B218"/>
      <c r="C218"/>
    </row>
    <row r="219" spans="1:3" x14ac:dyDescent="0.2">
      <c r="A219"/>
      <c r="B219"/>
      <c r="C219"/>
    </row>
    <row r="220" spans="1:3" x14ac:dyDescent="0.2">
      <c r="A220"/>
      <c r="B220"/>
      <c r="C220"/>
    </row>
    <row r="221" spans="1:3" x14ac:dyDescent="0.2">
      <c r="A221"/>
      <c r="B221"/>
      <c r="C221"/>
    </row>
    <row r="222" spans="1:3" x14ac:dyDescent="0.2">
      <c r="A222"/>
      <c r="B222"/>
      <c r="C222"/>
    </row>
    <row r="223" spans="1:3" x14ac:dyDescent="0.2">
      <c r="A223"/>
      <c r="B223"/>
      <c r="C223"/>
    </row>
    <row r="224" spans="1:3" x14ac:dyDescent="0.2">
      <c r="A224"/>
      <c r="B224"/>
      <c r="C224"/>
    </row>
    <row r="225" spans="1:3" x14ac:dyDescent="0.2">
      <c r="A225"/>
      <c r="B225"/>
      <c r="C225"/>
    </row>
    <row r="226" spans="1:3" x14ac:dyDescent="0.2">
      <c r="A226"/>
      <c r="B226"/>
      <c r="C226"/>
    </row>
    <row r="227" spans="1:3" x14ac:dyDescent="0.2">
      <c r="A227"/>
      <c r="B227"/>
      <c r="C227"/>
    </row>
    <row r="228" spans="1:3" x14ac:dyDescent="0.2">
      <c r="A228"/>
      <c r="B228"/>
      <c r="C228"/>
    </row>
    <row r="229" spans="1:3" x14ac:dyDescent="0.2">
      <c r="A229"/>
      <c r="B229"/>
      <c r="C229"/>
    </row>
    <row r="230" spans="1:3" x14ac:dyDescent="0.2">
      <c r="A230"/>
      <c r="B230"/>
      <c r="C230"/>
    </row>
    <row r="231" spans="1:3" x14ac:dyDescent="0.2">
      <c r="A231"/>
      <c r="B231"/>
      <c r="C231"/>
    </row>
    <row r="232" spans="1:3" x14ac:dyDescent="0.2">
      <c r="A232"/>
      <c r="B232"/>
      <c r="C232"/>
    </row>
    <row r="233" spans="1:3" x14ac:dyDescent="0.2">
      <c r="A233"/>
      <c r="B233"/>
      <c r="C233"/>
    </row>
    <row r="234" spans="1:3" x14ac:dyDescent="0.2">
      <c r="A234"/>
      <c r="B234"/>
      <c r="C234"/>
    </row>
    <row r="235" spans="1:3" x14ac:dyDescent="0.2">
      <c r="A235"/>
      <c r="B235"/>
      <c r="C235"/>
    </row>
    <row r="236" spans="1:3" x14ac:dyDescent="0.2">
      <c r="A236"/>
      <c r="B236"/>
      <c r="C236"/>
    </row>
    <row r="237" spans="1:3" x14ac:dyDescent="0.2">
      <c r="A237"/>
      <c r="B237"/>
      <c r="C237"/>
    </row>
    <row r="238" spans="1:3" x14ac:dyDescent="0.2">
      <c r="A238"/>
      <c r="B238"/>
      <c r="C238"/>
    </row>
    <row r="239" spans="1:3" x14ac:dyDescent="0.2">
      <c r="A239"/>
      <c r="B239"/>
      <c r="C239"/>
    </row>
    <row r="240" spans="1:3" x14ac:dyDescent="0.2">
      <c r="A240"/>
      <c r="B240"/>
      <c r="C240"/>
    </row>
    <row r="241" spans="1:3" x14ac:dyDescent="0.2">
      <c r="A241"/>
      <c r="B241"/>
      <c r="C241"/>
    </row>
    <row r="242" spans="1:3" x14ac:dyDescent="0.2">
      <c r="A242"/>
      <c r="B242"/>
      <c r="C242"/>
    </row>
    <row r="243" spans="1:3" x14ac:dyDescent="0.2">
      <c r="A243"/>
      <c r="B243"/>
      <c r="C243"/>
    </row>
    <row r="244" spans="1:3" x14ac:dyDescent="0.2">
      <c r="A244"/>
      <c r="B244"/>
      <c r="C244"/>
    </row>
    <row r="245" spans="1:3" x14ac:dyDescent="0.2">
      <c r="A245"/>
      <c r="B245"/>
      <c r="C245"/>
    </row>
    <row r="246" spans="1:3" x14ac:dyDescent="0.2">
      <c r="A246"/>
      <c r="B246"/>
      <c r="C246"/>
    </row>
    <row r="247" spans="1:3" x14ac:dyDescent="0.2">
      <c r="A247"/>
      <c r="B247"/>
      <c r="C247"/>
    </row>
    <row r="248" spans="1:3" x14ac:dyDescent="0.2">
      <c r="A248"/>
      <c r="B248"/>
      <c r="C248"/>
    </row>
    <row r="249" spans="1:3" x14ac:dyDescent="0.2">
      <c r="A249"/>
      <c r="B249"/>
      <c r="C249"/>
    </row>
    <row r="250" spans="1:3" x14ac:dyDescent="0.2">
      <c r="A250"/>
      <c r="B250"/>
      <c r="C250"/>
    </row>
    <row r="251" spans="1:3" x14ac:dyDescent="0.2">
      <c r="A251"/>
      <c r="B251"/>
      <c r="C251"/>
    </row>
    <row r="252" spans="1:3" x14ac:dyDescent="0.2">
      <c r="A252"/>
      <c r="B252"/>
      <c r="C252"/>
    </row>
    <row r="253" spans="1:3" x14ac:dyDescent="0.2">
      <c r="A253"/>
      <c r="B253"/>
      <c r="C253"/>
    </row>
    <row r="254" spans="1:3" x14ac:dyDescent="0.2">
      <c r="A254"/>
      <c r="B254"/>
      <c r="C254"/>
    </row>
    <row r="255" spans="1:3" x14ac:dyDescent="0.2">
      <c r="A255"/>
      <c r="B255"/>
      <c r="C255"/>
    </row>
    <row r="256" spans="1:3" x14ac:dyDescent="0.2">
      <c r="A256"/>
      <c r="B256"/>
      <c r="C256"/>
    </row>
    <row r="257" spans="1:3" x14ac:dyDescent="0.2">
      <c r="A257"/>
      <c r="B257"/>
      <c r="C257"/>
    </row>
    <row r="258" spans="1:3" x14ac:dyDescent="0.2">
      <c r="A258"/>
      <c r="B258"/>
      <c r="C258"/>
    </row>
    <row r="259" spans="1:3" x14ac:dyDescent="0.2">
      <c r="A259"/>
      <c r="B259"/>
      <c r="C259"/>
    </row>
    <row r="260" spans="1:3" x14ac:dyDescent="0.2">
      <c r="A260"/>
      <c r="B260"/>
      <c r="C260"/>
    </row>
    <row r="261" spans="1:3" x14ac:dyDescent="0.2">
      <c r="A261"/>
      <c r="B261"/>
      <c r="C261"/>
    </row>
    <row r="262" spans="1:3" x14ac:dyDescent="0.2">
      <c r="A262"/>
      <c r="B262"/>
      <c r="C262"/>
    </row>
    <row r="263" spans="1:3" x14ac:dyDescent="0.2">
      <c r="A263"/>
      <c r="B263"/>
      <c r="C263"/>
    </row>
    <row r="264" spans="1:3" x14ac:dyDescent="0.2">
      <c r="A264"/>
      <c r="B264"/>
      <c r="C264"/>
    </row>
    <row r="265" spans="1:3" x14ac:dyDescent="0.2">
      <c r="A265"/>
      <c r="B265"/>
      <c r="C265"/>
    </row>
    <row r="266" spans="1:3" x14ac:dyDescent="0.2">
      <c r="A266"/>
      <c r="B266"/>
      <c r="C266"/>
    </row>
    <row r="267" spans="1:3" x14ac:dyDescent="0.2">
      <c r="A267"/>
      <c r="B267"/>
      <c r="C267"/>
    </row>
    <row r="268" spans="1:3" x14ac:dyDescent="0.2">
      <c r="A268"/>
      <c r="B268"/>
      <c r="C268"/>
    </row>
    <row r="269" spans="1:3" x14ac:dyDescent="0.2">
      <c r="A269"/>
      <c r="B269"/>
      <c r="C269"/>
    </row>
    <row r="270" spans="1:3" x14ac:dyDescent="0.2">
      <c r="A270"/>
      <c r="B270"/>
      <c r="C270"/>
    </row>
    <row r="271" spans="1:3" x14ac:dyDescent="0.2">
      <c r="A271"/>
      <c r="B271"/>
      <c r="C271"/>
    </row>
    <row r="272" spans="1:3" x14ac:dyDescent="0.2">
      <c r="A272"/>
      <c r="B272"/>
      <c r="C272"/>
    </row>
    <row r="273" spans="1:3" x14ac:dyDescent="0.2">
      <c r="A273"/>
      <c r="B273"/>
      <c r="C273"/>
    </row>
    <row r="274" spans="1:3" x14ac:dyDescent="0.2">
      <c r="A274"/>
      <c r="B274"/>
      <c r="C274"/>
    </row>
    <row r="275" spans="1:3" x14ac:dyDescent="0.2">
      <c r="A275"/>
      <c r="B275"/>
      <c r="C275"/>
    </row>
    <row r="276" spans="1:3" x14ac:dyDescent="0.2">
      <c r="A276"/>
      <c r="B276"/>
      <c r="C276"/>
    </row>
    <row r="277" spans="1:3" x14ac:dyDescent="0.2">
      <c r="A277"/>
      <c r="B277"/>
      <c r="C277"/>
    </row>
    <row r="278" spans="1:3" x14ac:dyDescent="0.2">
      <c r="A278"/>
      <c r="B278"/>
      <c r="C278"/>
    </row>
    <row r="279" spans="1:3" x14ac:dyDescent="0.2">
      <c r="A279"/>
      <c r="B279"/>
      <c r="C279"/>
    </row>
    <row r="280" spans="1:3" x14ac:dyDescent="0.2">
      <c r="A280"/>
      <c r="B280"/>
      <c r="C280"/>
    </row>
    <row r="281" spans="1:3" x14ac:dyDescent="0.2">
      <c r="A281"/>
      <c r="B281"/>
      <c r="C281"/>
    </row>
    <row r="282" spans="1:3" x14ac:dyDescent="0.2">
      <c r="A282"/>
      <c r="B282"/>
      <c r="C282"/>
    </row>
    <row r="283" spans="1:3" x14ac:dyDescent="0.2">
      <c r="A283"/>
      <c r="B283"/>
      <c r="C283"/>
    </row>
    <row r="284" spans="1:3" x14ac:dyDescent="0.2">
      <c r="A284"/>
      <c r="B284"/>
      <c r="C284"/>
    </row>
    <row r="285" spans="1:3" x14ac:dyDescent="0.2">
      <c r="A285"/>
      <c r="B285"/>
      <c r="C285"/>
    </row>
    <row r="286" spans="1:3" x14ac:dyDescent="0.2">
      <c r="A286"/>
      <c r="B286"/>
      <c r="C286"/>
    </row>
    <row r="287" spans="1:3" x14ac:dyDescent="0.2">
      <c r="A287"/>
      <c r="B287"/>
      <c r="C287"/>
    </row>
    <row r="288" spans="1:3" x14ac:dyDescent="0.2">
      <c r="A288"/>
      <c r="B288"/>
      <c r="C288"/>
    </row>
    <row r="289" spans="1:3" x14ac:dyDescent="0.2">
      <c r="A289"/>
      <c r="B289"/>
      <c r="C289"/>
    </row>
    <row r="290" spans="1:3" x14ac:dyDescent="0.2">
      <c r="A290"/>
      <c r="B290"/>
      <c r="C290"/>
    </row>
    <row r="291" spans="1:3" x14ac:dyDescent="0.2">
      <c r="A291"/>
      <c r="B291"/>
      <c r="C291"/>
    </row>
    <row r="292" spans="1:3" x14ac:dyDescent="0.2">
      <c r="A292"/>
      <c r="B292"/>
      <c r="C292"/>
    </row>
    <row r="293" spans="1:3" x14ac:dyDescent="0.2">
      <c r="A293"/>
      <c r="B293"/>
      <c r="C293"/>
    </row>
    <row r="294" spans="1:3" x14ac:dyDescent="0.2">
      <c r="A294"/>
      <c r="B294"/>
      <c r="C294"/>
    </row>
    <row r="295" spans="1:3" x14ac:dyDescent="0.2">
      <c r="A295"/>
      <c r="B295"/>
      <c r="C295"/>
    </row>
    <row r="296" spans="1:3" x14ac:dyDescent="0.2">
      <c r="A296"/>
      <c r="B296"/>
      <c r="C296"/>
    </row>
    <row r="297" spans="1:3" x14ac:dyDescent="0.2">
      <c r="A297"/>
      <c r="B297"/>
      <c r="C297"/>
    </row>
    <row r="298" spans="1:3" x14ac:dyDescent="0.2">
      <c r="A298"/>
      <c r="B298"/>
      <c r="C298"/>
    </row>
    <row r="299" spans="1:3" x14ac:dyDescent="0.2">
      <c r="A299"/>
      <c r="B299"/>
      <c r="C299"/>
    </row>
    <row r="300" spans="1:3" x14ac:dyDescent="0.2">
      <c r="A300"/>
      <c r="B300"/>
      <c r="C300"/>
    </row>
    <row r="301" spans="1:3" x14ac:dyDescent="0.2">
      <c r="A301"/>
      <c r="B301"/>
      <c r="C301"/>
    </row>
    <row r="302" spans="1:3" x14ac:dyDescent="0.2">
      <c r="A302"/>
      <c r="B302"/>
      <c r="C302"/>
    </row>
    <row r="303" spans="1:3" x14ac:dyDescent="0.2">
      <c r="A303"/>
      <c r="B303"/>
      <c r="C303"/>
    </row>
    <row r="304" spans="1:3" x14ac:dyDescent="0.2">
      <c r="A304"/>
      <c r="B304"/>
      <c r="C304"/>
    </row>
    <row r="305" spans="1:3" x14ac:dyDescent="0.2">
      <c r="A305"/>
      <c r="B305"/>
      <c r="C305"/>
    </row>
    <row r="306" spans="1:3" x14ac:dyDescent="0.2">
      <c r="A306"/>
      <c r="B306"/>
      <c r="C306"/>
    </row>
    <row r="307" spans="1:3" x14ac:dyDescent="0.2">
      <c r="A307"/>
      <c r="B307"/>
      <c r="C307"/>
    </row>
    <row r="308" spans="1:3" x14ac:dyDescent="0.2">
      <c r="A308"/>
      <c r="B308"/>
      <c r="C308"/>
    </row>
    <row r="309" spans="1:3" x14ac:dyDescent="0.2">
      <c r="A309"/>
      <c r="B309"/>
      <c r="C309"/>
    </row>
    <row r="310" spans="1:3" x14ac:dyDescent="0.2">
      <c r="A310"/>
      <c r="B310"/>
      <c r="C310"/>
    </row>
    <row r="311" spans="1:3" x14ac:dyDescent="0.2">
      <c r="A311"/>
      <c r="B311"/>
      <c r="C311"/>
    </row>
    <row r="312" spans="1:3" x14ac:dyDescent="0.2">
      <c r="A312"/>
      <c r="B312"/>
      <c r="C312"/>
    </row>
    <row r="313" spans="1:3" x14ac:dyDescent="0.2">
      <c r="A313"/>
      <c r="B313"/>
      <c r="C313"/>
    </row>
    <row r="314" spans="1:3" x14ac:dyDescent="0.2">
      <c r="A314"/>
      <c r="B314"/>
      <c r="C314"/>
    </row>
    <row r="315" spans="1:3" x14ac:dyDescent="0.2">
      <c r="A315"/>
      <c r="B315"/>
      <c r="C315"/>
    </row>
    <row r="316" spans="1:3" x14ac:dyDescent="0.2">
      <c r="A316"/>
      <c r="B316"/>
      <c r="C316"/>
    </row>
    <row r="317" spans="1:3" x14ac:dyDescent="0.2">
      <c r="A317"/>
      <c r="B317"/>
      <c r="C317"/>
    </row>
    <row r="318" spans="1:3" x14ac:dyDescent="0.2">
      <c r="A318"/>
      <c r="B318"/>
      <c r="C318"/>
    </row>
    <row r="319" spans="1:3" x14ac:dyDescent="0.2">
      <c r="A319"/>
      <c r="B319"/>
      <c r="C319"/>
    </row>
    <row r="320" spans="1:3" x14ac:dyDescent="0.2">
      <c r="A320"/>
      <c r="B320"/>
      <c r="C320"/>
    </row>
    <row r="321" spans="1:3" x14ac:dyDescent="0.2">
      <c r="A321"/>
      <c r="B321"/>
      <c r="C321"/>
    </row>
    <row r="322" spans="1:3" x14ac:dyDescent="0.2">
      <c r="A322"/>
      <c r="B322"/>
      <c r="C322"/>
    </row>
    <row r="323" spans="1:3" x14ac:dyDescent="0.2">
      <c r="A323"/>
      <c r="B323"/>
      <c r="C323"/>
    </row>
    <row r="324" spans="1:3" x14ac:dyDescent="0.2">
      <c r="A324"/>
      <c r="B324"/>
      <c r="C324"/>
    </row>
    <row r="325" spans="1:3" x14ac:dyDescent="0.2">
      <c r="A325"/>
      <c r="B325"/>
      <c r="C325"/>
    </row>
    <row r="326" spans="1:3" x14ac:dyDescent="0.2">
      <c r="A326"/>
      <c r="B326"/>
      <c r="C326"/>
    </row>
    <row r="327" spans="1:3" x14ac:dyDescent="0.2">
      <c r="A327"/>
      <c r="B327"/>
      <c r="C327"/>
    </row>
    <row r="328" spans="1:3" x14ac:dyDescent="0.2">
      <c r="A328"/>
      <c r="B328"/>
      <c r="C328"/>
    </row>
    <row r="329" spans="1:3" x14ac:dyDescent="0.2">
      <c r="A329"/>
      <c r="B329"/>
      <c r="C329"/>
    </row>
    <row r="330" spans="1:3" x14ac:dyDescent="0.2">
      <c r="A330"/>
      <c r="B330"/>
      <c r="C330"/>
    </row>
    <row r="331" spans="1:3" x14ac:dyDescent="0.2">
      <c r="A331"/>
      <c r="B331"/>
      <c r="C331"/>
    </row>
    <row r="332" spans="1:3" x14ac:dyDescent="0.2">
      <c r="A332"/>
      <c r="B332"/>
      <c r="C332"/>
    </row>
    <row r="333" spans="1:3" x14ac:dyDescent="0.2">
      <c r="A333"/>
      <c r="B333"/>
      <c r="C333"/>
    </row>
    <row r="334" spans="1:3" x14ac:dyDescent="0.2">
      <c r="A334"/>
      <c r="B334"/>
      <c r="C334"/>
    </row>
    <row r="335" spans="1:3" x14ac:dyDescent="0.2">
      <c r="A335"/>
      <c r="B335"/>
      <c r="C335"/>
    </row>
    <row r="336" spans="1:3" x14ac:dyDescent="0.2">
      <c r="A336"/>
      <c r="B336"/>
      <c r="C336"/>
    </row>
    <row r="337" spans="1:3" x14ac:dyDescent="0.2">
      <c r="A337"/>
      <c r="B337"/>
      <c r="C337"/>
    </row>
    <row r="338" spans="1:3" x14ac:dyDescent="0.2">
      <c r="A338"/>
      <c r="B338"/>
      <c r="C338"/>
    </row>
    <row r="339" spans="1:3" x14ac:dyDescent="0.2">
      <c r="A339"/>
      <c r="B339"/>
      <c r="C339"/>
    </row>
    <row r="340" spans="1:3" x14ac:dyDescent="0.2">
      <c r="A340"/>
      <c r="B340"/>
      <c r="C340"/>
    </row>
    <row r="341" spans="1:3" x14ac:dyDescent="0.2">
      <c r="A341"/>
      <c r="B341"/>
      <c r="C341"/>
    </row>
    <row r="342" spans="1:3" x14ac:dyDescent="0.2">
      <c r="A342"/>
      <c r="B342"/>
      <c r="C342"/>
    </row>
    <row r="343" spans="1:3" x14ac:dyDescent="0.2">
      <c r="A343"/>
      <c r="B343"/>
      <c r="C343"/>
    </row>
    <row r="344" spans="1:3" x14ac:dyDescent="0.2">
      <c r="A344"/>
      <c r="B344"/>
      <c r="C344"/>
    </row>
    <row r="345" spans="1:3" x14ac:dyDescent="0.2">
      <c r="A345"/>
      <c r="B345"/>
      <c r="C345"/>
    </row>
    <row r="346" spans="1:3" x14ac:dyDescent="0.2">
      <c r="A346"/>
      <c r="B346"/>
      <c r="C346"/>
    </row>
    <row r="347" spans="1:3" x14ac:dyDescent="0.2">
      <c r="A347"/>
      <c r="B347"/>
      <c r="C347"/>
    </row>
    <row r="348" spans="1:3" x14ac:dyDescent="0.2">
      <c r="A348"/>
      <c r="B348"/>
      <c r="C348"/>
    </row>
    <row r="349" spans="1:3" x14ac:dyDescent="0.2">
      <c r="A349"/>
      <c r="B349"/>
      <c r="C349"/>
    </row>
    <row r="350" spans="1:3" x14ac:dyDescent="0.2">
      <c r="A350"/>
      <c r="B350"/>
      <c r="C350"/>
    </row>
    <row r="351" spans="1:3" x14ac:dyDescent="0.2">
      <c r="A351"/>
      <c r="B351"/>
      <c r="C351"/>
    </row>
    <row r="352" spans="1:3" x14ac:dyDescent="0.2">
      <c r="A352"/>
      <c r="B352"/>
      <c r="C352"/>
    </row>
    <row r="353" spans="1:3" x14ac:dyDescent="0.2">
      <c r="A353"/>
      <c r="B353"/>
      <c r="C353"/>
    </row>
    <row r="354" spans="1:3" x14ac:dyDescent="0.2">
      <c r="A354"/>
      <c r="B354"/>
      <c r="C354"/>
    </row>
    <row r="355" spans="1:3" x14ac:dyDescent="0.2">
      <c r="A355"/>
      <c r="B355"/>
      <c r="C355"/>
    </row>
    <row r="356" spans="1:3" x14ac:dyDescent="0.2">
      <c r="A356"/>
      <c r="B356"/>
      <c r="C356"/>
    </row>
    <row r="357" spans="1:3" x14ac:dyDescent="0.2">
      <c r="A357"/>
      <c r="B357"/>
      <c r="C357"/>
    </row>
    <row r="358" spans="1:3" x14ac:dyDescent="0.2">
      <c r="A358"/>
      <c r="B358"/>
      <c r="C358"/>
    </row>
    <row r="359" spans="1:3" x14ac:dyDescent="0.2">
      <c r="A359"/>
      <c r="B359"/>
      <c r="C359"/>
    </row>
    <row r="360" spans="1:3" x14ac:dyDescent="0.2">
      <c r="A360"/>
      <c r="B360"/>
      <c r="C360"/>
    </row>
    <row r="361" spans="1:3" x14ac:dyDescent="0.2">
      <c r="A361"/>
      <c r="B361"/>
      <c r="C361"/>
    </row>
    <row r="362" spans="1:3" x14ac:dyDescent="0.2">
      <c r="A362"/>
      <c r="B362"/>
      <c r="C362"/>
    </row>
    <row r="363" spans="1:3" x14ac:dyDescent="0.2">
      <c r="A363"/>
      <c r="B363"/>
      <c r="C363"/>
    </row>
    <row r="364" spans="1:3" x14ac:dyDescent="0.2">
      <c r="A364"/>
      <c r="B364"/>
      <c r="C364"/>
    </row>
    <row r="365" spans="1:3" x14ac:dyDescent="0.2">
      <c r="A365"/>
      <c r="B365"/>
      <c r="C365"/>
    </row>
    <row r="366" spans="1:3" x14ac:dyDescent="0.2">
      <c r="A366"/>
      <c r="B366"/>
      <c r="C366"/>
    </row>
    <row r="367" spans="1:3" x14ac:dyDescent="0.2">
      <c r="A367"/>
      <c r="B367"/>
      <c r="C367"/>
    </row>
    <row r="368" spans="1:3" x14ac:dyDescent="0.2">
      <c r="A368"/>
      <c r="B368"/>
      <c r="C368"/>
    </row>
    <row r="369" spans="1:3" x14ac:dyDescent="0.2">
      <c r="A369"/>
      <c r="B369"/>
      <c r="C369"/>
    </row>
    <row r="370" spans="1:3" x14ac:dyDescent="0.2">
      <c r="A370"/>
      <c r="B370"/>
      <c r="C370"/>
    </row>
    <row r="371" spans="1:3" x14ac:dyDescent="0.2">
      <c r="A371"/>
      <c r="B371"/>
      <c r="C371"/>
    </row>
    <row r="372" spans="1:3" x14ac:dyDescent="0.2">
      <c r="A372"/>
      <c r="B372"/>
      <c r="C372"/>
    </row>
    <row r="373" spans="1:3" x14ac:dyDescent="0.2">
      <c r="A373"/>
      <c r="B373"/>
      <c r="C373"/>
    </row>
    <row r="374" spans="1:3" x14ac:dyDescent="0.2">
      <c r="A374"/>
      <c r="B374"/>
      <c r="C374"/>
    </row>
    <row r="375" spans="1:3" x14ac:dyDescent="0.2">
      <c r="A375"/>
      <c r="B375"/>
      <c r="C375"/>
    </row>
    <row r="376" spans="1:3" x14ac:dyDescent="0.2">
      <c r="A376"/>
      <c r="B376"/>
      <c r="C376"/>
    </row>
    <row r="377" spans="1:3" x14ac:dyDescent="0.2">
      <c r="A377"/>
      <c r="B377"/>
      <c r="C377"/>
    </row>
    <row r="378" spans="1:3" x14ac:dyDescent="0.2">
      <c r="A378"/>
      <c r="B378"/>
      <c r="C378"/>
    </row>
    <row r="379" spans="1:3" x14ac:dyDescent="0.2">
      <c r="A379"/>
      <c r="B379"/>
      <c r="C379"/>
    </row>
    <row r="380" spans="1:3" x14ac:dyDescent="0.2">
      <c r="A380"/>
      <c r="B380"/>
      <c r="C380"/>
    </row>
    <row r="381" spans="1:3" x14ac:dyDescent="0.2">
      <c r="A381"/>
      <c r="B381"/>
      <c r="C381"/>
    </row>
    <row r="382" spans="1:3" x14ac:dyDescent="0.2">
      <c r="A382"/>
      <c r="B382"/>
      <c r="C382"/>
    </row>
    <row r="383" spans="1:3" x14ac:dyDescent="0.2">
      <c r="A383"/>
      <c r="B383"/>
      <c r="C383"/>
    </row>
    <row r="384" spans="1:3" x14ac:dyDescent="0.2">
      <c r="A384"/>
      <c r="B384"/>
      <c r="C384"/>
    </row>
    <row r="385" spans="1:3" x14ac:dyDescent="0.2">
      <c r="A385"/>
      <c r="B385"/>
      <c r="C385"/>
    </row>
    <row r="386" spans="1:3" x14ac:dyDescent="0.2">
      <c r="A386"/>
      <c r="B386"/>
      <c r="C386"/>
    </row>
    <row r="387" spans="1:3" x14ac:dyDescent="0.2">
      <c r="A387"/>
      <c r="B387"/>
      <c r="C387"/>
    </row>
    <row r="388" spans="1:3" x14ac:dyDescent="0.2">
      <c r="A388"/>
      <c r="B388"/>
      <c r="C388"/>
    </row>
    <row r="389" spans="1:3" x14ac:dyDescent="0.2">
      <c r="A389"/>
      <c r="B389"/>
      <c r="C389"/>
    </row>
    <row r="390" spans="1:3" x14ac:dyDescent="0.2">
      <c r="A390"/>
      <c r="B390"/>
      <c r="C390"/>
    </row>
    <row r="391" spans="1:3" x14ac:dyDescent="0.2">
      <c r="A391"/>
      <c r="B391"/>
      <c r="C391"/>
    </row>
    <row r="392" spans="1:3" x14ac:dyDescent="0.2">
      <c r="A392"/>
      <c r="B392"/>
      <c r="C392"/>
    </row>
    <row r="393" spans="1:3" x14ac:dyDescent="0.2">
      <c r="A393"/>
      <c r="B393"/>
      <c r="C393"/>
    </row>
    <row r="394" spans="1:3" x14ac:dyDescent="0.2">
      <c r="A394"/>
      <c r="B394"/>
      <c r="C394"/>
    </row>
    <row r="395" spans="1:3" x14ac:dyDescent="0.2">
      <c r="A395"/>
      <c r="B395"/>
      <c r="C395"/>
    </row>
    <row r="396" spans="1:3" x14ac:dyDescent="0.2">
      <c r="A396"/>
      <c r="B396"/>
      <c r="C396"/>
    </row>
    <row r="397" spans="1:3" x14ac:dyDescent="0.2">
      <c r="A397"/>
      <c r="B397"/>
      <c r="C397"/>
    </row>
    <row r="398" spans="1:3" x14ac:dyDescent="0.2">
      <c r="A398"/>
      <c r="B398"/>
      <c r="C398"/>
    </row>
    <row r="399" spans="1:3" x14ac:dyDescent="0.2">
      <c r="A399"/>
      <c r="B399"/>
      <c r="C399"/>
    </row>
    <row r="400" spans="1:3" x14ac:dyDescent="0.2">
      <c r="A400"/>
      <c r="B400"/>
      <c r="C400"/>
    </row>
    <row r="401" spans="1:3" x14ac:dyDescent="0.2">
      <c r="A401"/>
      <c r="B401"/>
      <c r="C401"/>
    </row>
    <row r="402" spans="1:3" x14ac:dyDescent="0.2">
      <c r="A402"/>
      <c r="B402"/>
      <c r="C402"/>
    </row>
    <row r="403" spans="1:3" x14ac:dyDescent="0.2">
      <c r="A403"/>
      <c r="B403"/>
      <c r="C403"/>
    </row>
    <row r="404" spans="1:3" x14ac:dyDescent="0.2">
      <c r="A404"/>
      <c r="B404"/>
      <c r="C404"/>
    </row>
    <row r="405" spans="1:3" x14ac:dyDescent="0.2">
      <c r="A405"/>
      <c r="B405"/>
      <c r="C405"/>
    </row>
    <row r="406" spans="1:3" x14ac:dyDescent="0.2">
      <c r="A406"/>
      <c r="B406"/>
      <c r="C406"/>
    </row>
    <row r="407" spans="1:3" x14ac:dyDescent="0.2">
      <c r="A407"/>
      <c r="B407"/>
      <c r="C407"/>
    </row>
    <row r="408" spans="1:3" x14ac:dyDescent="0.2">
      <c r="A408"/>
      <c r="B408"/>
      <c r="C408"/>
    </row>
    <row r="409" spans="1:3" x14ac:dyDescent="0.2">
      <c r="A409"/>
      <c r="B409"/>
      <c r="C409"/>
    </row>
    <row r="410" spans="1:3" x14ac:dyDescent="0.2">
      <c r="A410"/>
      <c r="B410"/>
      <c r="C410"/>
    </row>
    <row r="411" spans="1:3" x14ac:dyDescent="0.2">
      <c r="A411"/>
      <c r="B411"/>
      <c r="C411"/>
    </row>
    <row r="412" spans="1:3" x14ac:dyDescent="0.2">
      <c r="A412"/>
      <c r="B412"/>
      <c r="C412"/>
    </row>
    <row r="413" spans="1:3" x14ac:dyDescent="0.2">
      <c r="A413"/>
      <c r="B413"/>
      <c r="C413"/>
    </row>
    <row r="414" spans="1:3" x14ac:dyDescent="0.2">
      <c r="A414"/>
      <c r="B414"/>
      <c r="C414"/>
    </row>
    <row r="415" spans="1:3" x14ac:dyDescent="0.2">
      <c r="A415"/>
      <c r="B415"/>
      <c r="C415"/>
    </row>
    <row r="416" spans="1:3" x14ac:dyDescent="0.2">
      <c r="A416"/>
      <c r="B416"/>
      <c r="C416"/>
    </row>
    <row r="417" spans="1:3" x14ac:dyDescent="0.2">
      <c r="A417"/>
      <c r="B417"/>
      <c r="C417"/>
    </row>
    <row r="418" spans="1:3" x14ac:dyDescent="0.2">
      <c r="A418"/>
      <c r="B418"/>
      <c r="C418"/>
    </row>
    <row r="419" spans="1:3" x14ac:dyDescent="0.2">
      <c r="A419"/>
      <c r="B419"/>
      <c r="C419"/>
    </row>
    <row r="420" spans="1:3" x14ac:dyDescent="0.2">
      <c r="A420"/>
      <c r="B420"/>
      <c r="C420"/>
    </row>
    <row r="421" spans="1:3" x14ac:dyDescent="0.2">
      <c r="A421"/>
      <c r="B421"/>
      <c r="C421"/>
    </row>
    <row r="422" spans="1:3" x14ac:dyDescent="0.2">
      <c r="A422"/>
      <c r="B422"/>
      <c r="C422"/>
    </row>
    <row r="423" spans="1:3" x14ac:dyDescent="0.2">
      <c r="A423"/>
      <c r="B423"/>
      <c r="C423"/>
    </row>
    <row r="424" spans="1:3" x14ac:dyDescent="0.2">
      <c r="A424"/>
      <c r="B424"/>
      <c r="C424"/>
    </row>
    <row r="425" spans="1:3" x14ac:dyDescent="0.2">
      <c r="A425"/>
      <c r="B425"/>
      <c r="C425"/>
    </row>
    <row r="426" spans="1:3" x14ac:dyDescent="0.2">
      <c r="A426"/>
      <c r="B426"/>
      <c r="C426"/>
    </row>
    <row r="427" spans="1:3" x14ac:dyDescent="0.2">
      <c r="A427"/>
      <c r="B427"/>
      <c r="C427"/>
    </row>
    <row r="428" spans="1:3" x14ac:dyDescent="0.2">
      <c r="A428"/>
      <c r="B428"/>
      <c r="C428"/>
    </row>
    <row r="429" spans="1:3" x14ac:dyDescent="0.2">
      <c r="A429"/>
      <c r="B429"/>
      <c r="C429"/>
    </row>
    <row r="430" spans="1:3" x14ac:dyDescent="0.2">
      <c r="A430"/>
      <c r="B430"/>
      <c r="C430"/>
    </row>
    <row r="431" spans="1:3" x14ac:dyDescent="0.2">
      <c r="A431"/>
      <c r="B431"/>
      <c r="C431"/>
    </row>
    <row r="432" spans="1:3" x14ac:dyDescent="0.2">
      <c r="A432"/>
      <c r="B432"/>
      <c r="C432"/>
    </row>
    <row r="433" spans="1:3" x14ac:dyDescent="0.2">
      <c r="A433"/>
      <c r="B433"/>
      <c r="C433"/>
    </row>
    <row r="434" spans="1:3" x14ac:dyDescent="0.2">
      <c r="A434"/>
      <c r="B434"/>
      <c r="C434"/>
    </row>
  </sheetData>
  <sheetProtection password="C4B9" sheet="1" objects="1" scenarios="1"/>
  <sortState ref="A2:C434">
    <sortCondition descending="1" ref="C2:C434"/>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91"/>
  <sheetViews>
    <sheetView workbookViewId="0">
      <selection activeCell="J15" sqref="J15"/>
    </sheetView>
  </sheetViews>
  <sheetFormatPr defaultRowHeight="15" customHeight="1" x14ac:dyDescent="0.2"/>
  <cols>
    <col min="1" max="1" width="24.5" bestFit="1" customWidth="1"/>
    <col min="2" max="2" width="4.6640625" bestFit="1" customWidth="1"/>
    <col min="3" max="3" width="5.83203125" bestFit="1" customWidth="1"/>
    <col min="4" max="4" width="10.1640625" bestFit="1" customWidth="1"/>
  </cols>
  <sheetData>
    <row r="1" spans="1:4" ht="21" customHeight="1" thickBot="1" x14ac:dyDescent="0.25">
      <c r="A1" s="1122"/>
      <c r="B1" s="1123" t="s">
        <v>2177</v>
      </c>
      <c r="C1" s="1123" t="s">
        <v>1645</v>
      </c>
      <c r="D1" s="1124" t="s">
        <v>1690</v>
      </c>
    </row>
    <row r="2" spans="1:4" ht="15" customHeight="1" thickBot="1" x14ac:dyDescent="0.25">
      <c r="A2" s="1125" t="s">
        <v>2178</v>
      </c>
      <c r="B2" s="1126"/>
      <c r="C2" s="1127"/>
      <c r="D2" s="1128"/>
    </row>
    <row r="3" spans="1:4" ht="15" customHeight="1" x14ac:dyDescent="0.2">
      <c r="A3" s="1129" t="s">
        <v>2179</v>
      </c>
      <c r="B3" s="1130"/>
      <c r="C3" s="1130" t="s">
        <v>1646</v>
      </c>
      <c r="D3" s="1131"/>
    </row>
    <row r="4" spans="1:4" ht="15" customHeight="1" x14ac:dyDescent="0.2">
      <c r="A4" s="1132" t="s">
        <v>2180</v>
      </c>
      <c r="B4" s="1130"/>
      <c r="C4" s="1130" t="s">
        <v>1646</v>
      </c>
      <c r="D4" s="1131"/>
    </row>
    <row r="5" spans="1:4" ht="15" customHeight="1" x14ac:dyDescent="0.2">
      <c r="A5" s="1132" t="s">
        <v>2181</v>
      </c>
      <c r="B5" s="1130"/>
      <c r="C5" s="1130" t="s">
        <v>1646</v>
      </c>
      <c r="D5" s="1131"/>
    </row>
    <row r="6" spans="1:4" ht="15" customHeight="1" x14ac:dyDescent="0.2">
      <c r="A6" s="1132" t="s">
        <v>2182</v>
      </c>
      <c r="B6" s="1130"/>
      <c r="C6" s="1130" t="s">
        <v>1646</v>
      </c>
      <c r="D6" s="1131"/>
    </row>
    <row r="7" spans="1:4" ht="15" customHeight="1" x14ac:dyDescent="0.2">
      <c r="A7" s="1132" t="s">
        <v>2183</v>
      </c>
      <c r="B7" s="1130"/>
      <c r="C7" s="1130" t="s">
        <v>1646</v>
      </c>
      <c r="D7" s="1131"/>
    </row>
    <row r="8" spans="1:4" ht="15" customHeight="1" x14ac:dyDescent="0.2">
      <c r="A8" s="1132" t="s">
        <v>2184</v>
      </c>
      <c r="B8" s="1130"/>
      <c r="C8" s="1130" t="s">
        <v>1646</v>
      </c>
      <c r="D8" s="1131"/>
    </row>
    <row r="9" spans="1:4" ht="15" customHeight="1" x14ac:dyDescent="0.2">
      <c r="A9" s="1132" t="s">
        <v>2185</v>
      </c>
      <c r="B9" s="1130"/>
      <c r="C9" s="1130" t="s">
        <v>1646</v>
      </c>
      <c r="D9" s="1131"/>
    </row>
    <row r="10" spans="1:4" ht="15" customHeight="1" x14ac:dyDescent="0.2">
      <c r="A10" s="1132" t="s">
        <v>2186</v>
      </c>
      <c r="B10" s="1130"/>
      <c r="C10" s="1130" t="s">
        <v>1646</v>
      </c>
      <c r="D10" s="1131"/>
    </row>
    <row r="11" spans="1:4" ht="15" customHeight="1" x14ac:dyDescent="0.2">
      <c r="A11" s="1132" t="s">
        <v>2187</v>
      </c>
      <c r="B11" s="1130"/>
      <c r="C11" s="1130" t="s">
        <v>1646</v>
      </c>
      <c r="D11" s="1131"/>
    </row>
    <row r="12" spans="1:4" ht="15" customHeight="1" x14ac:dyDescent="0.2">
      <c r="A12" s="1132" t="s">
        <v>2188</v>
      </c>
      <c r="B12" s="1130"/>
      <c r="C12" s="1130" t="s">
        <v>1646</v>
      </c>
      <c r="D12" s="1131"/>
    </row>
    <row r="13" spans="1:4" ht="15" customHeight="1" x14ac:dyDescent="0.2">
      <c r="A13" s="1132" t="s">
        <v>2189</v>
      </c>
      <c r="B13" s="1130"/>
      <c r="C13" s="1130" t="s">
        <v>1646</v>
      </c>
      <c r="D13" s="1131"/>
    </row>
    <row r="14" spans="1:4" ht="15" customHeight="1" thickBot="1" x14ac:dyDescent="0.25">
      <c r="A14" s="1133" t="s">
        <v>2190</v>
      </c>
      <c r="B14" s="1130"/>
      <c r="C14" s="1130" t="s">
        <v>1646</v>
      </c>
      <c r="D14" s="1131"/>
    </row>
    <row r="15" spans="1:4" ht="15" customHeight="1" thickBot="1" x14ac:dyDescent="0.25">
      <c r="A15" s="1134" t="s">
        <v>2191</v>
      </c>
      <c r="B15" s="1126"/>
      <c r="C15" s="1127"/>
      <c r="D15" s="1128"/>
    </row>
    <row r="16" spans="1:4" ht="15" customHeight="1" x14ac:dyDescent="0.2">
      <c r="A16" s="1129" t="s">
        <v>2192</v>
      </c>
      <c r="B16" s="1130"/>
      <c r="C16" s="1130" t="s">
        <v>1646</v>
      </c>
      <c r="D16" s="1131"/>
    </row>
    <row r="17" spans="1:4" ht="15" customHeight="1" x14ac:dyDescent="0.2">
      <c r="A17" s="1132" t="s">
        <v>2193</v>
      </c>
      <c r="B17" s="1130"/>
      <c r="C17" s="1130" t="s">
        <v>1646</v>
      </c>
      <c r="D17" s="1131" t="s">
        <v>1646</v>
      </c>
    </row>
    <row r="18" spans="1:4" ht="15" customHeight="1" x14ac:dyDescent="0.2">
      <c r="A18" s="1132" t="s">
        <v>2194</v>
      </c>
      <c r="B18" s="1130"/>
      <c r="C18" s="1130" t="s">
        <v>1646</v>
      </c>
      <c r="D18" s="1131"/>
    </row>
    <row r="19" spans="1:4" ht="15" customHeight="1" thickBot="1" x14ac:dyDescent="0.25">
      <c r="A19" s="1133" t="s">
        <v>2195</v>
      </c>
      <c r="B19" s="1130"/>
      <c r="C19" s="1130" t="s">
        <v>1646</v>
      </c>
      <c r="D19" s="1131"/>
    </row>
    <row r="20" spans="1:4" ht="15" customHeight="1" thickBot="1" x14ac:dyDescent="0.25">
      <c r="A20" s="1134" t="s">
        <v>2196</v>
      </c>
      <c r="B20" s="1126"/>
      <c r="C20" s="1127"/>
      <c r="D20" s="1128"/>
    </row>
    <row r="21" spans="1:4" ht="15" customHeight="1" x14ac:dyDescent="0.2">
      <c r="A21" s="1129" t="s">
        <v>2197</v>
      </c>
      <c r="B21" s="1130"/>
      <c r="C21" s="1130" t="s">
        <v>1646</v>
      </c>
      <c r="D21" s="1131" t="s">
        <v>1646</v>
      </c>
    </row>
    <row r="22" spans="1:4" ht="15" customHeight="1" x14ac:dyDescent="0.2">
      <c r="A22" s="1132" t="s">
        <v>2198</v>
      </c>
      <c r="B22" s="1130"/>
      <c r="C22" s="1130" t="s">
        <v>1646</v>
      </c>
      <c r="D22" s="1131" t="s">
        <v>1646</v>
      </c>
    </row>
    <row r="23" spans="1:4" ht="15" customHeight="1" x14ac:dyDescent="0.2">
      <c r="A23" s="1132" t="s">
        <v>2199</v>
      </c>
      <c r="B23" s="1130"/>
      <c r="C23" s="1130" t="s">
        <v>1646</v>
      </c>
      <c r="D23" s="1131" t="s">
        <v>1646</v>
      </c>
    </row>
    <row r="24" spans="1:4" ht="15" customHeight="1" x14ac:dyDescent="0.2">
      <c r="A24" s="1132" t="s">
        <v>2200</v>
      </c>
      <c r="B24" s="1130"/>
      <c r="C24" s="1130" t="s">
        <v>1646</v>
      </c>
      <c r="D24" s="1131" t="s">
        <v>1646</v>
      </c>
    </row>
    <row r="25" spans="1:4" ht="15" customHeight="1" x14ac:dyDescent="0.2">
      <c r="A25" s="1132" t="s">
        <v>2201</v>
      </c>
      <c r="B25" s="1130"/>
      <c r="C25" s="1130" t="s">
        <v>1646</v>
      </c>
      <c r="D25" s="1131" t="s">
        <v>1646</v>
      </c>
    </row>
    <row r="26" spans="1:4" ht="15" customHeight="1" x14ac:dyDescent="0.2">
      <c r="A26" s="1132" t="s">
        <v>2202</v>
      </c>
      <c r="B26" s="1130"/>
      <c r="C26" s="1130" t="s">
        <v>1646</v>
      </c>
      <c r="D26" s="1131"/>
    </row>
    <row r="27" spans="1:4" ht="15" customHeight="1" x14ac:dyDescent="0.2">
      <c r="A27" s="1132" t="s">
        <v>2203</v>
      </c>
      <c r="B27" s="1130"/>
      <c r="C27" s="1130" t="s">
        <v>1646</v>
      </c>
      <c r="D27" s="1131"/>
    </row>
    <row r="28" spans="1:4" ht="15" customHeight="1" x14ac:dyDescent="0.2">
      <c r="A28" s="1132" t="s">
        <v>2204</v>
      </c>
      <c r="B28" s="1130"/>
      <c r="C28" s="1130" t="s">
        <v>1646</v>
      </c>
      <c r="D28" s="1131"/>
    </row>
    <row r="29" spans="1:4" ht="15" customHeight="1" x14ac:dyDescent="0.2">
      <c r="A29" s="1132" t="s">
        <v>2205</v>
      </c>
      <c r="B29" s="1130"/>
      <c r="C29" s="1130"/>
      <c r="D29" s="1131" t="s">
        <v>1646</v>
      </c>
    </row>
    <row r="30" spans="1:4" ht="15" customHeight="1" x14ac:dyDescent="0.2">
      <c r="A30" s="1132" t="s">
        <v>2206</v>
      </c>
      <c r="B30" s="1130"/>
      <c r="C30" s="1130" t="s">
        <v>1646</v>
      </c>
      <c r="D30" s="1131" t="s">
        <v>1646</v>
      </c>
    </row>
    <row r="31" spans="1:4" ht="15" customHeight="1" thickBot="1" x14ac:dyDescent="0.25">
      <c r="A31" s="1133" t="s">
        <v>2207</v>
      </c>
      <c r="B31" s="1130"/>
      <c r="C31" s="1130" t="s">
        <v>1646</v>
      </c>
      <c r="D31" s="1131" t="s">
        <v>1646</v>
      </c>
    </row>
    <row r="32" spans="1:4" ht="15" customHeight="1" x14ac:dyDescent="0.2">
      <c r="A32" s="1135" t="s">
        <v>1636</v>
      </c>
      <c r="B32" s="1126"/>
      <c r="C32" s="1127"/>
      <c r="D32" s="1128"/>
    </row>
    <row r="33" spans="1:4" ht="15" customHeight="1" x14ac:dyDescent="0.2">
      <c r="A33" s="1136" t="s">
        <v>1638</v>
      </c>
      <c r="B33" s="1130" t="s">
        <v>1646</v>
      </c>
      <c r="C33" s="1130" t="s">
        <v>1646</v>
      </c>
      <c r="D33" s="1131"/>
    </row>
    <row r="34" spans="1:4" ht="15" customHeight="1" x14ac:dyDescent="0.2">
      <c r="A34" s="1136" t="s">
        <v>1639</v>
      </c>
      <c r="B34" s="1130" t="s">
        <v>1646</v>
      </c>
      <c r="C34" s="1130"/>
      <c r="D34" s="1131"/>
    </row>
    <row r="35" spans="1:4" ht="15" customHeight="1" x14ac:dyDescent="0.2">
      <c r="A35" s="1136" t="s">
        <v>1640</v>
      </c>
      <c r="B35" s="1130" t="s">
        <v>1646</v>
      </c>
      <c r="C35" s="1130"/>
      <c r="D35" s="1131"/>
    </row>
    <row r="36" spans="1:4" ht="15" customHeight="1" x14ac:dyDescent="0.2">
      <c r="A36" s="1136" t="s">
        <v>1641</v>
      </c>
      <c r="B36" s="1130" t="s">
        <v>1646</v>
      </c>
      <c r="C36" s="1130"/>
      <c r="D36" s="1131"/>
    </row>
    <row r="37" spans="1:4" ht="15" customHeight="1" x14ac:dyDescent="0.2">
      <c r="A37" s="1136" t="s">
        <v>1642</v>
      </c>
      <c r="B37" s="1130" t="s">
        <v>1646</v>
      </c>
      <c r="C37" s="1130"/>
      <c r="D37" s="1131"/>
    </row>
    <row r="38" spans="1:4" ht="15" customHeight="1" x14ac:dyDescent="0.2">
      <c r="A38" s="1136" t="s">
        <v>2208</v>
      </c>
      <c r="B38" s="1130" t="s">
        <v>1646</v>
      </c>
      <c r="C38" s="1130" t="s">
        <v>1646</v>
      </c>
      <c r="D38" s="1131"/>
    </row>
    <row r="39" spans="1:4" ht="15" customHeight="1" x14ac:dyDescent="0.2">
      <c r="A39" s="1136" t="s">
        <v>2209</v>
      </c>
      <c r="B39" s="1130" t="s">
        <v>1646</v>
      </c>
      <c r="C39" s="1130" t="s">
        <v>1646</v>
      </c>
      <c r="D39" s="1131"/>
    </row>
    <row r="40" spans="1:4" ht="15" customHeight="1" x14ac:dyDescent="0.2">
      <c r="A40" s="1136" t="s">
        <v>1647</v>
      </c>
      <c r="B40" s="1130" t="s">
        <v>1646</v>
      </c>
      <c r="C40" s="1130"/>
      <c r="D40" s="1131"/>
    </row>
    <row r="41" spans="1:4" ht="15" customHeight="1" x14ac:dyDescent="0.2">
      <c r="A41" s="1136" t="s">
        <v>2210</v>
      </c>
      <c r="B41" s="1130" t="s">
        <v>1646</v>
      </c>
      <c r="C41" s="1130" t="s">
        <v>1646</v>
      </c>
      <c r="D41" s="1131"/>
    </row>
    <row r="42" spans="1:4" ht="15" customHeight="1" x14ac:dyDescent="0.2">
      <c r="A42" s="1136" t="s">
        <v>2211</v>
      </c>
      <c r="B42" s="1130" t="s">
        <v>1646</v>
      </c>
      <c r="C42" s="1130" t="s">
        <v>1646</v>
      </c>
      <c r="D42" s="1131"/>
    </row>
    <row r="43" spans="1:4" ht="15" customHeight="1" x14ac:dyDescent="0.2">
      <c r="A43" s="1137" t="s">
        <v>1683</v>
      </c>
      <c r="B43" s="1130" t="s">
        <v>1646</v>
      </c>
      <c r="C43" s="1130" t="s">
        <v>1646</v>
      </c>
      <c r="D43" s="1131"/>
    </row>
    <row r="44" spans="1:4" ht="15" customHeight="1" x14ac:dyDescent="0.2">
      <c r="A44" s="1136" t="s">
        <v>1643</v>
      </c>
      <c r="B44" s="1130" t="s">
        <v>1646</v>
      </c>
      <c r="C44" s="1130"/>
      <c r="D44" s="1131"/>
    </row>
    <row r="45" spans="1:4" ht="15" customHeight="1" x14ac:dyDescent="0.2">
      <c r="A45" s="1136" t="s">
        <v>1644</v>
      </c>
      <c r="B45" s="1130" t="s">
        <v>1646</v>
      </c>
      <c r="C45" s="1130"/>
      <c r="D45" s="1131" t="s">
        <v>1646</v>
      </c>
    </row>
    <row r="46" spans="1:4" ht="15" customHeight="1" x14ac:dyDescent="0.2">
      <c r="A46" s="1137" t="s">
        <v>1681</v>
      </c>
      <c r="B46" s="1130" t="s">
        <v>1646</v>
      </c>
      <c r="C46" s="1130" t="s">
        <v>1646</v>
      </c>
      <c r="D46" s="1131"/>
    </row>
    <row r="47" spans="1:4" ht="15" customHeight="1" x14ac:dyDescent="0.2">
      <c r="A47" s="1136" t="s">
        <v>1648</v>
      </c>
      <c r="B47" s="1130" t="s">
        <v>1646</v>
      </c>
      <c r="C47" s="1130"/>
      <c r="D47" s="1131"/>
    </row>
    <row r="48" spans="1:4" ht="15" customHeight="1" x14ac:dyDescent="0.2">
      <c r="A48" s="1136" t="s">
        <v>1649</v>
      </c>
      <c r="B48" s="1130" t="s">
        <v>1646</v>
      </c>
      <c r="C48" s="1130"/>
      <c r="D48" s="1131"/>
    </row>
    <row r="49" spans="1:4" ht="21" customHeight="1" x14ac:dyDescent="0.2">
      <c r="A49" s="1136" t="s">
        <v>1650</v>
      </c>
      <c r="B49" s="1130" t="s">
        <v>1646</v>
      </c>
      <c r="C49" s="1130"/>
      <c r="D49" s="1131"/>
    </row>
    <row r="50" spans="1:4" ht="21" customHeight="1" x14ac:dyDescent="0.2">
      <c r="A50" s="1136" t="s">
        <v>1651</v>
      </c>
      <c r="B50" s="1130" t="s">
        <v>1646</v>
      </c>
      <c r="C50" s="1130"/>
      <c r="D50" s="1131"/>
    </row>
    <row r="51" spans="1:4" ht="57" customHeight="1" x14ac:dyDescent="0.2">
      <c r="A51" s="1136" t="s">
        <v>1656</v>
      </c>
      <c r="B51" s="1130" t="s">
        <v>1646</v>
      </c>
      <c r="C51" s="1130"/>
      <c r="D51" s="1131"/>
    </row>
    <row r="52" spans="1:4" ht="45" customHeight="1" x14ac:dyDescent="0.2">
      <c r="A52" s="1136" t="s">
        <v>1653</v>
      </c>
      <c r="B52" s="1130" t="s">
        <v>1646</v>
      </c>
      <c r="C52" s="1130"/>
      <c r="D52" s="1131"/>
    </row>
    <row r="53" spans="1:4" ht="15" customHeight="1" x14ac:dyDescent="0.2">
      <c r="A53" s="1136" t="s">
        <v>1654</v>
      </c>
      <c r="B53" s="1130" t="s">
        <v>1646</v>
      </c>
      <c r="C53" s="1130"/>
      <c r="D53" s="1131"/>
    </row>
    <row r="54" spans="1:4" ht="15" customHeight="1" x14ac:dyDescent="0.2">
      <c r="A54" s="1136" t="s">
        <v>1652</v>
      </c>
      <c r="B54" s="1130" t="s">
        <v>1646</v>
      </c>
      <c r="C54" s="1130"/>
      <c r="D54" s="1131"/>
    </row>
    <row r="55" spans="1:4" ht="15" customHeight="1" x14ac:dyDescent="0.2">
      <c r="A55" s="1136" t="s">
        <v>1655</v>
      </c>
      <c r="B55" s="1130" t="s">
        <v>1646</v>
      </c>
      <c r="C55" s="1130"/>
      <c r="D55" s="1131"/>
    </row>
    <row r="56" spans="1:4" ht="15" customHeight="1" x14ac:dyDescent="0.2">
      <c r="A56" s="1136" t="s">
        <v>1659</v>
      </c>
      <c r="B56" s="1130" t="s">
        <v>1646</v>
      </c>
      <c r="C56" s="1130"/>
      <c r="D56" s="1131"/>
    </row>
    <row r="57" spans="1:4" ht="15" customHeight="1" x14ac:dyDescent="0.2">
      <c r="A57" s="1136" t="s">
        <v>2212</v>
      </c>
      <c r="B57" s="1130" t="s">
        <v>1646</v>
      </c>
      <c r="C57" s="1130"/>
      <c r="D57" s="1131"/>
    </row>
    <row r="58" spans="1:4" ht="15" customHeight="1" x14ac:dyDescent="0.2">
      <c r="A58" s="1136" t="s">
        <v>1660</v>
      </c>
      <c r="B58" s="1130" t="s">
        <v>1646</v>
      </c>
      <c r="C58" s="1130"/>
      <c r="D58" s="1131"/>
    </row>
    <row r="59" spans="1:4" ht="15" customHeight="1" x14ac:dyDescent="0.2">
      <c r="A59" s="1136" t="s">
        <v>1661</v>
      </c>
      <c r="B59" s="1130" t="s">
        <v>1646</v>
      </c>
      <c r="C59" s="1130"/>
      <c r="D59" s="1131"/>
    </row>
    <row r="60" spans="1:4" ht="15" customHeight="1" x14ac:dyDescent="0.2">
      <c r="A60" s="1137" t="s">
        <v>1680</v>
      </c>
      <c r="B60" s="1130" t="s">
        <v>1646</v>
      </c>
      <c r="C60" s="1130" t="s">
        <v>1646</v>
      </c>
      <c r="D60" s="1131" t="s">
        <v>1646</v>
      </c>
    </row>
    <row r="61" spans="1:4" ht="15" customHeight="1" x14ac:dyDescent="0.2">
      <c r="A61" s="1136" t="s">
        <v>2213</v>
      </c>
      <c r="B61" s="1130" t="s">
        <v>1646</v>
      </c>
      <c r="C61" s="1130" t="s">
        <v>1646</v>
      </c>
      <c r="D61" s="1131"/>
    </row>
    <row r="62" spans="1:4" ht="15" customHeight="1" x14ac:dyDescent="0.2">
      <c r="A62" s="1136" t="s">
        <v>2214</v>
      </c>
      <c r="B62" s="1130" t="s">
        <v>1646</v>
      </c>
      <c r="C62" s="1130" t="s">
        <v>1646</v>
      </c>
      <c r="D62" s="1131"/>
    </row>
    <row r="63" spans="1:4" ht="15" customHeight="1" x14ac:dyDescent="0.2">
      <c r="A63" s="1137" t="s">
        <v>2215</v>
      </c>
      <c r="B63" s="1130" t="s">
        <v>1646</v>
      </c>
      <c r="C63" s="1130" t="s">
        <v>1646</v>
      </c>
      <c r="D63" s="1131"/>
    </row>
    <row r="64" spans="1:4" ht="15" customHeight="1" x14ac:dyDescent="0.2">
      <c r="A64" s="1136" t="s">
        <v>2216</v>
      </c>
      <c r="B64" s="1130" t="s">
        <v>1646</v>
      </c>
      <c r="C64" s="1130"/>
      <c r="D64" s="1131"/>
    </row>
    <row r="65" spans="1:4" ht="15" customHeight="1" x14ac:dyDescent="0.2">
      <c r="A65" s="1136" t="s">
        <v>1662</v>
      </c>
      <c r="B65" s="1130" t="s">
        <v>1646</v>
      </c>
      <c r="C65" s="1130"/>
      <c r="D65" s="1131"/>
    </row>
    <row r="66" spans="1:4" ht="15" customHeight="1" x14ac:dyDescent="0.2">
      <c r="A66" s="1136" t="s">
        <v>2217</v>
      </c>
      <c r="B66" s="1130" t="s">
        <v>1646</v>
      </c>
      <c r="C66" s="1130" t="s">
        <v>1646</v>
      </c>
      <c r="D66" s="1131"/>
    </row>
    <row r="67" spans="1:4" ht="15" customHeight="1" x14ac:dyDescent="0.2">
      <c r="A67" s="1136" t="s">
        <v>1663</v>
      </c>
      <c r="B67" s="1130" t="s">
        <v>1646</v>
      </c>
      <c r="C67" s="1130"/>
      <c r="D67" s="1131"/>
    </row>
    <row r="68" spans="1:4" ht="15" customHeight="1" x14ac:dyDescent="0.2">
      <c r="A68" s="1136" t="s">
        <v>1664</v>
      </c>
      <c r="B68" s="1130" t="s">
        <v>1646</v>
      </c>
      <c r="C68" s="1130"/>
      <c r="D68" s="1131"/>
    </row>
    <row r="69" spans="1:4" ht="15" customHeight="1" x14ac:dyDescent="0.2">
      <c r="A69" s="1136" t="s">
        <v>1665</v>
      </c>
      <c r="B69" s="1130" t="s">
        <v>1646</v>
      </c>
      <c r="C69" s="1130"/>
      <c r="D69" s="1131" t="s">
        <v>1646</v>
      </c>
    </row>
    <row r="70" spans="1:4" ht="15" customHeight="1" x14ac:dyDescent="0.2">
      <c r="A70" s="1136" t="s">
        <v>1666</v>
      </c>
      <c r="B70" s="1130" t="s">
        <v>1646</v>
      </c>
      <c r="C70" s="1130"/>
      <c r="D70" s="1131" t="s">
        <v>1646</v>
      </c>
    </row>
    <row r="71" spans="1:4" ht="15" customHeight="1" x14ac:dyDescent="0.2">
      <c r="A71" s="1136" t="s">
        <v>1667</v>
      </c>
      <c r="B71" s="1130" t="s">
        <v>1646</v>
      </c>
      <c r="C71" s="1130"/>
      <c r="D71" s="1131"/>
    </row>
    <row r="72" spans="1:4" ht="15" customHeight="1" x14ac:dyDescent="0.2">
      <c r="A72" s="1136" t="s">
        <v>1668</v>
      </c>
      <c r="B72" s="1130" t="s">
        <v>1646</v>
      </c>
      <c r="C72" s="1130"/>
      <c r="D72" s="1131"/>
    </row>
    <row r="73" spans="1:4" ht="15" customHeight="1" x14ac:dyDescent="0.2">
      <c r="A73" s="1136" t="s">
        <v>1657</v>
      </c>
      <c r="B73" s="1130" t="s">
        <v>1646</v>
      </c>
      <c r="C73" s="1130"/>
      <c r="D73" s="1131"/>
    </row>
    <row r="74" spans="1:4" ht="15" customHeight="1" x14ac:dyDescent="0.2">
      <c r="A74" s="1136" t="s">
        <v>1658</v>
      </c>
      <c r="B74" s="1130" t="s">
        <v>1646</v>
      </c>
      <c r="C74" s="1130" t="s">
        <v>1646</v>
      </c>
      <c r="D74" s="1131"/>
    </row>
    <row r="75" spans="1:4" ht="15" customHeight="1" x14ac:dyDescent="0.2">
      <c r="A75" s="1136" t="s">
        <v>1682</v>
      </c>
      <c r="B75" s="1130" t="s">
        <v>1646</v>
      </c>
      <c r="C75" s="1130" t="s">
        <v>1646</v>
      </c>
      <c r="D75" s="1131" t="s">
        <v>1646</v>
      </c>
    </row>
    <row r="76" spans="1:4" ht="15" customHeight="1" x14ac:dyDescent="0.2">
      <c r="A76" s="1136" t="s">
        <v>1669</v>
      </c>
      <c r="B76" s="1130" t="s">
        <v>1646</v>
      </c>
      <c r="C76" s="1130"/>
      <c r="D76" s="1131"/>
    </row>
    <row r="77" spans="1:4" ht="15" customHeight="1" x14ac:dyDescent="0.2">
      <c r="A77" s="1136" t="s">
        <v>1670</v>
      </c>
      <c r="B77" s="1130" t="s">
        <v>1646</v>
      </c>
      <c r="C77" s="1130"/>
      <c r="D77" s="1131"/>
    </row>
    <row r="78" spans="1:4" ht="15" customHeight="1" x14ac:dyDescent="0.2">
      <c r="A78" s="1136" t="s">
        <v>1671</v>
      </c>
      <c r="B78" s="1130" t="s">
        <v>1646</v>
      </c>
      <c r="C78" s="1130"/>
      <c r="D78" s="1131"/>
    </row>
    <row r="79" spans="1:4" ht="15" customHeight="1" x14ac:dyDescent="0.2">
      <c r="A79" s="1136" t="s">
        <v>2218</v>
      </c>
      <c r="B79" s="1130" t="s">
        <v>1646</v>
      </c>
      <c r="C79" s="1130" t="s">
        <v>1646</v>
      </c>
      <c r="D79" s="1131"/>
    </row>
    <row r="80" spans="1:4" ht="15" customHeight="1" x14ac:dyDescent="0.2">
      <c r="A80" s="1136" t="s">
        <v>1672</v>
      </c>
      <c r="B80" s="1130" t="s">
        <v>1646</v>
      </c>
      <c r="C80" s="1130"/>
      <c r="D80" s="1131" t="s">
        <v>1646</v>
      </c>
    </row>
    <row r="81" spans="1:4" ht="15" customHeight="1" x14ac:dyDescent="0.2">
      <c r="A81" s="1136" t="s">
        <v>1673</v>
      </c>
      <c r="B81" s="1130" t="s">
        <v>1646</v>
      </c>
      <c r="C81" s="1130"/>
      <c r="D81" s="1131"/>
    </row>
    <row r="82" spans="1:4" ht="15" customHeight="1" x14ac:dyDescent="0.2">
      <c r="A82" s="1136" t="s">
        <v>2219</v>
      </c>
      <c r="B82" s="1130" t="s">
        <v>1646</v>
      </c>
      <c r="C82" s="1130" t="s">
        <v>1646</v>
      </c>
      <c r="D82" s="1131"/>
    </row>
    <row r="83" spans="1:4" ht="15" customHeight="1" x14ac:dyDescent="0.2">
      <c r="A83" s="1137" t="s">
        <v>2220</v>
      </c>
      <c r="B83" s="1130" t="s">
        <v>1646</v>
      </c>
      <c r="C83" s="1130" t="s">
        <v>1646</v>
      </c>
      <c r="D83" s="1131"/>
    </row>
    <row r="84" spans="1:4" ht="15" customHeight="1" x14ac:dyDescent="0.2">
      <c r="A84" s="1136" t="s">
        <v>1674</v>
      </c>
      <c r="B84" s="1130" t="s">
        <v>1646</v>
      </c>
      <c r="C84" s="1130"/>
      <c r="D84" s="1131"/>
    </row>
    <row r="85" spans="1:4" ht="15" customHeight="1" x14ac:dyDescent="0.2">
      <c r="A85" s="1136" t="s">
        <v>1675</v>
      </c>
      <c r="B85" s="1130" t="s">
        <v>1646</v>
      </c>
      <c r="C85" s="1130"/>
      <c r="D85" s="1131"/>
    </row>
    <row r="86" spans="1:4" ht="15" customHeight="1" x14ac:dyDescent="0.2">
      <c r="A86" s="1136" t="s">
        <v>1676</v>
      </c>
      <c r="B86" s="1130" t="s">
        <v>1646</v>
      </c>
      <c r="C86" s="1130"/>
      <c r="D86" s="1131"/>
    </row>
    <row r="87" spans="1:4" ht="15" customHeight="1" x14ac:dyDescent="0.2">
      <c r="A87" s="1137" t="s">
        <v>1684</v>
      </c>
      <c r="B87" s="1130" t="s">
        <v>1646</v>
      </c>
      <c r="C87" s="1130" t="s">
        <v>1646</v>
      </c>
      <c r="D87" s="1131"/>
    </row>
    <row r="88" spans="1:4" ht="15" customHeight="1" x14ac:dyDescent="0.2">
      <c r="A88" s="1136" t="s">
        <v>1677</v>
      </c>
      <c r="B88" s="1130" t="s">
        <v>1646</v>
      </c>
      <c r="C88" s="1130"/>
      <c r="D88" s="1131"/>
    </row>
    <row r="89" spans="1:4" ht="15" customHeight="1" x14ac:dyDescent="0.2">
      <c r="A89" s="1136" t="s">
        <v>1678</v>
      </c>
      <c r="B89" s="1130" t="s">
        <v>1646</v>
      </c>
      <c r="C89" s="1130"/>
      <c r="D89" s="1131" t="s">
        <v>1646</v>
      </c>
    </row>
    <row r="90" spans="1:4" ht="15" customHeight="1" x14ac:dyDescent="0.2">
      <c r="A90" s="1136" t="s">
        <v>1679</v>
      </c>
      <c r="B90" s="1130" t="s">
        <v>1646</v>
      </c>
      <c r="C90" s="1130"/>
      <c r="D90" s="1131"/>
    </row>
    <row r="91" spans="1:4" ht="15" customHeight="1" thickBot="1" x14ac:dyDescent="0.25">
      <c r="A91" s="1138" t="s">
        <v>1685</v>
      </c>
      <c r="B91" s="1139" t="s">
        <v>1646</v>
      </c>
      <c r="C91" s="1139" t="s">
        <v>1646</v>
      </c>
      <c r="D91" s="1140" t="s">
        <v>1646</v>
      </c>
    </row>
  </sheetData>
  <sheetProtection password="C4B9" sheet="1" objects="1" scenarios="1"/>
  <conditionalFormatting sqref="A1:A9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10"/>
  </sheetPr>
  <dimension ref="A1:CI89"/>
  <sheetViews>
    <sheetView zoomScaleNormal="100" workbookViewId="0">
      <selection sqref="A1:C1"/>
    </sheetView>
  </sheetViews>
  <sheetFormatPr defaultColWidth="9.33203125" defaultRowHeight="12.75" x14ac:dyDescent="0.2"/>
  <cols>
    <col min="1" max="1" width="4.83203125" style="24" customWidth="1"/>
    <col min="2" max="2" width="49.83203125" style="27" customWidth="1"/>
    <col min="3" max="5" width="42.83203125" style="27" customWidth="1"/>
    <col min="6" max="6" width="7.83203125" style="27" customWidth="1"/>
    <col min="7" max="7" width="7.83203125" style="26" customWidth="1"/>
    <col min="8" max="12" width="5.33203125" style="26" bestFit="1" customWidth="1"/>
    <col min="13" max="17" width="5.33203125" style="27" bestFit="1" customWidth="1"/>
    <col min="18" max="22" width="5.33203125" style="26" bestFit="1" customWidth="1"/>
    <col min="23" max="27" width="5.33203125" style="27" bestFit="1" customWidth="1"/>
    <col min="28" max="32" width="5.33203125" style="26" bestFit="1" customWidth="1"/>
    <col min="33" max="37" width="5.33203125" style="27" bestFit="1" customWidth="1"/>
    <col min="38" max="42" width="5.33203125" style="26" bestFit="1" customWidth="1"/>
    <col min="43" max="47" width="5.33203125" style="27" bestFit="1" customWidth="1"/>
    <col min="48" max="52" width="5.33203125" style="26" bestFit="1" customWidth="1"/>
    <col min="53" max="57" width="5.33203125" style="27" bestFit="1" customWidth="1"/>
    <col min="58" max="62" width="5.33203125" style="26" bestFit="1" customWidth="1"/>
    <col min="63" max="67" width="5.33203125" style="27" bestFit="1" customWidth="1"/>
    <col min="68" max="72" width="5.33203125" style="26" bestFit="1" customWidth="1"/>
    <col min="73" max="77" width="5.33203125" style="27" bestFit="1" customWidth="1"/>
    <col min="78" max="82" width="5.33203125" style="26" bestFit="1" customWidth="1"/>
    <col min="83" max="115" width="5.33203125" style="27" bestFit="1" customWidth="1"/>
    <col min="116" max="16384" width="9.33203125" style="27"/>
  </cols>
  <sheetData>
    <row r="1" spans="1:87" s="24" customFormat="1" ht="27" customHeight="1" thickBot="1" x14ac:dyDescent="0.25">
      <c r="A1" s="1839" t="s">
        <v>2500</v>
      </c>
      <c r="B1" s="1840"/>
      <c r="C1" s="1840"/>
      <c r="D1" s="1725" t="s">
        <v>2545</v>
      </c>
      <c r="E1" s="1725" t="s">
        <v>2544</v>
      </c>
      <c r="F1" s="1726"/>
      <c r="G1" s="1726"/>
    </row>
    <row r="2" spans="1:87" s="70" customFormat="1" ht="64.5" customHeight="1" thickBot="1" x14ac:dyDescent="0.25">
      <c r="A2" s="1912" t="s">
        <v>2355</v>
      </c>
      <c r="B2" s="1913"/>
      <c r="C2" s="1913"/>
      <c r="D2" s="1914"/>
      <c r="E2" s="1915"/>
      <c r="F2" s="1222"/>
      <c r="G2" s="1223" t="s">
        <v>2239</v>
      </c>
      <c r="H2" s="1738" t="s">
        <v>2503</v>
      </c>
      <c r="I2" s="1738" t="s">
        <v>2503</v>
      </c>
      <c r="J2" s="1738" t="s">
        <v>2503</v>
      </c>
      <c r="K2" s="1738" t="s">
        <v>2503</v>
      </c>
      <c r="L2" s="1738" t="s">
        <v>2503</v>
      </c>
      <c r="M2" s="1738" t="s">
        <v>2503</v>
      </c>
      <c r="N2" s="1738" t="s">
        <v>2503</v>
      </c>
      <c r="O2" s="1738" t="s">
        <v>2503</v>
      </c>
      <c r="P2" s="1738" t="s">
        <v>2503</v>
      </c>
      <c r="Q2" s="1738" t="s">
        <v>2503</v>
      </c>
      <c r="R2" s="1738" t="s">
        <v>2503</v>
      </c>
      <c r="S2" s="1738" t="s">
        <v>2503</v>
      </c>
      <c r="T2" s="1738" t="s">
        <v>2503</v>
      </c>
      <c r="U2" s="1738" t="s">
        <v>2503</v>
      </c>
      <c r="V2" s="1738" t="s">
        <v>2503</v>
      </c>
      <c r="W2" s="1738" t="s">
        <v>2503</v>
      </c>
      <c r="X2" s="1738" t="s">
        <v>2503</v>
      </c>
      <c r="Y2" s="1738" t="s">
        <v>2503</v>
      </c>
      <c r="Z2" s="1738" t="s">
        <v>2503</v>
      </c>
      <c r="AA2" s="1738" t="s">
        <v>2503</v>
      </c>
      <c r="AB2" s="1738" t="s">
        <v>2503</v>
      </c>
      <c r="AC2" s="1738" t="s">
        <v>2503</v>
      </c>
      <c r="AD2" s="1738" t="s">
        <v>2503</v>
      </c>
      <c r="AE2" s="1738" t="s">
        <v>2503</v>
      </c>
      <c r="AF2" s="1738" t="s">
        <v>2503</v>
      </c>
      <c r="AG2" s="1738" t="s">
        <v>2503</v>
      </c>
      <c r="AH2" s="1738" t="s">
        <v>2503</v>
      </c>
      <c r="AI2" s="1738" t="s">
        <v>2503</v>
      </c>
      <c r="AJ2" s="1738" t="s">
        <v>2503</v>
      </c>
      <c r="AK2" s="1738" t="s">
        <v>2503</v>
      </c>
      <c r="AL2" s="1738" t="s">
        <v>2503</v>
      </c>
      <c r="AM2" s="1738" t="s">
        <v>2503</v>
      </c>
      <c r="AN2" s="1738" t="s">
        <v>2503</v>
      </c>
      <c r="AO2" s="1738" t="s">
        <v>2503</v>
      </c>
      <c r="AP2" s="1738" t="s">
        <v>2503</v>
      </c>
      <c r="AQ2" s="1738" t="s">
        <v>2503</v>
      </c>
      <c r="AR2" s="1738" t="s">
        <v>2503</v>
      </c>
      <c r="AS2" s="1738" t="s">
        <v>2503</v>
      </c>
      <c r="AT2" s="1738" t="s">
        <v>2503</v>
      </c>
      <c r="AU2" s="1738" t="s">
        <v>2503</v>
      </c>
      <c r="AV2" s="1738" t="s">
        <v>2503</v>
      </c>
      <c r="AW2" s="1738" t="s">
        <v>2503</v>
      </c>
      <c r="AX2" s="1738" t="s">
        <v>2503</v>
      </c>
      <c r="AY2" s="1738" t="s">
        <v>2503</v>
      </c>
      <c r="AZ2" s="1738" t="s">
        <v>2503</v>
      </c>
      <c r="BA2" s="1738" t="s">
        <v>2503</v>
      </c>
      <c r="BB2" s="1738" t="s">
        <v>2503</v>
      </c>
      <c r="BC2" s="1738" t="s">
        <v>2503</v>
      </c>
      <c r="BD2" s="1738" t="s">
        <v>2503</v>
      </c>
      <c r="BE2" s="1738" t="s">
        <v>2503</v>
      </c>
      <c r="BF2" s="1738" t="s">
        <v>2503</v>
      </c>
      <c r="BG2" s="1738" t="s">
        <v>2503</v>
      </c>
      <c r="BH2" s="1738" t="s">
        <v>2503</v>
      </c>
      <c r="BI2" s="1738" t="s">
        <v>2503</v>
      </c>
      <c r="BJ2" s="1738" t="s">
        <v>2503</v>
      </c>
      <c r="BK2" s="1738" t="s">
        <v>2503</v>
      </c>
      <c r="BL2" s="1738" t="s">
        <v>2503</v>
      </c>
      <c r="BM2" s="1738" t="s">
        <v>2503</v>
      </c>
      <c r="BN2" s="1738" t="s">
        <v>2503</v>
      </c>
      <c r="BO2" s="1738" t="s">
        <v>2503</v>
      </c>
      <c r="BP2" s="1738" t="s">
        <v>2503</v>
      </c>
      <c r="BQ2" s="1738" t="s">
        <v>2503</v>
      </c>
      <c r="BR2" s="1738" t="s">
        <v>2503</v>
      </c>
      <c r="BS2" s="1738" t="s">
        <v>2503</v>
      </c>
      <c r="BT2" s="1738" t="s">
        <v>2503</v>
      </c>
      <c r="BU2" s="1738" t="s">
        <v>2503</v>
      </c>
      <c r="BV2" s="1738" t="s">
        <v>2503</v>
      </c>
      <c r="BW2" s="1738" t="s">
        <v>2503</v>
      </c>
      <c r="BX2" s="1738" t="s">
        <v>2503</v>
      </c>
      <c r="BY2" s="1738" t="s">
        <v>2503</v>
      </c>
      <c r="BZ2" s="1738" t="s">
        <v>2503</v>
      </c>
      <c r="CA2" s="1738" t="s">
        <v>2503</v>
      </c>
      <c r="CB2" s="1738" t="s">
        <v>2503</v>
      </c>
      <c r="CC2" s="1738" t="s">
        <v>2503</v>
      </c>
      <c r="CD2" s="1738" t="s">
        <v>2503</v>
      </c>
      <c r="CE2" s="1738" t="s">
        <v>2503</v>
      </c>
      <c r="CF2" s="1738" t="s">
        <v>2503</v>
      </c>
      <c r="CG2" s="1738" t="s">
        <v>2503</v>
      </c>
      <c r="CH2" s="1738" t="s">
        <v>2503</v>
      </c>
      <c r="CI2" s="1738" t="s">
        <v>2503</v>
      </c>
    </row>
    <row r="3" spans="1:87" s="66" customFormat="1" ht="21" customHeight="1" thickBot="1" x14ac:dyDescent="0.25">
      <c r="A3" s="1940" t="s">
        <v>1710</v>
      </c>
      <c r="B3" s="1922" t="s">
        <v>1768</v>
      </c>
      <c r="C3" s="1922"/>
      <c r="D3" s="1922"/>
      <c r="E3" s="1923"/>
      <c r="F3" s="698"/>
      <c r="G3" s="1157"/>
      <c r="H3" s="1743"/>
      <c r="I3" s="1743"/>
      <c r="J3" s="1743"/>
      <c r="K3" s="1743"/>
      <c r="L3" s="1743"/>
      <c r="M3" s="1743"/>
      <c r="N3" s="1743"/>
      <c r="O3" s="1743"/>
      <c r="P3" s="1743"/>
      <c r="Q3" s="1743"/>
      <c r="R3" s="1743"/>
      <c r="S3" s="1743"/>
      <c r="T3" s="1743"/>
      <c r="U3" s="1743"/>
      <c r="V3" s="1743"/>
      <c r="W3" s="1743"/>
      <c r="X3" s="1743"/>
      <c r="Y3" s="1743"/>
      <c r="Z3" s="1743"/>
      <c r="AA3" s="1743"/>
      <c r="AB3" s="1743"/>
      <c r="AC3" s="1743"/>
      <c r="AD3" s="1743"/>
      <c r="AE3" s="1743"/>
      <c r="AF3" s="1743"/>
      <c r="AG3" s="1743"/>
      <c r="AH3" s="1743"/>
      <c r="AI3" s="1743"/>
      <c r="AJ3" s="1743"/>
      <c r="AK3" s="1743"/>
      <c r="AL3" s="1743"/>
      <c r="AM3" s="1743"/>
      <c r="AN3" s="1743"/>
      <c r="AO3" s="1743"/>
      <c r="AP3" s="1743"/>
      <c r="AQ3" s="1743"/>
      <c r="AR3" s="1743"/>
      <c r="AS3" s="1743"/>
      <c r="AT3" s="1743"/>
      <c r="AU3" s="1743"/>
      <c r="AV3" s="1743"/>
      <c r="AW3" s="1743"/>
      <c r="AX3" s="1743"/>
      <c r="AY3" s="1743"/>
      <c r="AZ3" s="1743"/>
      <c r="BA3" s="1743"/>
      <c r="BB3" s="1743"/>
      <c r="BC3" s="1743"/>
      <c r="BD3" s="1743"/>
      <c r="BE3" s="1743"/>
      <c r="BF3" s="1743"/>
      <c r="BG3" s="1743"/>
      <c r="BH3" s="1743"/>
      <c r="BI3" s="1743"/>
      <c r="BJ3" s="1743"/>
      <c r="BK3" s="1743"/>
      <c r="BL3" s="1743"/>
      <c r="BM3" s="1743"/>
      <c r="BN3" s="1743"/>
      <c r="BO3" s="1743"/>
      <c r="BP3" s="1743"/>
      <c r="BQ3" s="1743"/>
      <c r="BR3" s="1743"/>
      <c r="BS3" s="1743"/>
      <c r="BT3" s="1743"/>
      <c r="BU3" s="1743"/>
      <c r="BV3" s="1743"/>
      <c r="BW3" s="1743"/>
      <c r="BX3" s="1743"/>
      <c r="BY3" s="1743"/>
      <c r="BZ3" s="1743"/>
      <c r="CA3" s="1743"/>
      <c r="CB3" s="1743"/>
      <c r="CC3" s="1743"/>
      <c r="CD3" s="1743"/>
      <c r="CE3" s="1743"/>
      <c r="CF3" s="1743"/>
      <c r="CG3" s="1743"/>
      <c r="CH3" s="1743"/>
      <c r="CI3" s="1743"/>
    </row>
    <row r="4" spans="1:87" s="66" customFormat="1" ht="30" customHeight="1" thickBot="1" x14ac:dyDescent="0.25">
      <c r="A4" s="1941"/>
      <c r="B4" s="1927" t="s">
        <v>2452</v>
      </c>
      <c r="C4" s="1972"/>
      <c r="D4" s="1972"/>
      <c r="E4" s="1973"/>
      <c r="F4" s="706"/>
      <c r="G4" s="1158"/>
      <c r="H4" s="1747"/>
      <c r="I4" s="1747"/>
      <c r="J4" s="1747"/>
      <c r="K4" s="1747"/>
      <c r="L4" s="1747"/>
      <c r="M4" s="1747"/>
      <c r="N4" s="1747"/>
      <c r="O4" s="1747"/>
      <c r="P4" s="1747"/>
      <c r="Q4" s="1747"/>
      <c r="R4" s="1747"/>
      <c r="S4" s="1747"/>
      <c r="T4" s="1747"/>
      <c r="U4" s="1747"/>
      <c r="V4" s="1747"/>
      <c r="W4" s="1747"/>
      <c r="X4" s="1747"/>
      <c r="Y4" s="1747"/>
      <c r="Z4" s="1747"/>
      <c r="AA4" s="1747"/>
      <c r="AB4" s="1747"/>
      <c r="AC4" s="1747"/>
      <c r="AD4" s="1747"/>
      <c r="AE4" s="1747"/>
      <c r="AF4" s="1747"/>
      <c r="AG4" s="1747"/>
      <c r="AH4" s="1747"/>
      <c r="AI4" s="1747"/>
      <c r="AJ4" s="1747"/>
      <c r="AK4" s="1747"/>
      <c r="AL4" s="1747"/>
      <c r="AM4" s="1747"/>
      <c r="AN4" s="1747"/>
      <c r="AO4" s="1747"/>
      <c r="AP4" s="1747"/>
      <c r="AQ4" s="1747"/>
      <c r="AR4" s="1747"/>
      <c r="AS4" s="1747"/>
      <c r="AT4" s="1747"/>
      <c r="AU4" s="1747"/>
      <c r="AV4" s="1747"/>
      <c r="AW4" s="1747"/>
      <c r="AX4" s="1747"/>
      <c r="AY4" s="1747"/>
      <c r="AZ4" s="1747"/>
      <c r="BA4" s="1747"/>
      <c r="BB4" s="1747"/>
      <c r="BC4" s="1747"/>
      <c r="BD4" s="1747"/>
      <c r="BE4" s="1747"/>
      <c r="BF4" s="1747"/>
      <c r="BG4" s="1747"/>
      <c r="BH4" s="1747"/>
      <c r="BI4" s="1747"/>
      <c r="BJ4" s="1747"/>
      <c r="BK4" s="1747"/>
      <c r="BL4" s="1747"/>
      <c r="BM4" s="1747"/>
      <c r="BN4" s="1747"/>
      <c r="BO4" s="1747"/>
      <c r="BP4" s="1747"/>
      <c r="BQ4" s="1747"/>
      <c r="BR4" s="1747"/>
      <c r="BS4" s="1747"/>
      <c r="BT4" s="1747"/>
      <c r="BU4" s="1747"/>
      <c r="BV4" s="1747"/>
      <c r="BW4" s="1747"/>
      <c r="BX4" s="1747"/>
      <c r="BY4" s="1747"/>
      <c r="BZ4" s="1747"/>
      <c r="CA4" s="1747"/>
      <c r="CB4" s="1747"/>
      <c r="CC4" s="1747"/>
      <c r="CD4" s="1747"/>
      <c r="CE4" s="1747"/>
      <c r="CF4" s="1747"/>
      <c r="CG4" s="1747"/>
      <c r="CH4" s="1747"/>
      <c r="CI4" s="1747"/>
    </row>
    <row r="5" spans="1:87" s="66" customFormat="1" ht="15" customHeight="1" thickBot="1" x14ac:dyDescent="0.25">
      <c r="A5" s="1941"/>
      <c r="B5" s="1924" t="s">
        <v>1773</v>
      </c>
      <c r="C5" s="1924"/>
      <c r="D5" s="1924"/>
      <c r="E5" s="1925"/>
      <c r="F5" s="703"/>
      <c r="G5" s="1158"/>
      <c r="H5" s="1744"/>
      <c r="I5" s="1744"/>
      <c r="J5" s="1744"/>
      <c r="K5" s="1744"/>
      <c r="L5" s="1744"/>
      <c r="M5" s="1744"/>
      <c r="N5" s="1744"/>
      <c r="O5" s="1744"/>
      <c r="P5" s="1744"/>
      <c r="Q5" s="1744"/>
      <c r="R5" s="1744"/>
      <c r="S5" s="1744"/>
      <c r="T5" s="1744"/>
      <c r="U5" s="1744"/>
      <c r="V5" s="1744"/>
      <c r="W5" s="1744"/>
      <c r="X5" s="1744"/>
      <c r="Y5" s="1744"/>
      <c r="Z5" s="1744"/>
      <c r="AA5" s="1744"/>
      <c r="AB5" s="1744"/>
      <c r="AC5" s="1744"/>
      <c r="AD5" s="1744"/>
      <c r="AE5" s="1744"/>
      <c r="AF5" s="1744"/>
      <c r="AG5" s="1744"/>
      <c r="AH5" s="1744"/>
      <c r="AI5" s="1744"/>
      <c r="AJ5" s="1744"/>
      <c r="AK5" s="1744"/>
      <c r="AL5" s="1744"/>
      <c r="AM5" s="1744"/>
      <c r="AN5" s="1744"/>
      <c r="AO5" s="1744"/>
      <c r="AP5" s="1744"/>
      <c r="AQ5" s="1744"/>
      <c r="AR5" s="1744"/>
      <c r="AS5" s="1744"/>
      <c r="AT5" s="1744"/>
      <c r="AU5" s="1744"/>
      <c r="AV5" s="1744"/>
      <c r="AW5" s="1744"/>
      <c r="AX5" s="1744"/>
      <c r="AY5" s="1744"/>
      <c r="AZ5" s="1744"/>
      <c r="BA5" s="1744"/>
      <c r="BB5" s="1744"/>
      <c r="BC5" s="1744"/>
      <c r="BD5" s="1744"/>
      <c r="BE5" s="1744"/>
      <c r="BF5" s="1744"/>
      <c r="BG5" s="1744"/>
      <c r="BH5" s="1744"/>
      <c r="BI5" s="1744"/>
      <c r="BJ5" s="1744"/>
      <c r="BK5" s="1744"/>
      <c r="BL5" s="1744"/>
      <c r="BM5" s="1744"/>
      <c r="BN5" s="1744"/>
      <c r="BO5" s="1744"/>
      <c r="BP5" s="1744"/>
      <c r="BQ5" s="1744"/>
      <c r="BR5" s="1744"/>
      <c r="BS5" s="1744"/>
      <c r="BT5" s="1744"/>
      <c r="BU5" s="1744"/>
      <c r="BV5" s="1744"/>
      <c r="BW5" s="1744"/>
      <c r="BX5" s="1744"/>
      <c r="BY5" s="1744"/>
      <c r="BZ5" s="1744"/>
      <c r="CA5" s="1744"/>
      <c r="CB5" s="1744"/>
      <c r="CC5" s="1744"/>
      <c r="CD5" s="1744"/>
      <c r="CE5" s="1744"/>
      <c r="CF5" s="1744"/>
      <c r="CG5" s="1744"/>
      <c r="CH5" s="1744"/>
      <c r="CI5" s="1744"/>
    </row>
    <row r="6" spans="1:87" s="66" customFormat="1" ht="15" customHeight="1" thickBot="1" x14ac:dyDescent="0.25">
      <c r="A6" s="1941"/>
      <c r="B6" s="1916" t="s">
        <v>1774</v>
      </c>
      <c r="C6" s="1917"/>
      <c r="D6" s="1917"/>
      <c r="E6" s="1926"/>
      <c r="F6" s="703"/>
      <c r="G6" s="1158"/>
      <c r="H6" s="1744"/>
      <c r="I6" s="1744"/>
      <c r="J6" s="1744"/>
      <c r="K6" s="1744"/>
      <c r="L6" s="1744"/>
      <c r="M6" s="1744"/>
      <c r="N6" s="1744"/>
      <c r="O6" s="1744"/>
      <c r="P6" s="1744"/>
      <c r="Q6" s="1744"/>
      <c r="R6" s="1744"/>
      <c r="S6" s="1744"/>
      <c r="T6" s="1744"/>
      <c r="U6" s="1744"/>
      <c r="V6" s="1744"/>
      <c r="W6" s="1744"/>
      <c r="X6" s="1744"/>
      <c r="Y6" s="1744"/>
      <c r="Z6" s="1744"/>
      <c r="AA6" s="1744"/>
      <c r="AB6" s="1744"/>
      <c r="AC6" s="1744"/>
      <c r="AD6" s="1744"/>
      <c r="AE6" s="1744"/>
      <c r="AF6" s="1744"/>
      <c r="AG6" s="1744"/>
      <c r="AH6" s="1744"/>
      <c r="AI6" s="1744"/>
      <c r="AJ6" s="1744"/>
      <c r="AK6" s="1744"/>
      <c r="AL6" s="1744"/>
      <c r="AM6" s="1744"/>
      <c r="AN6" s="1744"/>
      <c r="AO6" s="1744"/>
      <c r="AP6" s="1744"/>
      <c r="AQ6" s="1744"/>
      <c r="AR6" s="1744"/>
      <c r="AS6" s="1744"/>
      <c r="AT6" s="1744"/>
      <c r="AU6" s="1744"/>
      <c r="AV6" s="1744"/>
      <c r="AW6" s="1744"/>
      <c r="AX6" s="1744"/>
      <c r="AY6" s="1744"/>
      <c r="AZ6" s="1744"/>
      <c r="BA6" s="1744"/>
      <c r="BB6" s="1744"/>
      <c r="BC6" s="1744"/>
      <c r="BD6" s="1744"/>
      <c r="BE6" s="1744"/>
      <c r="BF6" s="1744"/>
      <c r="BG6" s="1744"/>
      <c r="BH6" s="1744"/>
      <c r="BI6" s="1744"/>
      <c r="BJ6" s="1744"/>
      <c r="BK6" s="1744"/>
      <c r="BL6" s="1744"/>
      <c r="BM6" s="1744"/>
      <c r="BN6" s="1744"/>
      <c r="BO6" s="1744"/>
      <c r="BP6" s="1744"/>
      <c r="BQ6" s="1744"/>
      <c r="BR6" s="1744"/>
      <c r="BS6" s="1744"/>
      <c r="BT6" s="1744"/>
      <c r="BU6" s="1744"/>
      <c r="BV6" s="1744"/>
      <c r="BW6" s="1744"/>
      <c r="BX6" s="1744"/>
      <c r="BY6" s="1744"/>
      <c r="BZ6" s="1744"/>
      <c r="CA6" s="1744"/>
      <c r="CB6" s="1744"/>
      <c r="CC6" s="1744"/>
      <c r="CD6" s="1744"/>
      <c r="CE6" s="1744"/>
      <c r="CF6" s="1744"/>
      <c r="CG6" s="1744"/>
      <c r="CH6" s="1744"/>
      <c r="CI6" s="1744"/>
    </row>
    <row r="7" spans="1:87" s="66" customFormat="1" ht="15" customHeight="1" thickBot="1" x14ac:dyDescent="0.25">
      <c r="A7" s="1941"/>
      <c r="B7" s="1924" t="s">
        <v>1776</v>
      </c>
      <c r="C7" s="1924"/>
      <c r="D7" s="1924"/>
      <c r="E7" s="1925"/>
      <c r="F7" s="703"/>
      <c r="G7" s="1158"/>
      <c r="H7" s="1744"/>
      <c r="I7" s="1744"/>
      <c r="J7" s="1744"/>
      <c r="K7" s="1744"/>
      <c r="L7" s="1744"/>
      <c r="M7" s="1744"/>
      <c r="N7" s="1744"/>
      <c r="O7" s="1744"/>
      <c r="P7" s="1744"/>
      <c r="Q7" s="1744"/>
      <c r="R7" s="1744"/>
      <c r="S7" s="1744"/>
      <c r="T7" s="1744"/>
      <c r="U7" s="1744"/>
      <c r="V7" s="1744"/>
      <c r="W7" s="1744"/>
      <c r="X7" s="1744"/>
      <c r="Y7" s="1744"/>
      <c r="Z7" s="1744"/>
      <c r="AA7" s="1744"/>
      <c r="AB7" s="1744"/>
      <c r="AC7" s="1744"/>
      <c r="AD7" s="1744"/>
      <c r="AE7" s="1744"/>
      <c r="AF7" s="1744"/>
      <c r="AG7" s="1744"/>
      <c r="AH7" s="1744"/>
      <c r="AI7" s="1744"/>
      <c r="AJ7" s="1744"/>
      <c r="AK7" s="1744"/>
      <c r="AL7" s="1744"/>
      <c r="AM7" s="1744"/>
      <c r="AN7" s="1744"/>
      <c r="AO7" s="1744"/>
      <c r="AP7" s="1744"/>
      <c r="AQ7" s="1744"/>
      <c r="AR7" s="1744"/>
      <c r="AS7" s="1744"/>
      <c r="AT7" s="1744"/>
      <c r="AU7" s="1744"/>
      <c r="AV7" s="1744"/>
      <c r="AW7" s="1744"/>
      <c r="AX7" s="1744"/>
      <c r="AY7" s="1744"/>
      <c r="AZ7" s="1744"/>
      <c r="BA7" s="1744"/>
      <c r="BB7" s="1744"/>
      <c r="BC7" s="1744"/>
      <c r="BD7" s="1744"/>
      <c r="BE7" s="1744"/>
      <c r="BF7" s="1744"/>
      <c r="BG7" s="1744"/>
      <c r="BH7" s="1744"/>
      <c r="BI7" s="1744"/>
      <c r="BJ7" s="1744"/>
      <c r="BK7" s="1744"/>
      <c r="BL7" s="1744"/>
      <c r="BM7" s="1744"/>
      <c r="BN7" s="1744"/>
      <c r="BO7" s="1744"/>
      <c r="BP7" s="1744"/>
      <c r="BQ7" s="1744"/>
      <c r="BR7" s="1744"/>
      <c r="BS7" s="1744"/>
      <c r="BT7" s="1744"/>
      <c r="BU7" s="1744"/>
      <c r="BV7" s="1744"/>
      <c r="BW7" s="1744"/>
      <c r="BX7" s="1744"/>
      <c r="BY7" s="1744"/>
      <c r="BZ7" s="1744"/>
      <c r="CA7" s="1744"/>
      <c r="CB7" s="1744"/>
      <c r="CC7" s="1744"/>
      <c r="CD7" s="1744"/>
      <c r="CE7" s="1744"/>
      <c r="CF7" s="1744"/>
      <c r="CG7" s="1744"/>
      <c r="CH7" s="1744"/>
      <c r="CI7" s="1744"/>
    </row>
    <row r="8" spans="1:87" s="66" customFormat="1" ht="15" customHeight="1" thickBot="1" x14ac:dyDescent="0.25">
      <c r="A8" s="1941"/>
      <c r="B8" s="1916" t="s">
        <v>610</v>
      </c>
      <c r="C8" s="1917"/>
      <c r="D8" s="1917"/>
      <c r="E8" s="1926"/>
      <c r="F8" s="703"/>
      <c r="G8" s="1158"/>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744"/>
      <c r="BJ8" s="1744"/>
      <c r="BK8" s="1744"/>
      <c r="BL8" s="1744"/>
      <c r="BM8" s="1744"/>
      <c r="BN8" s="1744"/>
      <c r="BO8" s="1744"/>
      <c r="BP8" s="1744"/>
      <c r="BQ8" s="1744"/>
      <c r="BR8" s="1744"/>
      <c r="BS8" s="1744"/>
      <c r="BT8" s="1744"/>
      <c r="BU8" s="1744"/>
      <c r="BV8" s="1744"/>
      <c r="BW8" s="1744"/>
      <c r="BX8" s="1744"/>
      <c r="BY8" s="1744"/>
      <c r="BZ8" s="1744"/>
      <c r="CA8" s="1744"/>
      <c r="CB8" s="1744"/>
      <c r="CC8" s="1744"/>
      <c r="CD8" s="1744"/>
      <c r="CE8" s="1744"/>
      <c r="CF8" s="1744"/>
      <c r="CG8" s="1744"/>
      <c r="CH8" s="1744"/>
      <c r="CI8" s="1744"/>
    </row>
    <row r="9" spans="1:87" s="66" customFormat="1" ht="15" customHeight="1" thickBot="1" x14ac:dyDescent="0.25">
      <c r="A9" s="1941"/>
      <c r="B9" s="1916" t="s">
        <v>1777</v>
      </c>
      <c r="C9" s="1916"/>
      <c r="D9" s="1916"/>
      <c r="E9" s="1974"/>
      <c r="F9" s="703"/>
      <c r="G9" s="1158"/>
      <c r="H9" s="1744"/>
      <c r="I9" s="1744"/>
      <c r="J9" s="1744"/>
      <c r="K9" s="1744"/>
      <c r="L9" s="1744"/>
      <c r="M9" s="1744"/>
      <c r="N9" s="1744"/>
      <c r="O9" s="1744"/>
      <c r="P9" s="1744"/>
      <c r="Q9" s="1744"/>
      <c r="R9" s="1744"/>
      <c r="S9" s="1744"/>
      <c r="T9" s="1744"/>
      <c r="U9" s="1744"/>
      <c r="V9" s="1744"/>
      <c r="W9" s="1744"/>
      <c r="X9" s="1744"/>
      <c r="Y9" s="1744"/>
      <c r="Z9" s="1744"/>
      <c r="AA9" s="1744"/>
      <c r="AB9" s="1744"/>
      <c r="AC9" s="1744"/>
      <c r="AD9" s="1744"/>
      <c r="AE9" s="1744"/>
      <c r="AF9" s="1744"/>
      <c r="AG9" s="1744"/>
      <c r="AH9" s="1744"/>
      <c r="AI9" s="1744"/>
      <c r="AJ9" s="1744"/>
      <c r="AK9" s="1744"/>
      <c r="AL9" s="1744"/>
      <c r="AM9" s="1744"/>
      <c r="AN9" s="1744"/>
      <c r="AO9" s="1744"/>
      <c r="AP9" s="1744"/>
      <c r="AQ9" s="1744"/>
      <c r="AR9" s="1744"/>
      <c r="AS9" s="1744"/>
      <c r="AT9" s="1744"/>
      <c r="AU9" s="1744"/>
      <c r="AV9" s="1744"/>
      <c r="AW9" s="1744"/>
      <c r="AX9" s="1744"/>
      <c r="AY9" s="1744"/>
      <c r="AZ9" s="1744"/>
      <c r="BA9" s="1744"/>
      <c r="BB9" s="1744"/>
      <c r="BC9" s="1744"/>
      <c r="BD9" s="1744"/>
      <c r="BE9" s="1744"/>
      <c r="BF9" s="1744"/>
      <c r="BG9" s="1744"/>
      <c r="BH9" s="1744"/>
      <c r="BI9" s="1744"/>
      <c r="BJ9" s="1744"/>
      <c r="BK9" s="1744"/>
      <c r="BL9" s="1744"/>
      <c r="BM9" s="1744"/>
      <c r="BN9" s="1744"/>
      <c r="BO9" s="1744"/>
      <c r="BP9" s="1744"/>
      <c r="BQ9" s="1744"/>
      <c r="BR9" s="1744"/>
      <c r="BS9" s="1744"/>
      <c r="BT9" s="1744"/>
      <c r="BU9" s="1744"/>
      <c r="BV9" s="1744"/>
      <c r="BW9" s="1744"/>
      <c r="BX9" s="1744"/>
      <c r="BY9" s="1744"/>
      <c r="BZ9" s="1744"/>
      <c r="CA9" s="1744"/>
      <c r="CB9" s="1744"/>
      <c r="CC9" s="1744"/>
      <c r="CD9" s="1744"/>
      <c r="CE9" s="1744"/>
      <c r="CF9" s="1744"/>
      <c r="CG9" s="1744"/>
      <c r="CH9" s="1744"/>
      <c r="CI9" s="1744"/>
    </row>
    <row r="10" spans="1:87" s="66" customFormat="1" ht="15" customHeight="1" thickBot="1" x14ac:dyDescent="0.25">
      <c r="A10" s="1941"/>
      <c r="B10" s="1916" t="s">
        <v>1769</v>
      </c>
      <c r="C10" s="1917"/>
      <c r="D10" s="1917"/>
      <c r="E10" s="1926"/>
      <c r="F10" s="703"/>
      <c r="G10" s="1158"/>
      <c r="H10" s="1744"/>
      <c r="I10" s="1744"/>
      <c r="J10" s="1744"/>
      <c r="K10" s="1744"/>
      <c r="L10" s="1744"/>
      <c r="M10" s="1744"/>
      <c r="N10" s="1744"/>
      <c r="O10" s="1744"/>
      <c r="P10" s="1744"/>
      <c r="Q10" s="1744"/>
      <c r="R10" s="1744"/>
      <c r="S10" s="1744"/>
      <c r="T10" s="1744"/>
      <c r="U10" s="1744"/>
      <c r="V10" s="1744"/>
      <c r="W10" s="1744"/>
      <c r="X10" s="1744"/>
      <c r="Y10" s="1744"/>
      <c r="Z10" s="1744"/>
      <c r="AA10" s="1744"/>
      <c r="AB10" s="1744"/>
      <c r="AC10" s="1744"/>
      <c r="AD10" s="1744"/>
      <c r="AE10" s="1744"/>
      <c r="AF10" s="1744"/>
      <c r="AG10" s="1744"/>
      <c r="AH10" s="1744"/>
      <c r="AI10" s="1744"/>
      <c r="AJ10" s="1744"/>
      <c r="AK10" s="1744"/>
      <c r="AL10" s="1744"/>
      <c r="AM10" s="1744"/>
      <c r="AN10" s="1744"/>
      <c r="AO10" s="1744"/>
      <c r="AP10" s="1744"/>
      <c r="AQ10" s="1744"/>
      <c r="AR10" s="1744"/>
      <c r="AS10" s="1744"/>
      <c r="AT10" s="1744"/>
      <c r="AU10" s="1744"/>
      <c r="AV10" s="1744"/>
      <c r="AW10" s="1744"/>
      <c r="AX10" s="1744"/>
      <c r="AY10" s="1744"/>
      <c r="AZ10" s="1744"/>
      <c r="BA10" s="1744"/>
      <c r="BB10" s="1744"/>
      <c r="BC10" s="1744"/>
      <c r="BD10" s="1744"/>
      <c r="BE10" s="1744"/>
      <c r="BF10" s="1744"/>
      <c r="BG10" s="1744"/>
      <c r="BH10" s="1744"/>
      <c r="BI10" s="1744"/>
      <c r="BJ10" s="1744"/>
      <c r="BK10" s="1744"/>
      <c r="BL10" s="1744"/>
      <c r="BM10" s="1744"/>
      <c r="BN10" s="1744"/>
      <c r="BO10" s="1744"/>
      <c r="BP10" s="1744"/>
      <c r="BQ10" s="1744"/>
      <c r="BR10" s="1744"/>
      <c r="BS10" s="1744"/>
      <c r="BT10" s="1744"/>
      <c r="BU10" s="1744"/>
      <c r="BV10" s="1744"/>
      <c r="BW10" s="1744"/>
      <c r="BX10" s="1744"/>
      <c r="BY10" s="1744"/>
      <c r="BZ10" s="1744"/>
      <c r="CA10" s="1744"/>
      <c r="CB10" s="1744"/>
      <c r="CC10" s="1744"/>
      <c r="CD10" s="1744"/>
      <c r="CE10" s="1744"/>
      <c r="CF10" s="1744"/>
      <c r="CG10" s="1744"/>
      <c r="CH10" s="1744"/>
      <c r="CI10" s="1744"/>
    </row>
    <row r="11" spans="1:87" s="66" customFormat="1" ht="15" customHeight="1" thickBot="1" x14ac:dyDescent="0.25">
      <c r="A11" s="1941"/>
      <c r="B11" s="1916" t="s">
        <v>1770</v>
      </c>
      <c r="C11" s="1917"/>
      <c r="D11" s="1917"/>
      <c r="E11" s="1926"/>
      <c r="F11" s="703"/>
      <c r="G11" s="1158"/>
      <c r="H11" s="1744"/>
      <c r="I11" s="1744"/>
      <c r="J11" s="1744"/>
      <c r="K11" s="1744"/>
      <c r="L11" s="1744"/>
      <c r="M11" s="1744"/>
      <c r="N11" s="1744"/>
      <c r="O11" s="1744"/>
      <c r="P11" s="1744"/>
      <c r="Q11" s="1744"/>
      <c r="R11" s="1744"/>
      <c r="S11" s="1744"/>
      <c r="T11" s="1744"/>
      <c r="U11" s="1744"/>
      <c r="V11" s="1744"/>
      <c r="W11" s="1744"/>
      <c r="X11" s="1744"/>
      <c r="Y11" s="1744"/>
      <c r="Z11" s="1744"/>
      <c r="AA11" s="1744"/>
      <c r="AB11" s="1744"/>
      <c r="AC11" s="1744"/>
      <c r="AD11" s="1744"/>
      <c r="AE11" s="1744"/>
      <c r="AF11" s="1744"/>
      <c r="AG11" s="1744"/>
      <c r="AH11" s="1744"/>
      <c r="AI11" s="1744"/>
      <c r="AJ11" s="1744"/>
      <c r="AK11" s="1744"/>
      <c r="AL11" s="1744"/>
      <c r="AM11" s="1744"/>
      <c r="AN11" s="1744"/>
      <c r="AO11" s="1744"/>
      <c r="AP11" s="1744"/>
      <c r="AQ11" s="1744"/>
      <c r="AR11" s="1744"/>
      <c r="AS11" s="1744"/>
      <c r="AT11" s="1744"/>
      <c r="AU11" s="1744"/>
      <c r="AV11" s="1744"/>
      <c r="AW11" s="1744"/>
      <c r="AX11" s="1744"/>
      <c r="AY11" s="1744"/>
      <c r="AZ11" s="1744"/>
      <c r="BA11" s="1744"/>
      <c r="BB11" s="1744"/>
      <c r="BC11" s="1744"/>
      <c r="BD11" s="1744"/>
      <c r="BE11" s="1744"/>
      <c r="BF11" s="1744"/>
      <c r="BG11" s="1744"/>
      <c r="BH11" s="1744"/>
      <c r="BI11" s="1744"/>
      <c r="BJ11" s="1744"/>
      <c r="BK11" s="1744"/>
      <c r="BL11" s="1744"/>
      <c r="BM11" s="1744"/>
      <c r="BN11" s="1744"/>
      <c r="BO11" s="1744"/>
      <c r="BP11" s="1744"/>
      <c r="BQ11" s="1744"/>
      <c r="BR11" s="1744"/>
      <c r="BS11" s="1744"/>
      <c r="BT11" s="1744"/>
      <c r="BU11" s="1744"/>
      <c r="BV11" s="1744"/>
      <c r="BW11" s="1744"/>
      <c r="BX11" s="1744"/>
      <c r="BY11" s="1744"/>
      <c r="BZ11" s="1744"/>
      <c r="CA11" s="1744"/>
      <c r="CB11" s="1744"/>
      <c r="CC11" s="1744"/>
      <c r="CD11" s="1744"/>
      <c r="CE11" s="1744"/>
      <c r="CF11" s="1744"/>
      <c r="CG11" s="1744"/>
      <c r="CH11" s="1744"/>
      <c r="CI11" s="1744"/>
    </row>
    <row r="12" spans="1:87" s="66" customFormat="1" ht="15" customHeight="1" thickBot="1" x14ac:dyDescent="0.25">
      <c r="A12" s="1941"/>
      <c r="B12" s="1924" t="s">
        <v>1772</v>
      </c>
      <c r="C12" s="1924"/>
      <c r="D12" s="1924"/>
      <c r="E12" s="1925"/>
      <c r="F12" s="703"/>
      <c r="G12" s="1158"/>
      <c r="H12" s="1744"/>
      <c r="I12" s="1744"/>
      <c r="J12" s="1744"/>
      <c r="K12" s="1744"/>
      <c r="L12" s="1744"/>
      <c r="M12" s="1744"/>
      <c r="N12" s="1744"/>
      <c r="O12" s="1744"/>
      <c r="P12" s="1744"/>
      <c r="Q12" s="1744"/>
      <c r="R12" s="1744"/>
      <c r="S12" s="1744"/>
      <c r="T12" s="1744"/>
      <c r="U12" s="1744"/>
      <c r="V12" s="1744"/>
      <c r="W12" s="1744"/>
      <c r="X12" s="1744"/>
      <c r="Y12" s="1744"/>
      <c r="Z12" s="1744"/>
      <c r="AA12" s="1744"/>
      <c r="AB12" s="1744"/>
      <c r="AC12" s="1744"/>
      <c r="AD12" s="1744"/>
      <c r="AE12" s="1744"/>
      <c r="AF12" s="1744"/>
      <c r="AG12" s="1744"/>
      <c r="AH12" s="1744"/>
      <c r="AI12" s="1744"/>
      <c r="AJ12" s="1744"/>
      <c r="AK12" s="1744"/>
      <c r="AL12" s="1744"/>
      <c r="AM12" s="1744"/>
      <c r="AN12" s="1744"/>
      <c r="AO12" s="1744"/>
      <c r="AP12" s="1744"/>
      <c r="AQ12" s="1744"/>
      <c r="AR12" s="1744"/>
      <c r="AS12" s="1744"/>
      <c r="AT12" s="1744"/>
      <c r="AU12" s="1744"/>
      <c r="AV12" s="1744"/>
      <c r="AW12" s="1744"/>
      <c r="AX12" s="1744"/>
      <c r="AY12" s="1744"/>
      <c r="AZ12" s="1744"/>
      <c r="BA12" s="1744"/>
      <c r="BB12" s="1744"/>
      <c r="BC12" s="1744"/>
      <c r="BD12" s="1744"/>
      <c r="BE12" s="1744"/>
      <c r="BF12" s="1744"/>
      <c r="BG12" s="1744"/>
      <c r="BH12" s="1744"/>
      <c r="BI12" s="1744"/>
      <c r="BJ12" s="1744"/>
      <c r="BK12" s="1744"/>
      <c r="BL12" s="1744"/>
      <c r="BM12" s="1744"/>
      <c r="BN12" s="1744"/>
      <c r="BO12" s="1744"/>
      <c r="BP12" s="1744"/>
      <c r="BQ12" s="1744"/>
      <c r="BR12" s="1744"/>
      <c r="BS12" s="1744"/>
      <c r="BT12" s="1744"/>
      <c r="BU12" s="1744"/>
      <c r="BV12" s="1744"/>
      <c r="BW12" s="1744"/>
      <c r="BX12" s="1744"/>
      <c r="BY12" s="1744"/>
      <c r="BZ12" s="1744"/>
      <c r="CA12" s="1744"/>
      <c r="CB12" s="1744"/>
      <c r="CC12" s="1744"/>
      <c r="CD12" s="1744"/>
      <c r="CE12" s="1744"/>
      <c r="CF12" s="1744"/>
      <c r="CG12" s="1744"/>
      <c r="CH12" s="1744"/>
      <c r="CI12" s="1744"/>
    </row>
    <row r="13" spans="1:87" s="66" customFormat="1" ht="15" customHeight="1" thickBot="1" x14ac:dyDescent="0.25">
      <c r="A13" s="1941"/>
      <c r="B13" s="1916" t="s">
        <v>1771</v>
      </c>
      <c r="C13" s="1917"/>
      <c r="D13" s="1917"/>
      <c r="E13" s="1926"/>
      <c r="F13" s="703"/>
      <c r="G13" s="1158"/>
      <c r="H13" s="1744"/>
      <c r="I13" s="1744"/>
      <c r="J13" s="1744"/>
      <c r="K13" s="1744"/>
      <c r="L13" s="1744"/>
      <c r="M13" s="1744"/>
      <c r="N13" s="1744"/>
      <c r="O13" s="1744"/>
      <c r="P13" s="1744"/>
      <c r="Q13" s="1744"/>
      <c r="R13" s="1744"/>
      <c r="S13" s="1744"/>
      <c r="T13" s="1744"/>
      <c r="U13" s="1744"/>
      <c r="V13" s="1744"/>
      <c r="W13" s="1744"/>
      <c r="X13" s="1744"/>
      <c r="Y13" s="1744"/>
      <c r="Z13" s="1744"/>
      <c r="AA13" s="1744"/>
      <c r="AB13" s="1744"/>
      <c r="AC13" s="1744"/>
      <c r="AD13" s="1744"/>
      <c r="AE13" s="1744"/>
      <c r="AF13" s="1744"/>
      <c r="AG13" s="1744"/>
      <c r="AH13" s="1744"/>
      <c r="AI13" s="1744"/>
      <c r="AJ13" s="1744"/>
      <c r="AK13" s="1744"/>
      <c r="AL13" s="1744"/>
      <c r="AM13" s="1744"/>
      <c r="AN13" s="1744"/>
      <c r="AO13" s="1744"/>
      <c r="AP13" s="1744"/>
      <c r="AQ13" s="1744"/>
      <c r="AR13" s="1744"/>
      <c r="AS13" s="1744"/>
      <c r="AT13" s="1744"/>
      <c r="AU13" s="1744"/>
      <c r="AV13" s="1744"/>
      <c r="AW13" s="1744"/>
      <c r="AX13" s="1744"/>
      <c r="AY13" s="1744"/>
      <c r="AZ13" s="1744"/>
      <c r="BA13" s="1744"/>
      <c r="BB13" s="1744"/>
      <c r="BC13" s="1744"/>
      <c r="BD13" s="1744"/>
      <c r="BE13" s="1744"/>
      <c r="BF13" s="1744"/>
      <c r="BG13" s="1744"/>
      <c r="BH13" s="1744"/>
      <c r="BI13" s="1744"/>
      <c r="BJ13" s="1744"/>
      <c r="BK13" s="1744"/>
      <c r="BL13" s="1744"/>
      <c r="BM13" s="1744"/>
      <c r="BN13" s="1744"/>
      <c r="BO13" s="1744"/>
      <c r="BP13" s="1744"/>
      <c r="BQ13" s="1744"/>
      <c r="BR13" s="1744"/>
      <c r="BS13" s="1744"/>
      <c r="BT13" s="1744"/>
      <c r="BU13" s="1744"/>
      <c r="BV13" s="1744"/>
      <c r="BW13" s="1744"/>
      <c r="BX13" s="1744"/>
      <c r="BY13" s="1744"/>
      <c r="BZ13" s="1744"/>
      <c r="CA13" s="1744"/>
      <c r="CB13" s="1744"/>
      <c r="CC13" s="1744"/>
      <c r="CD13" s="1744"/>
      <c r="CE13" s="1744"/>
      <c r="CF13" s="1744"/>
      <c r="CG13" s="1744"/>
      <c r="CH13" s="1744"/>
      <c r="CI13" s="1744"/>
    </row>
    <row r="14" spans="1:87" s="66" customFormat="1" ht="15" customHeight="1" thickBot="1" x14ac:dyDescent="0.25">
      <c r="A14" s="1941"/>
      <c r="B14" s="1916" t="s">
        <v>1778</v>
      </c>
      <c r="C14" s="1917"/>
      <c r="D14" s="1917"/>
      <c r="E14" s="1926"/>
      <c r="F14" s="703"/>
      <c r="G14" s="1158"/>
      <c r="H14" s="1744"/>
      <c r="I14" s="1744"/>
      <c r="J14" s="1744"/>
      <c r="K14" s="1744"/>
      <c r="L14" s="1744"/>
      <c r="M14" s="1744"/>
      <c r="N14" s="1744"/>
      <c r="O14" s="1744"/>
      <c r="P14" s="1744"/>
      <c r="Q14" s="1744"/>
      <c r="R14" s="1744"/>
      <c r="S14" s="1744"/>
      <c r="T14" s="1744"/>
      <c r="U14" s="1744"/>
      <c r="V14" s="1744"/>
      <c r="W14" s="1744"/>
      <c r="X14" s="1744"/>
      <c r="Y14" s="1744"/>
      <c r="Z14" s="1744"/>
      <c r="AA14" s="1744"/>
      <c r="AB14" s="1744"/>
      <c r="AC14" s="1744"/>
      <c r="AD14" s="1744"/>
      <c r="AE14" s="1744"/>
      <c r="AF14" s="1744"/>
      <c r="AG14" s="1744"/>
      <c r="AH14" s="1744"/>
      <c r="AI14" s="1744"/>
      <c r="AJ14" s="1744"/>
      <c r="AK14" s="1744"/>
      <c r="AL14" s="1744"/>
      <c r="AM14" s="1744"/>
      <c r="AN14" s="1744"/>
      <c r="AO14" s="1744"/>
      <c r="AP14" s="1744"/>
      <c r="AQ14" s="1744"/>
      <c r="AR14" s="1744"/>
      <c r="AS14" s="1744"/>
      <c r="AT14" s="1744"/>
      <c r="AU14" s="1744"/>
      <c r="AV14" s="1744"/>
      <c r="AW14" s="1744"/>
      <c r="AX14" s="1744"/>
      <c r="AY14" s="1744"/>
      <c r="AZ14" s="1744"/>
      <c r="BA14" s="1744"/>
      <c r="BB14" s="1744"/>
      <c r="BC14" s="1744"/>
      <c r="BD14" s="1744"/>
      <c r="BE14" s="1744"/>
      <c r="BF14" s="1744"/>
      <c r="BG14" s="1744"/>
      <c r="BH14" s="1744"/>
      <c r="BI14" s="1744"/>
      <c r="BJ14" s="1744"/>
      <c r="BK14" s="1744"/>
      <c r="BL14" s="1744"/>
      <c r="BM14" s="1744"/>
      <c r="BN14" s="1744"/>
      <c r="BO14" s="1744"/>
      <c r="BP14" s="1744"/>
      <c r="BQ14" s="1744"/>
      <c r="BR14" s="1744"/>
      <c r="BS14" s="1744"/>
      <c r="BT14" s="1744"/>
      <c r="BU14" s="1744"/>
      <c r="BV14" s="1744"/>
      <c r="BW14" s="1744"/>
      <c r="BX14" s="1744"/>
      <c r="BY14" s="1744"/>
      <c r="BZ14" s="1744"/>
      <c r="CA14" s="1744"/>
      <c r="CB14" s="1744"/>
      <c r="CC14" s="1744"/>
      <c r="CD14" s="1744"/>
      <c r="CE14" s="1744"/>
      <c r="CF14" s="1744"/>
      <c r="CG14" s="1744"/>
      <c r="CH14" s="1744"/>
      <c r="CI14" s="1744"/>
    </row>
    <row r="15" spans="1:87" s="66" customFormat="1" ht="15" customHeight="1" thickBot="1" x14ac:dyDescent="0.25">
      <c r="A15" s="1941"/>
      <c r="B15" s="1916" t="s">
        <v>1775</v>
      </c>
      <c r="C15" s="1917"/>
      <c r="D15" s="1917"/>
      <c r="E15" s="1926"/>
      <c r="F15" s="703"/>
      <c r="G15" s="1158"/>
      <c r="H15" s="1744"/>
      <c r="I15" s="1744"/>
      <c r="J15" s="1744"/>
      <c r="K15" s="1744"/>
      <c r="L15" s="1744"/>
      <c r="M15" s="1744"/>
      <c r="N15" s="1744"/>
      <c r="O15" s="1744"/>
      <c r="P15" s="1744"/>
      <c r="Q15" s="1744"/>
      <c r="R15" s="1744"/>
      <c r="S15" s="1744"/>
      <c r="T15" s="1744"/>
      <c r="U15" s="1744"/>
      <c r="V15" s="1744"/>
      <c r="W15" s="1744"/>
      <c r="X15" s="1744"/>
      <c r="Y15" s="1744"/>
      <c r="Z15" s="1744"/>
      <c r="AA15" s="1744"/>
      <c r="AB15" s="1744"/>
      <c r="AC15" s="1744"/>
      <c r="AD15" s="1744"/>
      <c r="AE15" s="1744"/>
      <c r="AF15" s="1744"/>
      <c r="AG15" s="1744"/>
      <c r="AH15" s="1744"/>
      <c r="AI15" s="1744"/>
      <c r="AJ15" s="1744"/>
      <c r="AK15" s="1744"/>
      <c r="AL15" s="1744"/>
      <c r="AM15" s="1744"/>
      <c r="AN15" s="1744"/>
      <c r="AO15" s="1744"/>
      <c r="AP15" s="1744"/>
      <c r="AQ15" s="1744"/>
      <c r="AR15" s="1744"/>
      <c r="AS15" s="1744"/>
      <c r="AT15" s="1744"/>
      <c r="AU15" s="1744"/>
      <c r="AV15" s="1744"/>
      <c r="AW15" s="1744"/>
      <c r="AX15" s="1744"/>
      <c r="AY15" s="1744"/>
      <c r="AZ15" s="1744"/>
      <c r="BA15" s="1744"/>
      <c r="BB15" s="1744"/>
      <c r="BC15" s="1744"/>
      <c r="BD15" s="1744"/>
      <c r="BE15" s="1744"/>
      <c r="BF15" s="1744"/>
      <c r="BG15" s="1744"/>
      <c r="BH15" s="1744"/>
      <c r="BI15" s="1744"/>
      <c r="BJ15" s="1744"/>
      <c r="BK15" s="1744"/>
      <c r="BL15" s="1744"/>
      <c r="BM15" s="1744"/>
      <c r="BN15" s="1744"/>
      <c r="BO15" s="1744"/>
      <c r="BP15" s="1744"/>
      <c r="BQ15" s="1744"/>
      <c r="BR15" s="1744"/>
      <c r="BS15" s="1744"/>
      <c r="BT15" s="1744"/>
      <c r="BU15" s="1744"/>
      <c r="BV15" s="1744"/>
      <c r="BW15" s="1744"/>
      <c r="BX15" s="1744"/>
      <c r="BY15" s="1744"/>
      <c r="BZ15" s="1744"/>
      <c r="CA15" s="1744"/>
      <c r="CB15" s="1744"/>
      <c r="CC15" s="1744"/>
      <c r="CD15" s="1744"/>
      <c r="CE15" s="1744"/>
      <c r="CF15" s="1744"/>
      <c r="CG15" s="1744"/>
      <c r="CH15" s="1744"/>
      <c r="CI15" s="1744"/>
    </row>
    <row r="16" spans="1:87" s="66" customFormat="1" ht="30" customHeight="1" thickBot="1" x14ac:dyDescent="0.25">
      <c r="A16" s="1941"/>
      <c r="B16" s="1927" t="s">
        <v>2235</v>
      </c>
      <c r="C16" s="1928"/>
      <c r="D16" s="1928"/>
      <c r="E16" s="1929"/>
      <c r="F16" s="707"/>
      <c r="G16" s="1156"/>
      <c r="H16" s="1748"/>
      <c r="I16" s="1748"/>
      <c r="J16" s="1748"/>
      <c r="K16" s="1748"/>
      <c r="L16" s="1748"/>
      <c r="M16" s="1748"/>
      <c r="N16" s="1748"/>
      <c r="O16" s="1748"/>
      <c r="P16" s="1748"/>
      <c r="Q16" s="1748"/>
      <c r="R16" s="1748"/>
      <c r="S16" s="1748"/>
      <c r="T16" s="1748"/>
      <c r="U16" s="1748"/>
      <c r="V16" s="1748"/>
      <c r="W16" s="1748"/>
      <c r="X16" s="1748"/>
      <c r="Y16" s="1748"/>
      <c r="Z16" s="1748"/>
      <c r="AA16" s="1748"/>
      <c r="AB16" s="1748"/>
      <c r="AC16" s="1748"/>
      <c r="AD16" s="1748"/>
      <c r="AE16" s="1748"/>
      <c r="AF16" s="1748"/>
      <c r="AG16" s="1748"/>
      <c r="AH16" s="1748"/>
      <c r="AI16" s="1748"/>
      <c r="AJ16" s="1748"/>
      <c r="AK16" s="1748"/>
      <c r="AL16" s="1748"/>
      <c r="AM16" s="1748"/>
      <c r="AN16" s="1748"/>
      <c r="AO16" s="1748"/>
      <c r="AP16" s="1748"/>
      <c r="AQ16" s="1748"/>
      <c r="AR16" s="1748"/>
      <c r="AS16" s="1748"/>
      <c r="AT16" s="1748"/>
      <c r="AU16" s="1748"/>
      <c r="AV16" s="1748"/>
      <c r="AW16" s="1748"/>
      <c r="AX16" s="1748"/>
      <c r="AY16" s="1748"/>
      <c r="AZ16" s="1748"/>
      <c r="BA16" s="1748"/>
      <c r="BB16" s="1748"/>
      <c r="BC16" s="1748"/>
      <c r="BD16" s="1748"/>
      <c r="BE16" s="1748"/>
      <c r="BF16" s="1748"/>
      <c r="BG16" s="1748"/>
      <c r="BH16" s="1748"/>
      <c r="BI16" s="1748"/>
      <c r="BJ16" s="1748"/>
      <c r="BK16" s="1748"/>
      <c r="BL16" s="1748"/>
      <c r="BM16" s="1748"/>
      <c r="BN16" s="1748"/>
      <c r="BO16" s="1748"/>
      <c r="BP16" s="1748"/>
      <c r="BQ16" s="1748"/>
      <c r="BR16" s="1748"/>
      <c r="BS16" s="1748"/>
      <c r="BT16" s="1748"/>
      <c r="BU16" s="1748"/>
      <c r="BV16" s="1748"/>
      <c r="BW16" s="1748"/>
      <c r="BX16" s="1748"/>
      <c r="BY16" s="1748"/>
      <c r="BZ16" s="1748"/>
      <c r="CA16" s="1748"/>
      <c r="CB16" s="1748"/>
      <c r="CC16" s="1748"/>
      <c r="CD16" s="1748"/>
      <c r="CE16" s="1748"/>
      <c r="CF16" s="1748"/>
      <c r="CG16" s="1748"/>
      <c r="CH16" s="1748"/>
      <c r="CI16" s="1748"/>
    </row>
    <row r="17" spans="1:87" s="66" customFormat="1" ht="18" customHeight="1" thickBot="1" x14ac:dyDescent="0.25">
      <c r="A17" s="1941"/>
      <c r="B17" s="1196"/>
      <c r="C17" s="1197" t="s">
        <v>9</v>
      </c>
      <c r="D17" s="1197" t="s">
        <v>11</v>
      </c>
      <c r="E17" s="1198" t="s">
        <v>12</v>
      </c>
      <c r="F17" s="1170"/>
      <c r="G17" s="1155"/>
      <c r="H17" s="1759"/>
      <c r="I17" s="1759"/>
      <c r="J17" s="1759"/>
      <c r="K17" s="1759"/>
      <c r="L17" s="1759"/>
      <c r="M17" s="1759"/>
      <c r="N17" s="1759"/>
      <c r="O17" s="1759"/>
      <c r="P17" s="1759"/>
      <c r="Q17" s="1759"/>
      <c r="R17" s="1759"/>
      <c r="S17" s="1759"/>
      <c r="T17" s="1759"/>
      <c r="U17" s="1759"/>
      <c r="V17" s="1759"/>
      <c r="W17" s="1759"/>
      <c r="X17" s="1759"/>
      <c r="Y17" s="1759"/>
      <c r="Z17" s="1759"/>
      <c r="AA17" s="1759"/>
      <c r="AB17" s="1759"/>
      <c r="AC17" s="1759"/>
      <c r="AD17" s="1759"/>
      <c r="AE17" s="1759"/>
      <c r="AF17" s="1759"/>
      <c r="AG17" s="1759"/>
      <c r="AH17" s="1759"/>
      <c r="AI17" s="1759"/>
      <c r="AJ17" s="1759"/>
      <c r="AK17" s="1759"/>
      <c r="AL17" s="1759"/>
      <c r="AM17" s="1759"/>
      <c r="AN17" s="1759"/>
      <c r="AO17" s="1759"/>
      <c r="AP17" s="1759"/>
      <c r="AQ17" s="1759"/>
      <c r="AR17" s="1759"/>
      <c r="AS17" s="1759"/>
      <c r="AT17" s="1759"/>
      <c r="AU17" s="1759"/>
      <c r="AV17" s="1759"/>
      <c r="AW17" s="1759"/>
      <c r="AX17" s="1759"/>
      <c r="AY17" s="1759"/>
      <c r="AZ17" s="1759"/>
      <c r="BA17" s="1759"/>
      <c r="BB17" s="1759"/>
      <c r="BC17" s="1759"/>
      <c r="BD17" s="1759"/>
      <c r="BE17" s="1759"/>
      <c r="BF17" s="1759"/>
      <c r="BG17" s="1759"/>
      <c r="BH17" s="1759"/>
      <c r="BI17" s="1759"/>
      <c r="BJ17" s="1759"/>
      <c r="BK17" s="1759"/>
      <c r="BL17" s="1759"/>
      <c r="BM17" s="1759"/>
      <c r="BN17" s="1759"/>
      <c r="BO17" s="1759"/>
      <c r="BP17" s="1759"/>
      <c r="BQ17" s="1759"/>
      <c r="BR17" s="1759"/>
      <c r="BS17" s="1759"/>
      <c r="BT17" s="1759"/>
      <c r="BU17" s="1759"/>
      <c r="BV17" s="1759"/>
      <c r="BW17" s="1759"/>
      <c r="BX17" s="1759"/>
      <c r="BY17" s="1759"/>
      <c r="BZ17" s="1759"/>
      <c r="CA17" s="1759"/>
      <c r="CB17" s="1759"/>
      <c r="CC17" s="1759"/>
      <c r="CD17" s="1759"/>
      <c r="CE17" s="1759"/>
      <c r="CF17" s="1759"/>
      <c r="CG17" s="1759"/>
      <c r="CH17" s="1759"/>
      <c r="CI17" s="1759"/>
    </row>
    <row r="18" spans="1:87" s="66" customFormat="1" ht="15" customHeight="1" thickBot="1" x14ac:dyDescent="0.25">
      <c r="A18" s="1941"/>
      <c r="B18" s="1199" t="s">
        <v>1779</v>
      </c>
      <c r="C18" s="1200" t="s">
        <v>437</v>
      </c>
      <c r="D18" s="1200" t="s">
        <v>438</v>
      </c>
      <c r="E18" s="1201" t="s">
        <v>439</v>
      </c>
      <c r="F18" s="704">
        <v>0</v>
      </c>
      <c r="G18" s="1153"/>
      <c r="H18" s="1745">
        <v>0</v>
      </c>
      <c r="I18" s="1745">
        <v>0</v>
      </c>
      <c r="J18" s="1745">
        <v>0</v>
      </c>
      <c r="K18" s="1745">
        <v>0</v>
      </c>
      <c r="L18" s="1745">
        <v>0</v>
      </c>
      <c r="M18" s="1745">
        <v>0</v>
      </c>
      <c r="N18" s="1745">
        <v>0</v>
      </c>
      <c r="O18" s="1745">
        <v>0</v>
      </c>
      <c r="P18" s="1745">
        <v>0</v>
      </c>
      <c r="Q18" s="1745">
        <v>0</v>
      </c>
      <c r="R18" s="1745">
        <v>0</v>
      </c>
      <c r="S18" s="1745">
        <v>0</v>
      </c>
      <c r="T18" s="1745">
        <v>0</v>
      </c>
      <c r="U18" s="1745">
        <v>0</v>
      </c>
      <c r="V18" s="1745">
        <v>0</v>
      </c>
      <c r="W18" s="1745">
        <v>0</v>
      </c>
      <c r="X18" s="1745">
        <v>0</v>
      </c>
      <c r="Y18" s="1745">
        <v>0</v>
      </c>
      <c r="Z18" s="1745">
        <v>0</v>
      </c>
      <c r="AA18" s="1745">
        <v>0</v>
      </c>
      <c r="AB18" s="1745">
        <v>0</v>
      </c>
      <c r="AC18" s="1745">
        <v>0</v>
      </c>
      <c r="AD18" s="1745">
        <v>0</v>
      </c>
      <c r="AE18" s="1745">
        <v>0</v>
      </c>
      <c r="AF18" s="1745">
        <v>0</v>
      </c>
      <c r="AG18" s="1745">
        <v>0</v>
      </c>
      <c r="AH18" s="1745">
        <v>0</v>
      </c>
      <c r="AI18" s="1745">
        <v>0</v>
      </c>
      <c r="AJ18" s="1745">
        <v>0</v>
      </c>
      <c r="AK18" s="1745">
        <v>0</v>
      </c>
      <c r="AL18" s="1745">
        <v>0</v>
      </c>
      <c r="AM18" s="1745">
        <v>0</v>
      </c>
      <c r="AN18" s="1745">
        <v>0</v>
      </c>
      <c r="AO18" s="1745">
        <v>0</v>
      </c>
      <c r="AP18" s="1745">
        <v>0</v>
      </c>
      <c r="AQ18" s="1745">
        <v>0</v>
      </c>
      <c r="AR18" s="1745">
        <v>0</v>
      </c>
      <c r="AS18" s="1745">
        <v>0</v>
      </c>
      <c r="AT18" s="1745">
        <v>0</v>
      </c>
      <c r="AU18" s="1745">
        <v>0</v>
      </c>
      <c r="AV18" s="1745">
        <v>0</v>
      </c>
      <c r="AW18" s="1745">
        <v>0</v>
      </c>
      <c r="AX18" s="1745">
        <v>0</v>
      </c>
      <c r="AY18" s="1745">
        <v>0</v>
      </c>
      <c r="AZ18" s="1745">
        <v>0</v>
      </c>
      <c r="BA18" s="1745">
        <v>0</v>
      </c>
      <c r="BB18" s="1745">
        <v>0</v>
      </c>
      <c r="BC18" s="1745">
        <v>0</v>
      </c>
      <c r="BD18" s="1745">
        <v>0</v>
      </c>
      <c r="BE18" s="1745">
        <v>0</v>
      </c>
      <c r="BF18" s="1745">
        <v>0</v>
      </c>
      <c r="BG18" s="1745">
        <v>0</v>
      </c>
      <c r="BH18" s="1745">
        <v>0</v>
      </c>
      <c r="BI18" s="1745">
        <v>0</v>
      </c>
      <c r="BJ18" s="1745">
        <v>0</v>
      </c>
      <c r="BK18" s="1745">
        <v>0</v>
      </c>
      <c r="BL18" s="1745">
        <v>0</v>
      </c>
      <c r="BM18" s="1745">
        <v>0</v>
      </c>
      <c r="BN18" s="1745">
        <v>0</v>
      </c>
      <c r="BO18" s="1745">
        <v>0</v>
      </c>
      <c r="BP18" s="1745">
        <v>0</v>
      </c>
      <c r="BQ18" s="1745">
        <v>0</v>
      </c>
      <c r="BR18" s="1745">
        <v>0</v>
      </c>
      <c r="BS18" s="1745">
        <v>0</v>
      </c>
      <c r="BT18" s="1745">
        <v>0</v>
      </c>
      <c r="BU18" s="1745">
        <v>0</v>
      </c>
      <c r="BV18" s="1745">
        <v>0</v>
      </c>
      <c r="BW18" s="1745">
        <v>0</v>
      </c>
      <c r="BX18" s="1745">
        <v>0</v>
      </c>
      <c r="BY18" s="1745">
        <v>0</v>
      </c>
      <c r="BZ18" s="1745">
        <v>0</v>
      </c>
      <c r="CA18" s="1745">
        <v>0</v>
      </c>
      <c r="CB18" s="1745">
        <v>0</v>
      </c>
      <c r="CC18" s="1745">
        <v>0</v>
      </c>
      <c r="CD18" s="1745">
        <v>0</v>
      </c>
      <c r="CE18" s="1745">
        <v>0</v>
      </c>
      <c r="CF18" s="1745">
        <v>0</v>
      </c>
      <c r="CG18" s="1745">
        <v>0</v>
      </c>
      <c r="CH18" s="1745">
        <v>0</v>
      </c>
      <c r="CI18" s="1745">
        <v>0</v>
      </c>
    </row>
    <row r="19" spans="1:87" s="66" customFormat="1" ht="15" customHeight="1" thickBot="1" x14ac:dyDescent="0.25">
      <c r="A19" s="1941"/>
      <c r="B19" s="1199" t="s">
        <v>1780</v>
      </c>
      <c r="C19" s="1561" t="s">
        <v>2431</v>
      </c>
      <c r="D19" s="1200" t="s">
        <v>60</v>
      </c>
      <c r="E19" s="1201" t="s">
        <v>61</v>
      </c>
      <c r="F19" s="704">
        <v>0</v>
      </c>
      <c r="G19" s="1153"/>
      <c r="H19" s="1745">
        <v>0</v>
      </c>
      <c r="I19" s="1745">
        <v>0</v>
      </c>
      <c r="J19" s="1745">
        <v>0</v>
      </c>
      <c r="K19" s="1745">
        <v>0</v>
      </c>
      <c r="L19" s="1745">
        <v>0</v>
      </c>
      <c r="M19" s="1745">
        <v>0</v>
      </c>
      <c r="N19" s="1745">
        <v>0</v>
      </c>
      <c r="O19" s="1745">
        <v>0</v>
      </c>
      <c r="P19" s="1745">
        <v>0</v>
      </c>
      <c r="Q19" s="1745">
        <v>0</v>
      </c>
      <c r="R19" s="1745">
        <v>0</v>
      </c>
      <c r="S19" s="1745">
        <v>0</v>
      </c>
      <c r="T19" s="1745">
        <v>0</v>
      </c>
      <c r="U19" s="1745">
        <v>0</v>
      </c>
      <c r="V19" s="1745">
        <v>0</v>
      </c>
      <c r="W19" s="1745">
        <v>0</v>
      </c>
      <c r="X19" s="1745">
        <v>0</v>
      </c>
      <c r="Y19" s="1745">
        <v>0</v>
      </c>
      <c r="Z19" s="1745">
        <v>0</v>
      </c>
      <c r="AA19" s="1745">
        <v>0</v>
      </c>
      <c r="AB19" s="1745">
        <v>0</v>
      </c>
      <c r="AC19" s="1745">
        <v>0</v>
      </c>
      <c r="AD19" s="1745">
        <v>0</v>
      </c>
      <c r="AE19" s="1745">
        <v>0</v>
      </c>
      <c r="AF19" s="1745">
        <v>0</v>
      </c>
      <c r="AG19" s="1745">
        <v>0</v>
      </c>
      <c r="AH19" s="1745">
        <v>0</v>
      </c>
      <c r="AI19" s="1745">
        <v>0</v>
      </c>
      <c r="AJ19" s="1745">
        <v>0</v>
      </c>
      <c r="AK19" s="1745">
        <v>0</v>
      </c>
      <c r="AL19" s="1745">
        <v>0</v>
      </c>
      <c r="AM19" s="1745">
        <v>0</v>
      </c>
      <c r="AN19" s="1745">
        <v>0</v>
      </c>
      <c r="AO19" s="1745">
        <v>0</v>
      </c>
      <c r="AP19" s="1745">
        <v>0</v>
      </c>
      <c r="AQ19" s="1745">
        <v>0</v>
      </c>
      <c r="AR19" s="1745">
        <v>0</v>
      </c>
      <c r="AS19" s="1745">
        <v>0</v>
      </c>
      <c r="AT19" s="1745">
        <v>0</v>
      </c>
      <c r="AU19" s="1745">
        <v>0</v>
      </c>
      <c r="AV19" s="1745">
        <v>0</v>
      </c>
      <c r="AW19" s="1745">
        <v>0</v>
      </c>
      <c r="AX19" s="1745">
        <v>0</v>
      </c>
      <c r="AY19" s="1745">
        <v>0</v>
      </c>
      <c r="AZ19" s="1745">
        <v>0</v>
      </c>
      <c r="BA19" s="1745">
        <v>0</v>
      </c>
      <c r="BB19" s="1745">
        <v>0</v>
      </c>
      <c r="BC19" s="1745">
        <v>0</v>
      </c>
      <c r="BD19" s="1745">
        <v>0</v>
      </c>
      <c r="BE19" s="1745">
        <v>0</v>
      </c>
      <c r="BF19" s="1745">
        <v>0</v>
      </c>
      <c r="BG19" s="1745">
        <v>0</v>
      </c>
      <c r="BH19" s="1745">
        <v>0</v>
      </c>
      <c r="BI19" s="1745">
        <v>0</v>
      </c>
      <c r="BJ19" s="1745">
        <v>0</v>
      </c>
      <c r="BK19" s="1745">
        <v>0</v>
      </c>
      <c r="BL19" s="1745">
        <v>0</v>
      </c>
      <c r="BM19" s="1745">
        <v>0</v>
      </c>
      <c r="BN19" s="1745">
        <v>0</v>
      </c>
      <c r="BO19" s="1745">
        <v>0</v>
      </c>
      <c r="BP19" s="1745">
        <v>0</v>
      </c>
      <c r="BQ19" s="1745">
        <v>0</v>
      </c>
      <c r="BR19" s="1745">
        <v>0</v>
      </c>
      <c r="BS19" s="1745">
        <v>0</v>
      </c>
      <c r="BT19" s="1745">
        <v>0</v>
      </c>
      <c r="BU19" s="1745">
        <v>0</v>
      </c>
      <c r="BV19" s="1745">
        <v>0</v>
      </c>
      <c r="BW19" s="1745">
        <v>0</v>
      </c>
      <c r="BX19" s="1745">
        <v>0</v>
      </c>
      <c r="BY19" s="1745">
        <v>0</v>
      </c>
      <c r="BZ19" s="1745">
        <v>0</v>
      </c>
      <c r="CA19" s="1745">
        <v>0</v>
      </c>
      <c r="CB19" s="1745">
        <v>0</v>
      </c>
      <c r="CC19" s="1745">
        <v>0</v>
      </c>
      <c r="CD19" s="1745">
        <v>0</v>
      </c>
      <c r="CE19" s="1745">
        <v>0</v>
      </c>
      <c r="CF19" s="1745">
        <v>0</v>
      </c>
      <c r="CG19" s="1745">
        <v>0</v>
      </c>
      <c r="CH19" s="1745">
        <v>0</v>
      </c>
      <c r="CI19" s="1745">
        <v>0</v>
      </c>
    </row>
    <row r="20" spans="1:87" s="66" customFormat="1" ht="18" customHeight="1" thickBot="1" x14ac:dyDescent="0.25">
      <c r="A20" s="1941"/>
      <c r="B20" s="1920" t="s">
        <v>440</v>
      </c>
      <c r="C20" s="1920"/>
      <c r="D20" s="1920"/>
      <c r="E20" s="1921"/>
      <c r="F20" s="1150"/>
      <c r="G20" s="1154"/>
      <c r="H20" s="1756"/>
      <c r="I20" s="1756"/>
      <c r="J20" s="1756"/>
      <c r="K20" s="1756"/>
      <c r="L20" s="1756"/>
      <c r="M20" s="1756"/>
      <c r="N20" s="1756"/>
      <c r="O20" s="1756"/>
      <c r="P20" s="1756"/>
      <c r="Q20" s="1756"/>
      <c r="R20" s="1756"/>
      <c r="S20" s="1756"/>
      <c r="T20" s="1756"/>
      <c r="U20" s="1756"/>
      <c r="V20" s="1756"/>
      <c r="W20" s="1756"/>
      <c r="X20" s="1756"/>
      <c r="Y20" s="1756"/>
      <c r="Z20" s="1756"/>
      <c r="AA20" s="1756"/>
      <c r="AB20" s="1756"/>
      <c r="AC20" s="1756"/>
      <c r="AD20" s="1756"/>
      <c r="AE20" s="1756"/>
      <c r="AF20" s="1756"/>
      <c r="AG20" s="1756"/>
      <c r="AH20" s="1756"/>
      <c r="AI20" s="1756"/>
      <c r="AJ20" s="1756"/>
      <c r="AK20" s="1756"/>
      <c r="AL20" s="1756"/>
      <c r="AM20" s="1756"/>
      <c r="AN20" s="1756"/>
      <c r="AO20" s="1756"/>
      <c r="AP20" s="1756"/>
      <c r="AQ20" s="1756"/>
      <c r="AR20" s="1756"/>
      <c r="AS20" s="1756"/>
      <c r="AT20" s="1756"/>
      <c r="AU20" s="1756"/>
      <c r="AV20" s="1756"/>
      <c r="AW20" s="1756"/>
      <c r="AX20" s="1756"/>
      <c r="AY20" s="1756"/>
      <c r="AZ20" s="1756"/>
      <c r="BA20" s="1756"/>
      <c r="BB20" s="1756"/>
      <c r="BC20" s="1756"/>
      <c r="BD20" s="1756"/>
      <c r="BE20" s="1756"/>
      <c r="BF20" s="1756"/>
      <c r="BG20" s="1756"/>
      <c r="BH20" s="1756"/>
      <c r="BI20" s="1756"/>
      <c r="BJ20" s="1756"/>
      <c r="BK20" s="1756"/>
      <c r="BL20" s="1756"/>
      <c r="BM20" s="1756"/>
      <c r="BN20" s="1756"/>
      <c r="BO20" s="1756"/>
      <c r="BP20" s="1756"/>
      <c r="BQ20" s="1756"/>
      <c r="BR20" s="1756"/>
      <c r="BS20" s="1756"/>
      <c r="BT20" s="1756"/>
      <c r="BU20" s="1756"/>
      <c r="BV20" s="1756"/>
      <c r="BW20" s="1756"/>
      <c r="BX20" s="1756"/>
      <c r="BY20" s="1756"/>
      <c r="BZ20" s="1756"/>
      <c r="CA20" s="1756"/>
      <c r="CB20" s="1756"/>
      <c r="CC20" s="1756"/>
      <c r="CD20" s="1756"/>
      <c r="CE20" s="1756"/>
      <c r="CF20" s="1756"/>
      <c r="CG20" s="1756"/>
      <c r="CH20" s="1756"/>
      <c r="CI20" s="1756"/>
    </row>
    <row r="21" spans="1:87" s="66" customFormat="1" ht="24" customHeight="1" thickBot="1" x14ac:dyDescent="0.25">
      <c r="A21" s="1941"/>
      <c r="B21" s="1199" t="s">
        <v>164</v>
      </c>
      <c r="C21" s="1200" t="s">
        <v>1785</v>
      </c>
      <c r="D21" s="1200" t="s">
        <v>72</v>
      </c>
      <c r="E21" s="1201" t="s">
        <v>1786</v>
      </c>
      <c r="F21" s="704">
        <v>0</v>
      </c>
      <c r="G21" s="1153"/>
      <c r="H21" s="1745">
        <v>0</v>
      </c>
      <c r="I21" s="1745">
        <v>0</v>
      </c>
      <c r="J21" s="1745">
        <v>0</v>
      </c>
      <c r="K21" s="1745">
        <v>0</v>
      </c>
      <c r="L21" s="1745">
        <v>0</v>
      </c>
      <c r="M21" s="1745">
        <v>0</v>
      </c>
      <c r="N21" s="1745">
        <v>0</v>
      </c>
      <c r="O21" s="1745">
        <v>0</v>
      </c>
      <c r="P21" s="1745">
        <v>0</v>
      </c>
      <c r="Q21" s="1745">
        <v>0</v>
      </c>
      <c r="R21" s="1745">
        <v>0</v>
      </c>
      <c r="S21" s="1745">
        <v>0</v>
      </c>
      <c r="T21" s="1745">
        <v>0</v>
      </c>
      <c r="U21" s="1745">
        <v>0</v>
      </c>
      <c r="V21" s="1745">
        <v>0</v>
      </c>
      <c r="W21" s="1745">
        <v>0</v>
      </c>
      <c r="X21" s="1745">
        <v>0</v>
      </c>
      <c r="Y21" s="1745">
        <v>0</v>
      </c>
      <c r="Z21" s="1745">
        <v>0</v>
      </c>
      <c r="AA21" s="1745">
        <v>0</v>
      </c>
      <c r="AB21" s="1745">
        <v>0</v>
      </c>
      <c r="AC21" s="1745">
        <v>0</v>
      </c>
      <c r="AD21" s="1745">
        <v>0</v>
      </c>
      <c r="AE21" s="1745">
        <v>0</v>
      </c>
      <c r="AF21" s="1745">
        <v>0</v>
      </c>
      <c r="AG21" s="1745">
        <v>0</v>
      </c>
      <c r="AH21" s="1745">
        <v>0</v>
      </c>
      <c r="AI21" s="1745">
        <v>0</v>
      </c>
      <c r="AJ21" s="1745">
        <v>0</v>
      </c>
      <c r="AK21" s="1745">
        <v>0</v>
      </c>
      <c r="AL21" s="1745">
        <v>0</v>
      </c>
      <c r="AM21" s="1745">
        <v>0</v>
      </c>
      <c r="AN21" s="1745">
        <v>0</v>
      </c>
      <c r="AO21" s="1745">
        <v>0</v>
      </c>
      <c r="AP21" s="1745">
        <v>0</v>
      </c>
      <c r="AQ21" s="1745">
        <v>0</v>
      </c>
      <c r="AR21" s="1745">
        <v>0</v>
      </c>
      <c r="AS21" s="1745">
        <v>0</v>
      </c>
      <c r="AT21" s="1745">
        <v>0</v>
      </c>
      <c r="AU21" s="1745">
        <v>0</v>
      </c>
      <c r="AV21" s="1745">
        <v>0</v>
      </c>
      <c r="AW21" s="1745">
        <v>0</v>
      </c>
      <c r="AX21" s="1745">
        <v>0</v>
      </c>
      <c r="AY21" s="1745">
        <v>0</v>
      </c>
      <c r="AZ21" s="1745">
        <v>0</v>
      </c>
      <c r="BA21" s="1745">
        <v>0</v>
      </c>
      <c r="BB21" s="1745">
        <v>0</v>
      </c>
      <c r="BC21" s="1745">
        <v>0</v>
      </c>
      <c r="BD21" s="1745">
        <v>0</v>
      </c>
      <c r="BE21" s="1745">
        <v>0</v>
      </c>
      <c r="BF21" s="1745">
        <v>0</v>
      </c>
      <c r="BG21" s="1745">
        <v>0</v>
      </c>
      <c r="BH21" s="1745">
        <v>0</v>
      </c>
      <c r="BI21" s="1745">
        <v>0</v>
      </c>
      <c r="BJ21" s="1745">
        <v>0</v>
      </c>
      <c r="BK21" s="1745">
        <v>0</v>
      </c>
      <c r="BL21" s="1745">
        <v>0</v>
      </c>
      <c r="BM21" s="1745">
        <v>0</v>
      </c>
      <c r="BN21" s="1745">
        <v>0</v>
      </c>
      <c r="BO21" s="1745">
        <v>0</v>
      </c>
      <c r="BP21" s="1745">
        <v>0</v>
      </c>
      <c r="BQ21" s="1745">
        <v>0</v>
      </c>
      <c r="BR21" s="1745">
        <v>0</v>
      </c>
      <c r="BS21" s="1745">
        <v>0</v>
      </c>
      <c r="BT21" s="1745">
        <v>0</v>
      </c>
      <c r="BU21" s="1745">
        <v>0</v>
      </c>
      <c r="BV21" s="1745">
        <v>0</v>
      </c>
      <c r="BW21" s="1745">
        <v>0</v>
      </c>
      <c r="BX21" s="1745">
        <v>0</v>
      </c>
      <c r="BY21" s="1745">
        <v>0</v>
      </c>
      <c r="BZ21" s="1745">
        <v>0</v>
      </c>
      <c r="CA21" s="1745">
        <v>0</v>
      </c>
      <c r="CB21" s="1745">
        <v>0</v>
      </c>
      <c r="CC21" s="1745">
        <v>0</v>
      </c>
      <c r="CD21" s="1745">
        <v>0</v>
      </c>
      <c r="CE21" s="1745">
        <v>0</v>
      </c>
      <c r="CF21" s="1745">
        <v>0</v>
      </c>
      <c r="CG21" s="1745">
        <v>0</v>
      </c>
      <c r="CH21" s="1745">
        <v>0</v>
      </c>
      <c r="CI21" s="1745">
        <v>0</v>
      </c>
    </row>
    <row r="22" spans="1:87" s="66" customFormat="1" ht="15" customHeight="1" thickBot="1" x14ac:dyDescent="0.25">
      <c r="A22" s="1941"/>
      <c r="B22" s="1202" t="s">
        <v>1781</v>
      </c>
      <c r="C22" s="1178" t="s">
        <v>1782</v>
      </c>
      <c r="D22" s="1178" t="s">
        <v>1783</v>
      </c>
      <c r="E22" s="1179" t="s">
        <v>1784</v>
      </c>
      <c r="F22" s="704">
        <v>0</v>
      </c>
      <c r="G22" s="1142"/>
      <c r="H22" s="1745">
        <v>0</v>
      </c>
      <c r="I22" s="1745">
        <v>0</v>
      </c>
      <c r="J22" s="1745">
        <v>0</v>
      </c>
      <c r="K22" s="1745">
        <v>0</v>
      </c>
      <c r="L22" s="1745">
        <v>0</v>
      </c>
      <c r="M22" s="1745">
        <v>0</v>
      </c>
      <c r="N22" s="1745">
        <v>0</v>
      </c>
      <c r="O22" s="1745">
        <v>0</v>
      </c>
      <c r="P22" s="1745">
        <v>0</v>
      </c>
      <c r="Q22" s="1745">
        <v>0</v>
      </c>
      <c r="R22" s="1745">
        <v>0</v>
      </c>
      <c r="S22" s="1745">
        <v>0</v>
      </c>
      <c r="T22" s="1745">
        <v>0</v>
      </c>
      <c r="U22" s="1745">
        <v>0</v>
      </c>
      <c r="V22" s="1745">
        <v>0</v>
      </c>
      <c r="W22" s="1745">
        <v>0</v>
      </c>
      <c r="X22" s="1745">
        <v>0</v>
      </c>
      <c r="Y22" s="1745">
        <v>0</v>
      </c>
      <c r="Z22" s="1745">
        <v>0</v>
      </c>
      <c r="AA22" s="1745">
        <v>0</v>
      </c>
      <c r="AB22" s="1745">
        <v>0</v>
      </c>
      <c r="AC22" s="1745">
        <v>0</v>
      </c>
      <c r="AD22" s="1745">
        <v>0</v>
      </c>
      <c r="AE22" s="1745">
        <v>0</v>
      </c>
      <c r="AF22" s="1745">
        <v>0</v>
      </c>
      <c r="AG22" s="1745">
        <v>0</v>
      </c>
      <c r="AH22" s="1745">
        <v>0</v>
      </c>
      <c r="AI22" s="1745">
        <v>0</v>
      </c>
      <c r="AJ22" s="1745">
        <v>0</v>
      </c>
      <c r="AK22" s="1745">
        <v>0</v>
      </c>
      <c r="AL22" s="1745">
        <v>0</v>
      </c>
      <c r="AM22" s="1745">
        <v>0</v>
      </c>
      <c r="AN22" s="1745">
        <v>0</v>
      </c>
      <c r="AO22" s="1745">
        <v>0</v>
      </c>
      <c r="AP22" s="1745">
        <v>0</v>
      </c>
      <c r="AQ22" s="1745">
        <v>0</v>
      </c>
      <c r="AR22" s="1745">
        <v>0</v>
      </c>
      <c r="AS22" s="1745">
        <v>0</v>
      </c>
      <c r="AT22" s="1745">
        <v>0</v>
      </c>
      <c r="AU22" s="1745">
        <v>0</v>
      </c>
      <c r="AV22" s="1745">
        <v>0</v>
      </c>
      <c r="AW22" s="1745">
        <v>0</v>
      </c>
      <c r="AX22" s="1745">
        <v>0</v>
      </c>
      <c r="AY22" s="1745">
        <v>0</v>
      </c>
      <c r="AZ22" s="1745">
        <v>0</v>
      </c>
      <c r="BA22" s="1745">
        <v>0</v>
      </c>
      <c r="BB22" s="1745">
        <v>0</v>
      </c>
      <c r="BC22" s="1745">
        <v>0</v>
      </c>
      <c r="BD22" s="1745">
        <v>0</v>
      </c>
      <c r="BE22" s="1745">
        <v>0</v>
      </c>
      <c r="BF22" s="1745">
        <v>0</v>
      </c>
      <c r="BG22" s="1745">
        <v>0</v>
      </c>
      <c r="BH22" s="1745">
        <v>0</v>
      </c>
      <c r="BI22" s="1745">
        <v>0</v>
      </c>
      <c r="BJ22" s="1745">
        <v>0</v>
      </c>
      <c r="BK22" s="1745">
        <v>0</v>
      </c>
      <c r="BL22" s="1745">
        <v>0</v>
      </c>
      <c r="BM22" s="1745">
        <v>0</v>
      </c>
      <c r="BN22" s="1745">
        <v>0</v>
      </c>
      <c r="BO22" s="1745">
        <v>0</v>
      </c>
      <c r="BP22" s="1745">
        <v>0</v>
      </c>
      <c r="BQ22" s="1745">
        <v>0</v>
      </c>
      <c r="BR22" s="1745">
        <v>0</v>
      </c>
      <c r="BS22" s="1745">
        <v>0</v>
      </c>
      <c r="BT22" s="1745">
        <v>0</v>
      </c>
      <c r="BU22" s="1745">
        <v>0</v>
      </c>
      <c r="BV22" s="1745">
        <v>0</v>
      </c>
      <c r="BW22" s="1745">
        <v>0</v>
      </c>
      <c r="BX22" s="1745">
        <v>0</v>
      </c>
      <c r="BY22" s="1745">
        <v>0</v>
      </c>
      <c r="BZ22" s="1745">
        <v>0</v>
      </c>
      <c r="CA22" s="1745">
        <v>0</v>
      </c>
      <c r="CB22" s="1745">
        <v>0</v>
      </c>
      <c r="CC22" s="1745">
        <v>0</v>
      </c>
      <c r="CD22" s="1745">
        <v>0</v>
      </c>
      <c r="CE22" s="1745">
        <v>0</v>
      </c>
      <c r="CF22" s="1745">
        <v>0</v>
      </c>
      <c r="CG22" s="1745">
        <v>0</v>
      </c>
      <c r="CH22" s="1745">
        <v>0</v>
      </c>
      <c r="CI22" s="1745">
        <v>0</v>
      </c>
    </row>
    <row r="23" spans="1:87" s="66" customFormat="1" ht="21" customHeight="1" thickBot="1" x14ac:dyDescent="0.25">
      <c r="A23" s="1941"/>
      <c r="B23" s="1970" t="s">
        <v>1320</v>
      </c>
      <c r="C23" s="1970"/>
      <c r="D23" s="1970"/>
      <c r="E23" s="1971"/>
      <c r="F23" s="1152">
        <f>SUM(F18:F22)</f>
        <v>0</v>
      </c>
      <c r="G23" s="1151"/>
      <c r="H23" s="1797">
        <f t="shared" ref="H23:Q23" si="0">SUM(H18:H22)</f>
        <v>0</v>
      </c>
      <c r="I23" s="1797">
        <f t="shared" si="0"/>
        <v>0</v>
      </c>
      <c r="J23" s="1797">
        <f t="shared" si="0"/>
        <v>0</v>
      </c>
      <c r="K23" s="1797">
        <f t="shared" si="0"/>
        <v>0</v>
      </c>
      <c r="L23" s="1797">
        <f t="shared" si="0"/>
        <v>0</v>
      </c>
      <c r="M23" s="1797">
        <f t="shared" si="0"/>
        <v>0</v>
      </c>
      <c r="N23" s="1797">
        <f t="shared" si="0"/>
        <v>0</v>
      </c>
      <c r="O23" s="1797">
        <f t="shared" si="0"/>
        <v>0</v>
      </c>
      <c r="P23" s="1797">
        <f t="shared" si="0"/>
        <v>0</v>
      </c>
      <c r="Q23" s="1797">
        <f t="shared" si="0"/>
        <v>0</v>
      </c>
      <c r="R23" s="1797">
        <f t="shared" ref="R23:CC23" si="1">SUM(R18:R22)</f>
        <v>0</v>
      </c>
      <c r="S23" s="1797">
        <f t="shared" si="1"/>
        <v>0</v>
      </c>
      <c r="T23" s="1797">
        <f t="shared" si="1"/>
        <v>0</v>
      </c>
      <c r="U23" s="1797">
        <f t="shared" si="1"/>
        <v>0</v>
      </c>
      <c r="V23" s="1797">
        <f t="shared" si="1"/>
        <v>0</v>
      </c>
      <c r="W23" s="1797">
        <f t="shared" si="1"/>
        <v>0</v>
      </c>
      <c r="X23" s="1797">
        <f t="shared" si="1"/>
        <v>0</v>
      </c>
      <c r="Y23" s="1797">
        <f t="shared" si="1"/>
        <v>0</v>
      </c>
      <c r="Z23" s="1797">
        <f t="shared" si="1"/>
        <v>0</v>
      </c>
      <c r="AA23" s="1797">
        <f t="shared" si="1"/>
        <v>0</v>
      </c>
      <c r="AB23" s="1797">
        <f t="shared" si="1"/>
        <v>0</v>
      </c>
      <c r="AC23" s="1797">
        <f t="shared" si="1"/>
        <v>0</v>
      </c>
      <c r="AD23" s="1797">
        <f t="shared" si="1"/>
        <v>0</v>
      </c>
      <c r="AE23" s="1797">
        <f t="shared" si="1"/>
        <v>0</v>
      </c>
      <c r="AF23" s="1797">
        <f t="shared" si="1"/>
        <v>0</v>
      </c>
      <c r="AG23" s="1797">
        <f t="shared" si="1"/>
        <v>0</v>
      </c>
      <c r="AH23" s="1797">
        <f t="shared" si="1"/>
        <v>0</v>
      </c>
      <c r="AI23" s="1797">
        <f t="shared" si="1"/>
        <v>0</v>
      </c>
      <c r="AJ23" s="1797">
        <f t="shared" si="1"/>
        <v>0</v>
      </c>
      <c r="AK23" s="1797">
        <f t="shared" si="1"/>
        <v>0</v>
      </c>
      <c r="AL23" s="1797">
        <f t="shared" si="1"/>
        <v>0</v>
      </c>
      <c r="AM23" s="1797">
        <f t="shared" si="1"/>
        <v>0</v>
      </c>
      <c r="AN23" s="1797">
        <f t="shared" si="1"/>
        <v>0</v>
      </c>
      <c r="AO23" s="1797">
        <f t="shared" si="1"/>
        <v>0</v>
      </c>
      <c r="AP23" s="1797">
        <f t="shared" si="1"/>
        <v>0</v>
      </c>
      <c r="AQ23" s="1797">
        <f t="shared" si="1"/>
        <v>0</v>
      </c>
      <c r="AR23" s="1797">
        <f t="shared" si="1"/>
        <v>0</v>
      </c>
      <c r="AS23" s="1797">
        <f t="shared" si="1"/>
        <v>0</v>
      </c>
      <c r="AT23" s="1797">
        <f t="shared" si="1"/>
        <v>0</v>
      </c>
      <c r="AU23" s="1797">
        <f t="shared" si="1"/>
        <v>0</v>
      </c>
      <c r="AV23" s="1797">
        <f t="shared" si="1"/>
        <v>0</v>
      </c>
      <c r="AW23" s="1797">
        <f t="shared" si="1"/>
        <v>0</v>
      </c>
      <c r="AX23" s="1797">
        <f t="shared" si="1"/>
        <v>0</v>
      </c>
      <c r="AY23" s="1797">
        <f t="shared" si="1"/>
        <v>0</v>
      </c>
      <c r="AZ23" s="1797">
        <f t="shared" si="1"/>
        <v>0</v>
      </c>
      <c r="BA23" s="1797">
        <f t="shared" si="1"/>
        <v>0</v>
      </c>
      <c r="BB23" s="1797">
        <f t="shared" si="1"/>
        <v>0</v>
      </c>
      <c r="BC23" s="1797">
        <f t="shared" si="1"/>
        <v>0</v>
      </c>
      <c r="BD23" s="1797">
        <f t="shared" si="1"/>
        <v>0</v>
      </c>
      <c r="BE23" s="1797">
        <f t="shared" si="1"/>
        <v>0</v>
      </c>
      <c r="BF23" s="1797">
        <f t="shared" si="1"/>
        <v>0</v>
      </c>
      <c r="BG23" s="1797">
        <f t="shared" si="1"/>
        <v>0</v>
      </c>
      <c r="BH23" s="1797">
        <f t="shared" si="1"/>
        <v>0</v>
      </c>
      <c r="BI23" s="1797">
        <f t="shared" si="1"/>
        <v>0</v>
      </c>
      <c r="BJ23" s="1797">
        <f t="shared" si="1"/>
        <v>0</v>
      </c>
      <c r="BK23" s="1797">
        <f t="shared" si="1"/>
        <v>0</v>
      </c>
      <c r="BL23" s="1797">
        <f t="shared" si="1"/>
        <v>0</v>
      </c>
      <c r="BM23" s="1797">
        <f t="shared" si="1"/>
        <v>0</v>
      </c>
      <c r="BN23" s="1797">
        <f t="shared" si="1"/>
        <v>0</v>
      </c>
      <c r="BO23" s="1797">
        <f t="shared" si="1"/>
        <v>0</v>
      </c>
      <c r="BP23" s="1797">
        <f t="shared" si="1"/>
        <v>0</v>
      </c>
      <c r="BQ23" s="1797">
        <f t="shared" si="1"/>
        <v>0</v>
      </c>
      <c r="BR23" s="1797">
        <f t="shared" si="1"/>
        <v>0</v>
      </c>
      <c r="BS23" s="1797">
        <f t="shared" si="1"/>
        <v>0</v>
      </c>
      <c r="BT23" s="1797">
        <f t="shared" si="1"/>
        <v>0</v>
      </c>
      <c r="BU23" s="1797">
        <f t="shared" si="1"/>
        <v>0</v>
      </c>
      <c r="BV23" s="1797">
        <f t="shared" si="1"/>
        <v>0</v>
      </c>
      <c r="BW23" s="1797">
        <f t="shared" si="1"/>
        <v>0</v>
      </c>
      <c r="BX23" s="1797">
        <f t="shared" si="1"/>
        <v>0</v>
      </c>
      <c r="BY23" s="1797">
        <f t="shared" si="1"/>
        <v>0</v>
      </c>
      <c r="BZ23" s="1797">
        <f t="shared" si="1"/>
        <v>0</v>
      </c>
      <c r="CA23" s="1797">
        <f t="shared" si="1"/>
        <v>0</v>
      </c>
      <c r="CB23" s="1797">
        <f t="shared" si="1"/>
        <v>0</v>
      </c>
      <c r="CC23" s="1797">
        <f t="shared" si="1"/>
        <v>0</v>
      </c>
      <c r="CD23" s="1797">
        <f t="shared" ref="CD23:CI23" si="2">SUM(CD18:CD22)</f>
        <v>0</v>
      </c>
      <c r="CE23" s="1797">
        <f t="shared" si="2"/>
        <v>0</v>
      </c>
      <c r="CF23" s="1797">
        <f t="shared" si="2"/>
        <v>0</v>
      </c>
      <c r="CG23" s="1797">
        <f t="shared" si="2"/>
        <v>0</v>
      </c>
      <c r="CH23" s="1797">
        <f t="shared" si="2"/>
        <v>0</v>
      </c>
      <c r="CI23" s="1798">
        <f t="shared" si="2"/>
        <v>0</v>
      </c>
    </row>
    <row r="24" spans="1:87" s="66" customFormat="1" ht="21" customHeight="1" thickBot="1" x14ac:dyDescent="0.25">
      <c r="A24" s="1941"/>
      <c r="B24" s="1918"/>
      <c r="C24" s="1919"/>
      <c r="D24" s="1919"/>
      <c r="E24" s="1203" t="s">
        <v>469</v>
      </c>
      <c r="F24" s="976">
        <f>F23/12</f>
        <v>0</v>
      </c>
      <c r="G24" s="702"/>
      <c r="H24" s="1750">
        <f t="shared" ref="H24:Q24" si="3">H23/12</f>
        <v>0</v>
      </c>
      <c r="I24" s="1750">
        <f t="shared" si="3"/>
        <v>0</v>
      </c>
      <c r="J24" s="1750">
        <f t="shared" si="3"/>
        <v>0</v>
      </c>
      <c r="K24" s="1750">
        <f t="shared" si="3"/>
        <v>0</v>
      </c>
      <c r="L24" s="1750">
        <f t="shared" si="3"/>
        <v>0</v>
      </c>
      <c r="M24" s="1750">
        <f t="shared" si="3"/>
        <v>0</v>
      </c>
      <c r="N24" s="1750">
        <f t="shared" si="3"/>
        <v>0</v>
      </c>
      <c r="O24" s="1750">
        <f t="shared" si="3"/>
        <v>0</v>
      </c>
      <c r="P24" s="1750">
        <f t="shared" si="3"/>
        <v>0</v>
      </c>
      <c r="Q24" s="1750">
        <f t="shared" si="3"/>
        <v>0</v>
      </c>
      <c r="R24" s="1750">
        <f t="shared" ref="R24:CC24" si="4">R23/12</f>
        <v>0</v>
      </c>
      <c r="S24" s="1750">
        <f t="shared" si="4"/>
        <v>0</v>
      </c>
      <c r="T24" s="1750">
        <f t="shared" si="4"/>
        <v>0</v>
      </c>
      <c r="U24" s="1750">
        <f t="shared" si="4"/>
        <v>0</v>
      </c>
      <c r="V24" s="1750">
        <f t="shared" si="4"/>
        <v>0</v>
      </c>
      <c r="W24" s="1750">
        <f t="shared" si="4"/>
        <v>0</v>
      </c>
      <c r="X24" s="1750">
        <f t="shared" si="4"/>
        <v>0</v>
      </c>
      <c r="Y24" s="1750">
        <f t="shared" si="4"/>
        <v>0</v>
      </c>
      <c r="Z24" s="1750">
        <f t="shared" si="4"/>
        <v>0</v>
      </c>
      <c r="AA24" s="1750">
        <f t="shared" si="4"/>
        <v>0</v>
      </c>
      <c r="AB24" s="1750">
        <f t="shared" si="4"/>
        <v>0</v>
      </c>
      <c r="AC24" s="1750">
        <f t="shared" si="4"/>
        <v>0</v>
      </c>
      <c r="AD24" s="1750">
        <f t="shared" si="4"/>
        <v>0</v>
      </c>
      <c r="AE24" s="1750">
        <f t="shared" si="4"/>
        <v>0</v>
      </c>
      <c r="AF24" s="1750">
        <f t="shared" si="4"/>
        <v>0</v>
      </c>
      <c r="AG24" s="1750">
        <f t="shared" si="4"/>
        <v>0</v>
      </c>
      <c r="AH24" s="1750">
        <f t="shared" si="4"/>
        <v>0</v>
      </c>
      <c r="AI24" s="1750">
        <f t="shared" si="4"/>
        <v>0</v>
      </c>
      <c r="AJ24" s="1750">
        <f t="shared" si="4"/>
        <v>0</v>
      </c>
      <c r="AK24" s="1750">
        <f t="shared" si="4"/>
        <v>0</v>
      </c>
      <c r="AL24" s="1750">
        <f t="shared" si="4"/>
        <v>0</v>
      </c>
      <c r="AM24" s="1750">
        <f t="shared" si="4"/>
        <v>0</v>
      </c>
      <c r="AN24" s="1750">
        <f t="shared" si="4"/>
        <v>0</v>
      </c>
      <c r="AO24" s="1750">
        <f t="shared" si="4"/>
        <v>0</v>
      </c>
      <c r="AP24" s="1750">
        <f t="shared" si="4"/>
        <v>0</v>
      </c>
      <c r="AQ24" s="1750">
        <f t="shared" si="4"/>
        <v>0</v>
      </c>
      <c r="AR24" s="1750">
        <f t="shared" si="4"/>
        <v>0</v>
      </c>
      <c r="AS24" s="1750">
        <f t="shared" si="4"/>
        <v>0</v>
      </c>
      <c r="AT24" s="1750">
        <f t="shared" si="4"/>
        <v>0</v>
      </c>
      <c r="AU24" s="1750">
        <f t="shared" si="4"/>
        <v>0</v>
      </c>
      <c r="AV24" s="1750">
        <f t="shared" si="4"/>
        <v>0</v>
      </c>
      <c r="AW24" s="1750">
        <f t="shared" si="4"/>
        <v>0</v>
      </c>
      <c r="AX24" s="1750">
        <f t="shared" si="4"/>
        <v>0</v>
      </c>
      <c r="AY24" s="1750">
        <f t="shared" si="4"/>
        <v>0</v>
      </c>
      <c r="AZ24" s="1750">
        <f t="shared" si="4"/>
        <v>0</v>
      </c>
      <c r="BA24" s="1750">
        <f t="shared" si="4"/>
        <v>0</v>
      </c>
      <c r="BB24" s="1750">
        <f t="shared" si="4"/>
        <v>0</v>
      </c>
      <c r="BC24" s="1750">
        <f t="shared" si="4"/>
        <v>0</v>
      </c>
      <c r="BD24" s="1750">
        <f t="shared" si="4"/>
        <v>0</v>
      </c>
      <c r="BE24" s="1750">
        <f t="shared" si="4"/>
        <v>0</v>
      </c>
      <c r="BF24" s="1750">
        <f t="shared" si="4"/>
        <v>0</v>
      </c>
      <c r="BG24" s="1750">
        <f t="shared" si="4"/>
        <v>0</v>
      </c>
      <c r="BH24" s="1750">
        <f t="shared" si="4"/>
        <v>0</v>
      </c>
      <c r="BI24" s="1750">
        <f t="shared" si="4"/>
        <v>0</v>
      </c>
      <c r="BJ24" s="1750">
        <f t="shared" si="4"/>
        <v>0</v>
      </c>
      <c r="BK24" s="1750">
        <f t="shared" si="4"/>
        <v>0</v>
      </c>
      <c r="BL24" s="1750">
        <f t="shared" si="4"/>
        <v>0</v>
      </c>
      <c r="BM24" s="1750">
        <f t="shared" si="4"/>
        <v>0</v>
      </c>
      <c r="BN24" s="1750">
        <f t="shared" si="4"/>
        <v>0</v>
      </c>
      <c r="BO24" s="1750">
        <f t="shared" si="4"/>
        <v>0</v>
      </c>
      <c r="BP24" s="1750">
        <f t="shared" si="4"/>
        <v>0</v>
      </c>
      <c r="BQ24" s="1750">
        <f t="shared" si="4"/>
        <v>0</v>
      </c>
      <c r="BR24" s="1750">
        <f t="shared" si="4"/>
        <v>0</v>
      </c>
      <c r="BS24" s="1750">
        <f t="shared" si="4"/>
        <v>0</v>
      </c>
      <c r="BT24" s="1750">
        <f t="shared" si="4"/>
        <v>0</v>
      </c>
      <c r="BU24" s="1750">
        <f t="shared" si="4"/>
        <v>0</v>
      </c>
      <c r="BV24" s="1750">
        <f t="shared" si="4"/>
        <v>0</v>
      </c>
      <c r="BW24" s="1750">
        <f t="shared" si="4"/>
        <v>0</v>
      </c>
      <c r="BX24" s="1750">
        <f t="shared" si="4"/>
        <v>0</v>
      </c>
      <c r="BY24" s="1750">
        <f t="shared" si="4"/>
        <v>0</v>
      </c>
      <c r="BZ24" s="1750">
        <f t="shared" si="4"/>
        <v>0</v>
      </c>
      <c r="CA24" s="1750">
        <f t="shared" si="4"/>
        <v>0</v>
      </c>
      <c r="CB24" s="1750">
        <f t="shared" si="4"/>
        <v>0</v>
      </c>
      <c r="CC24" s="1750">
        <f t="shared" si="4"/>
        <v>0</v>
      </c>
      <c r="CD24" s="1750">
        <f t="shared" ref="CD24:CI24" si="5">CD23/12</f>
        <v>0</v>
      </c>
      <c r="CE24" s="1750">
        <f t="shared" si="5"/>
        <v>0</v>
      </c>
      <c r="CF24" s="1750">
        <f t="shared" si="5"/>
        <v>0</v>
      </c>
      <c r="CG24" s="1750">
        <f t="shared" si="5"/>
        <v>0</v>
      </c>
      <c r="CH24" s="1750">
        <f t="shared" si="5"/>
        <v>0</v>
      </c>
      <c r="CI24" s="1750">
        <f t="shared" si="5"/>
        <v>0</v>
      </c>
    </row>
    <row r="25" spans="1:87" s="66" customFormat="1" ht="21" customHeight="1" thickBot="1" x14ac:dyDescent="0.25">
      <c r="A25" s="1940" t="s">
        <v>1711</v>
      </c>
      <c r="B25" s="1954" t="s">
        <v>460</v>
      </c>
      <c r="C25" s="1958"/>
      <c r="D25" s="1958"/>
      <c r="E25" s="1959"/>
      <c r="F25" s="1143"/>
      <c r="G25" s="1930"/>
      <c r="H25" s="1753"/>
      <c r="I25" s="1753"/>
      <c r="J25" s="1753"/>
      <c r="K25" s="1753"/>
      <c r="L25" s="1753"/>
      <c r="M25" s="1753"/>
      <c r="N25" s="1753"/>
      <c r="O25" s="1753"/>
      <c r="P25" s="1753"/>
      <c r="Q25" s="1753"/>
      <c r="R25" s="1753"/>
      <c r="S25" s="1753"/>
      <c r="T25" s="1753"/>
      <c r="U25" s="1753"/>
      <c r="V25" s="1753"/>
      <c r="W25" s="1753"/>
      <c r="X25" s="1753"/>
      <c r="Y25" s="1753"/>
      <c r="Z25" s="1753"/>
      <c r="AA25" s="1753"/>
      <c r="AB25" s="1753"/>
      <c r="AC25" s="1753"/>
      <c r="AD25" s="1753"/>
      <c r="AE25" s="1753"/>
      <c r="AF25" s="1753"/>
      <c r="AG25" s="1753"/>
      <c r="AH25" s="1753"/>
      <c r="AI25" s="1753"/>
      <c r="AJ25" s="1753"/>
      <c r="AK25" s="1753"/>
      <c r="AL25" s="1753"/>
      <c r="AM25" s="1753"/>
      <c r="AN25" s="1753"/>
      <c r="AO25" s="1753"/>
      <c r="AP25" s="1753"/>
      <c r="AQ25" s="1753"/>
      <c r="AR25" s="1753"/>
      <c r="AS25" s="1753"/>
      <c r="AT25" s="1753"/>
      <c r="AU25" s="1753"/>
      <c r="AV25" s="1753"/>
      <c r="AW25" s="1753"/>
      <c r="AX25" s="1753"/>
      <c r="AY25" s="1753"/>
      <c r="AZ25" s="1753"/>
      <c r="BA25" s="1753"/>
      <c r="BB25" s="1753"/>
      <c r="BC25" s="1753"/>
      <c r="BD25" s="1753"/>
      <c r="BE25" s="1753"/>
      <c r="BF25" s="1753"/>
      <c r="BG25" s="1753"/>
      <c r="BH25" s="1753"/>
      <c r="BI25" s="1753"/>
      <c r="BJ25" s="1753"/>
      <c r="BK25" s="1753"/>
      <c r="BL25" s="1753"/>
      <c r="BM25" s="1753"/>
      <c r="BN25" s="1753"/>
      <c r="BO25" s="1753"/>
      <c r="BP25" s="1753"/>
      <c r="BQ25" s="1753"/>
      <c r="BR25" s="1753"/>
      <c r="BS25" s="1753"/>
      <c r="BT25" s="1753"/>
      <c r="BU25" s="1753"/>
      <c r="BV25" s="1753"/>
      <c r="BW25" s="1753"/>
      <c r="BX25" s="1753"/>
      <c r="BY25" s="1753"/>
      <c r="BZ25" s="1753"/>
      <c r="CA25" s="1753"/>
      <c r="CB25" s="1753"/>
      <c r="CC25" s="1753"/>
      <c r="CD25" s="1753"/>
      <c r="CE25" s="1753"/>
      <c r="CF25" s="1753"/>
      <c r="CG25" s="1753"/>
      <c r="CH25" s="1753"/>
      <c r="CI25" s="1753"/>
    </row>
    <row r="26" spans="1:87" s="66" customFormat="1" ht="21" customHeight="1" thickBot="1" x14ac:dyDescent="0.25">
      <c r="A26" s="1941"/>
      <c r="B26" s="1927" t="s">
        <v>2453</v>
      </c>
      <c r="C26" s="1928"/>
      <c r="D26" s="1928"/>
      <c r="E26" s="1929"/>
      <c r="F26" s="1144"/>
      <c r="G26" s="1931"/>
      <c r="H26" s="1754"/>
      <c r="I26" s="1754"/>
      <c r="J26" s="1754"/>
      <c r="K26" s="1754"/>
      <c r="L26" s="1754"/>
      <c r="M26" s="1754"/>
      <c r="N26" s="1754"/>
      <c r="O26" s="1754"/>
      <c r="P26" s="1754"/>
      <c r="Q26" s="1754"/>
      <c r="R26" s="1754"/>
      <c r="S26" s="1754"/>
      <c r="T26" s="1754"/>
      <c r="U26" s="1754"/>
      <c r="V26" s="1754"/>
      <c r="W26" s="1754"/>
      <c r="X26" s="1754"/>
      <c r="Y26" s="1754"/>
      <c r="Z26" s="1754"/>
      <c r="AA26" s="1754"/>
      <c r="AB26" s="1754"/>
      <c r="AC26" s="1754"/>
      <c r="AD26" s="1754"/>
      <c r="AE26" s="1754"/>
      <c r="AF26" s="1754"/>
      <c r="AG26" s="1754"/>
      <c r="AH26" s="1754"/>
      <c r="AI26" s="1754"/>
      <c r="AJ26" s="1754"/>
      <c r="AK26" s="1754"/>
      <c r="AL26" s="1754"/>
      <c r="AM26" s="1754"/>
      <c r="AN26" s="1754"/>
      <c r="AO26" s="1754"/>
      <c r="AP26" s="1754"/>
      <c r="AQ26" s="1754"/>
      <c r="AR26" s="1754"/>
      <c r="AS26" s="1754"/>
      <c r="AT26" s="1754"/>
      <c r="AU26" s="1754"/>
      <c r="AV26" s="1754"/>
      <c r="AW26" s="1754"/>
      <c r="AX26" s="1754"/>
      <c r="AY26" s="1754"/>
      <c r="AZ26" s="1754"/>
      <c r="BA26" s="1754"/>
      <c r="BB26" s="1754"/>
      <c r="BC26" s="1754"/>
      <c r="BD26" s="1754"/>
      <c r="BE26" s="1754"/>
      <c r="BF26" s="1754"/>
      <c r="BG26" s="1754"/>
      <c r="BH26" s="1754"/>
      <c r="BI26" s="1754"/>
      <c r="BJ26" s="1754"/>
      <c r="BK26" s="1754"/>
      <c r="BL26" s="1754"/>
      <c r="BM26" s="1754"/>
      <c r="BN26" s="1754"/>
      <c r="BO26" s="1754"/>
      <c r="BP26" s="1754"/>
      <c r="BQ26" s="1754"/>
      <c r="BR26" s="1754"/>
      <c r="BS26" s="1754"/>
      <c r="BT26" s="1754"/>
      <c r="BU26" s="1754"/>
      <c r="BV26" s="1754"/>
      <c r="BW26" s="1754"/>
      <c r="BX26" s="1754"/>
      <c r="BY26" s="1754"/>
      <c r="BZ26" s="1754"/>
      <c r="CA26" s="1754"/>
      <c r="CB26" s="1754"/>
      <c r="CC26" s="1754"/>
      <c r="CD26" s="1754"/>
      <c r="CE26" s="1754"/>
      <c r="CF26" s="1754"/>
      <c r="CG26" s="1754"/>
      <c r="CH26" s="1754"/>
      <c r="CI26" s="1754"/>
    </row>
    <row r="27" spans="1:87" s="66" customFormat="1" ht="15" customHeight="1" thickBot="1" x14ac:dyDescent="0.25">
      <c r="A27" s="1941"/>
      <c r="B27" s="1916" t="s">
        <v>1727</v>
      </c>
      <c r="C27" s="1917"/>
      <c r="D27" s="1917"/>
      <c r="E27" s="1926"/>
      <c r="F27" s="1145"/>
      <c r="G27" s="1931"/>
      <c r="H27" s="1791"/>
      <c r="I27" s="1791"/>
      <c r="J27" s="1791"/>
      <c r="K27" s="1791"/>
      <c r="L27" s="1791"/>
      <c r="M27" s="1791"/>
      <c r="N27" s="1791"/>
      <c r="O27" s="1791"/>
      <c r="P27" s="1791"/>
      <c r="Q27" s="1791"/>
      <c r="R27" s="1791"/>
      <c r="S27" s="1791"/>
      <c r="T27" s="1791"/>
      <c r="U27" s="1791"/>
      <c r="V27" s="1791"/>
      <c r="W27" s="1791"/>
      <c r="X27" s="1791"/>
      <c r="Y27" s="1791"/>
      <c r="Z27" s="1791"/>
      <c r="AA27" s="1791"/>
      <c r="AB27" s="1791"/>
      <c r="AC27" s="1791"/>
      <c r="AD27" s="1791"/>
      <c r="AE27" s="1791"/>
      <c r="AF27" s="1791"/>
      <c r="AG27" s="1791"/>
      <c r="AH27" s="1791"/>
      <c r="AI27" s="1791"/>
      <c r="AJ27" s="1791"/>
      <c r="AK27" s="1791"/>
      <c r="AL27" s="1791"/>
      <c r="AM27" s="1791"/>
      <c r="AN27" s="1791"/>
      <c r="AO27" s="1791"/>
      <c r="AP27" s="1791"/>
      <c r="AQ27" s="1791"/>
      <c r="AR27" s="1791"/>
      <c r="AS27" s="1791"/>
      <c r="AT27" s="1791"/>
      <c r="AU27" s="1791"/>
      <c r="AV27" s="1791"/>
      <c r="AW27" s="1791"/>
      <c r="AX27" s="1791"/>
      <c r="AY27" s="1791"/>
      <c r="AZ27" s="1791"/>
      <c r="BA27" s="1791"/>
      <c r="BB27" s="1791"/>
      <c r="BC27" s="1791"/>
      <c r="BD27" s="1791"/>
      <c r="BE27" s="1791"/>
      <c r="BF27" s="1791"/>
      <c r="BG27" s="1791"/>
      <c r="BH27" s="1791"/>
      <c r="BI27" s="1791"/>
      <c r="BJ27" s="1791"/>
      <c r="BK27" s="1791"/>
      <c r="BL27" s="1791"/>
      <c r="BM27" s="1791"/>
      <c r="BN27" s="1791"/>
      <c r="BO27" s="1791"/>
      <c r="BP27" s="1791"/>
      <c r="BQ27" s="1791"/>
      <c r="BR27" s="1791"/>
      <c r="BS27" s="1791"/>
      <c r="BT27" s="1791"/>
      <c r="BU27" s="1791"/>
      <c r="BV27" s="1791"/>
      <c r="BW27" s="1791"/>
      <c r="BX27" s="1791"/>
      <c r="BY27" s="1791"/>
      <c r="BZ27" s="1791"/>
      <c r="CA27" s="1791"/>
      <c r="CB27" s="1791"/>
      <c r="CC27" s="1791"/>
      <c r="CD27" s="1791"/>
      <c r="CE27" s="1791"/>
      <c r="CF27" s="1791"/>
      <c r="CG27" s="1791"/>
      <c r="CH27" s="1791"/>
      <c r="CI27" s="1791"/>
    </row>
    <row r="28" spans="1:87" s="66" customFormat="1" ht="15" customHeight="1" thickBot="1" x14ac:dyDescent="0.25">
      <c r="A28" s="1941"/>
      <c r="B28" s="1916" t="s">
        <v>1728</v>
      </c>
      <c r="C28" s="1917"/>
      <c r="D28" s="1917"/>
      <c r="E28" s="1926"/>
      <c r="F28" s="1145"/>
      <c r="G28" s="1931"/>
      <c r="H28" s="1791"/>
      <c r="I28" s="1791"/>
      <c r="J28" s="1791"/>
      <c r="K28" s="1791"/>
      <c r="L28" s="1791"/>
      <c r="M28" s="1791"/>
      <c r="N28" s="1791"/>
      <c r="O28" s="1791"/>
      <c r="P28" s="1791"/>
      <c r="Q28" s="1791"/>
      <c r="R28" s="1791"/>
      <c r="S28" s="1791"/>
      <c r="T28" s="1791"/>
      <c r="U28" s="1791"/>
      <c r="V28" s="1791"/>
      <c r="W28" s="1791"/>
      <c r="X28" s="1791"/>
      <c r="Y28" s="1791"/>
      <c r="Z28" s="1791"/>
      <c r="AA28" s="1791"/>
      <c r="AB28" s="1791"/>
      <c r="AC28" s="1791"/>
      <c r="AD28" s="1791"/>
      <c r="AE28" s="1791"/>
      <c r="AF28" s="1791"/>
      <c r="AG28" s="1791"/>
      <c r="AH28" s="1791"/>
      <c r="AI28" s="1791"/>
      <c r="AJ28" s="1791"/>
      <c r="AK28" s="1791"/>
      <c r="AL28" s="1791"/>
      <c r="AM28" s="1791"/>
      <c r="AN28" s="1791"/>
      <c r="AO28" s="1791"/>
      <c r="AP28" s="1791"/>
      <c r="AQ28" s="1791"/>
      <c r="AR28" s="1791"/>
      <c r="AS28" s="1791"/>
      <c r="AT28" s="1791"/>
      <c r="AU28" s="1791"/>
      <c r="AV28" s="1791"/>
      <c r="AW28" s="1791"/>
      <c r="AX28" s="1791"/>
      <c r="AY28" s="1791"/>
      <c r="AZ28" s="1791"/>
      <c r="BA28" s="1791"/>
      <c r="BB28" s="1791"/>
      <c r="BC28" s="1791"/>
      <c r="BD28" s="1791"/>
      <c r="BE28" s="1791"/>
      <c r="BF28" s="1791"/>
      <c r="BG28" s="1791"/>
      <c r="BH28" s="1791"/>
      <c r="BI28" s="1791"/>
      <c r="BJ28" s="1791"/>
      <c r="BK28" s="1791"/>
      <c r="BL28" s="1791"/>
      <c r="BM28" s="1791"/>
      <c r="BN28" s="1791"/>
      <c r="BO28" s="1791"/>
      <c r="BP28" s="1791"/>
      <c r="BQ28" s="1791"/>
      <c r="BR28" s="1791"/>
      <c r="BS28" s="1791"/>
      <c r="BT28" s="1791"/>
      <c r="BU28" s="1791"/>
      <c r="BV28" s="1791"/>
      <c r="BW28" s="1791"/>
      <c r="BX28" s="1791"/>
      <c r="BY28" s="1791"/>
      <c r="BZ28" s="1791"/>
      <c r="CA28" s="1791"/>
      <c r="CB28" s="1791"/>
      <c r="CC28" s="1791"/>
      <c r="CD28" s="1791"/>
      <c r="CE28" s="1791"/>
      <c r="CF28" s="1791"/>
      <c r="CG28" s="1791"/>
      <c r="CH28" s="1791"/>
      <c r="CI28" s="1791"/>
    </row>
    <row r="29" spans="1:87" s="66" customFormat="1" ht="15" customHeight="1" thickBot="1" x14ac:dyDescent="0.25">
      <c r="A29" s="1941"/>
      <c r="B29" s="1916" t="s">
        <v>1729</v>
      </c>
      <c r="C29" s="1917"/>
      <c r="D29" s="1917"/>
      <c r="E29" s="1926"/>
      <c r="F29" s="1145"/>
      <c r="G29" s="1931"/>
      <c r="H29" s="1791"/>
      <c r="I29" s="1791"/>
      <c r="J29" s="1791"/>
      <c r="K29" s="1791"/>
      <c r="L29" s="1791"/>
      <c r="M29" s="1791"/>
      <c r="N29" s="1791"/>
      <c r="O29" s="1791"/>
      <c r="P29" s="1791"/>
      <c r="Q29" s="1791"/>
      <c r="R29" s="1791"/>
      <c r="S29" s="1791"/>
      <c r="T29" s="1791"/>
      <c r="U29" s="1791"/>
      <c r="V29" s="1791"/>
      <c r="W29" s="1791"/>
      <c r="X29" s="1791"/>
      <c r="Y29" s="1791"/>
      <c r="Z29" s="1791"/>
      <c r="AA29" s="1791"/>
      <c r="AB29" s="1791"/>
      <c r="AC29" s="1791"/>
      <c r="AD29" s="1791"/>
      <c r="AE29" s="1791"/>
      <c r="AF29" s="1791"/>
      <c r="AG29" s="1791"/>
      <c r="AH29" s="1791"/>
      <c r="AI29" s="1791"/>
      <c r="AJ29" s="1791"/>
      <c r="AK29" s="1791"/>
      <c r="AL29" s="1791"/>
      <c r="AM29" s="1791"/>
      <c r="AN29" s="1791"/>
      <c r="AO29" s="1791"/>
      <c r="AP29" s="1791"/>
      <c r="AQ29" s="1791"/>
      <c r="AR29" s="1791"/>
      <c r="AS29" s="1791"/>
      <c r="AT29" s="1791"/>
      <c r="AU29" s="1791"/>
      <c r="AV29" s="1791"/>
      <c r="AW29" s="1791"/>
      <c r="AX29" s="1791"/>
      <c r="AY29" s="1791"/>
      <c r="AZ29" s="1791"/>
      <c r="BA29" s="1791"/>
      <c r="BB29" s="1791"/>
      <c r="BC29" s="1791"/>
      <c r="BD29" s="1791"/>
      <c r="BE29" s="1791"/>
      <c r="BF29" s="1791"/>
      <c r="BG29" s="1791"/>
      <c r="BH29" s="1791"/>
      <c r="BI29" s="1791"/>
      <c r="BJ29" s="1791"/>
      <c r="BK29" s="1791"/>
      <c r="BL29" s="1791"/>
      <c r="BM29" s="1791"/>
      <c r="BN29" s="1791"/>
      <c r="BO29" s="1791"/>
      <c r="BP29" s="1791"/>
      <c r="BQ29" s="1791"/>
      <c r="BR29" s="1791"/>
      <c r="BS29" s="1791"/>
      <c r="BT29" s="1791"/>
      <c r="BU29" s="1791"/>
      <c r="BV29" s="1791"/>
      <c r="BW29" s="1791"/>
      <c r="BX29" s="1791"/>
      <c r="BY29" s="1791"/>
      <c r="BZ29" s="1791"/>
      <c r="CA29" s="1791"/>
      <c r="CB29" s="1791"/>
      <c r="CC29" s="1791"/>
      <c r="CD29" s="1791"/>
      <c r="CE29" s="1791"/>
      <c r="CF29" s="1791"/>
      <c r="CG29" s="1791"/>
      <c r="CH29" s="1791"/>
      <c r="CI29" s="1791"/>
    </row>
    <row r="30" spans="1:87" s="66" customFormat="1" ht="15" customHeight="1" thickBot="1" x14ac:dyDescent="0.25">
      <c r="A30" s="1941"/>
      <c r="B30" s="1916" t="s">
        <v>1730</v>
      </c>
      <c r="C30" s="1917"/>
      <c r="D30" s="1917"/>
      <c r="E30" s="1926"/>
      <c r="F30" s="1145"/>
      <c r="G30" s="1931"/>
      <c r="H30" s="1791"/>
      <c r="I30" s="1791"/>
      <c r="J30" s="1791"/>
      <c r="K30" s="1791"/>
      <c r="L30" s="1791"/>
      <c r="M30" s="1791"/>
      <c r="N30" s="1791"/>
      <c r="O30" s="1791"/>
      <c r="P30" s="1791"/>
      <c r="Q30" s="1791"/>
      <c r="R30" s="1791"/>
      <c r="S30" s="1791"/>
      <c r="T30" s="1791"/>
      <c r="U30" s="1791"/>
      <c r="V30" s="1791"/>
      <c r="W30" s="1791"/>
      <c r="X30" s="1791"/>
      <c r="Y30" s="1791"/>
      <c r="Z30" s="1791"/>
      <c r="AA30" s="1791"/>
      <c r="AB30" s="1791"/>
      <c r="AC30" s="1791"/>
      <c r="AD30" s="1791"/>
      <c r="AE30" s="1791"/>
      <c r="AF30" s="1791"/>
      <c r="AG30" s="1791"/>
      <c r="AH30" s="1791"/>
      <c r="AI30" s="1791"/>
      <c r="AJ30" s="1791"/>
      <c r="AK30" s="1791"/>
      <c r="AL30" s="1791"/>
      <c r="AM30" s="1791"/>
      <c r="AN30" s="1791"/>
      <c r="AO30" s="1791"/>
      <c r="AP30" s="1791"/>
      <c r="AQ30" s="1791"/>
      <c r="AR30" s="1791"/>
      <c r="AS30" s="1791"/>
      <c r="AT30" s="1791"/>
      <c r="AU30" s="1791"/>
      <c r="AV30" s="1791"/>
      <c r="AW30" s="1791"/>
      <c r="AX30" s="1791"/>
      <c r="AY30" s="1791"/>
      <c r="AZ30" s="1791"/>
      <c r="BA30" s="1791"/>
      <c r="BB30" s="1791"/>
      <c r="BC30" s="1791"/>
      <c r="BD30" s="1791"/>
      <c r="BE30" s="1791"/>
      <c r="BF30" s="1791"/>
      <c r="BG30" s="1791"/>
      <c r="BH30" s="1791"/>
      <c r="BI30" s="1791"/>
      <c r="BJ30" s="1791"/>
      <c r="BK30" s="1791"/>
      <c r="BL30" s="1791"/>
      <c r="BM30" s="1791"/>
      <c r="BN30" s="1791"/>
      <c r="BO30" s="1791"/>
      <c r="BP30" s="1791"/>
      <c r="BQ30" s="1791"/>
      <c r="BR30" s="1791"/>
      <c r="BS30" s="1791"/>
      <c r="BT30" s="1791"/>
      <c r="BU30" s="1791"/>
      <c r="BV30" s="1791"/>
      <c r="BW30" s="1791"/>
      <c r="BX30" s="1791"/>
      <c r="BY30" s="1791"/>
      <c r="BZ30" s="1791"/>
      <c r="CA30" s="1791"/>
      <c r="CB30" s="1791"/>
      <c r="CC30" s="1791"/>
      <c r="CD30" s="1791"/>
      <c r="CE30" s="1791"/>
      <c r="CF30" s="1791"/>
      <c r="CG30" s="1791"/>
      <c r="CH30" s="1791"/>
      <c r="CI30" s="1791"/>
    </row>
    <row r="31" spans="1:87" s="66" customFormat="1" ht="15" customHeight="1" thickBot="1" x14ac:dyDescent="0.25">
      <c r="A31" s="1941"/>
      <c r="B31" s="1964" t="s">
        <v>590</v>
      </c>
      <c r="C31" s="1965"/>
      <c r="D31" s="1965"/>
      <c r="E31" s="1966"/>
      <c r="F31" s="1145"/>
      <c r="G31" s="1931"/>
      <c r="H31" s="1791"/>
      <c r="I31" s="1791"/>
      <c r="J31" s="1791"/>
      <c r="K31" s="1791"/>
      <c r="L31" s="1791"/>
      <c r="M31" s="1791"/>
      <c r="N31" s="1791"/>
      <c r="O31" s="1791"/>
      <c r="P31" s="1791"/>
      <c r="Q31" s="1791"/>
      <c r="R31" s="1791"/>
      <c r="S31" s="1791"/>
      <c r="T31" s="1791"/>
      <c r="U31" s="1791"/>
      <c r="V31" s="1791"/>
      <c r="W31" s="1791"/>
      <c r="X31" s="1791"/>
      <c r="Y31" s="1791"/>
      <c r="Z31" s="1791"/>
      <c r="AA31" s="1791"/>
      <c r="AB31" s="1791"/>
      <c r="AC31" s="1791"/>
      <c r="AD31" s="1791"/>
      <c r="AE31" s="1791"/>
      <c r="AF31" s="1791"/>
      <c r="AG31" s="1791"/>
      <c r="AH31" s="1791"/>
      <c r="AI31" s="1791"/>
      <c r="AJ31" s="1791"/>
      <c r="AK31" s="1791"/>
      <c r="AL31" s="1791"/>
      <c r="AM31" s="1791"/>
      <c r="AN31" s="1791"/>
      <c r="AO31" s="1791"/>
      <c r="AP31" s="1791"/>
      <c r="AQ31" s="1791"/>
      <c r="AR31" s="1791"/>
      <c r="AS31" s="1791"/>
      <c r="AT31" s="1791"/>
      <c r="AU31" s="1791"/>
      <c r="AV31" s="1791"/>
      <c r="AW31" s="1791"/>
      <c r="AX31" s="1791"/>
      <c r="AY31" s="1791"/>
      <c r="AZ31" s="1791"/>
      <c r="BA31" s="1791"/>
      <c r="BB31" s="1791"/>
      <c r="BC31" s="1791"/>
      <c r="BD31" s="1791"/>
      <c r="BE31" s="1791"/>
      <c r="BF31" s="1791"/>
      <c r="BG31" s="1791"/>
      <c r="BH31" s="1791"/>
      <c r="BI31" s="1791"/>
      <c r="BJ31" s="1791"/>
      <c r="BK31" s="1791"/>
      <c r="BL31" s="1791"/>
      <c r="BM31" s="1791"/>
      <c r="BN31" s="1791"/>
      <c r="BO31" s="1791"/>
      <c r="BP31" s="1791"/>
      <c r="BQ31" s="1791"/>
      <c r="BR31" s="1791"/>
      <c r="BS31" s="1791"/>
      <c r="BT31" s="1791"/>
      <c r="BU31" s="1791"/>
      <c r="BV31" s="1791"/>
      <c r="BW31" s="1791"/>
      <c r="BX31" s="1791"/>
      <c r="BY31" s="1791"/>
      <c r="BZ31" s="1791"/>
      <c r="CA31" s="1791"/>
      <c r="CB31" s="1791"/>
      <c r="CC31" s="1791"/>
      <c r="CD31" s="1791"/>
      <c r="CE31" s="1791"/>
      <c r="CF31" s="1791"/>
      <c r="CG31" s="1791"/>
      <c r="CH31" s="1791"/>
      <c r="CI31" s="1791"/>
    </row>
    <row r="32" spans="1:87" s="66" customFormat="1" ht="15" customHeight="1" thickBot="1" x14ac:dyDescent="0.25">
      <c r="A32" s="1941"/>
      <c r="B32" s="1916" t="s">
        <v>589</v>
      </c>
      <c r="C32" s="1917"/>
      <c r="D32" s="1917"/>
      <c r="E32" s="1926"/>
      <c r="F32" s="1145"/>
      <c r="G32" s="1931"/>
      <c r="H32" s="1791"/>
      <c r="I32" s="1791"/>
      <c r="J32" s="1791"/>
      <c r="K32" s="1791"/>
      <c r="L32" s="1791"/>
      <c r="M32" s="1791"/>
      <c r="N32" s="1791"/>
      <c r="O32" s="1791"/>
      <c r="P32" s="1791"/>
      <c r="Q32" s="1791"/>
      <c r="R32" s="1791"/>
      <c r="S32" s="1791"/>
      <c r="T32" s="1791"/>
      <c r="U32" s="1791"/>
      <c r="V32" s="1791"/>
      <c r="W32" s="1791"/>
      <c r="X32" s="1791"/>
      <c r="Y32" s="1791"/>
      <c r="Z32" s="1791"/>
      <c r="AA32" s="1791"/>
      <c r="AB32" s="1791"/>
      <c r="AC32" s="1791"/>
      <c r="AD32" s="1791"/>
      <c r="AE32" s="1791"/>
      <c r="AF32" s="1791"/>
      <c r="AG32" s="1791"/>
      <c r="AH32" s="1791"/>
      <c r="AI32" s="1791"/>
      <c r="AJ32" s="1791"/>
      <c r="AK32" s="1791"/>
      <c r="AL32" s="1791"/>
      <c r="AM32" s="1791"/>
      <c r="AN32" s="1791"/>
      <c r="AO32" s="1791"/>
      <c r="AP32" s="1791"/>
      <c r="AQ32" s="1791"/>
      <c r="AR32" s="1791"/>
      <c r="AS32" s="1791"/>
      <c r="AT32" s="1791"/>
      <c r="AU32" s="1791"/>
      <c r="AV32" s="1791"/>
      <c r="AW32" s="1791"/>
      <c r="AX32" s="1791"/>
      <c r="AY32" s="1791"/>
      <c r="AZ32" s="1791"/>
      <c r="BA32" s="1791"/>
      <c r="BB32" s="1791"/>
      <c r="BC32" s="1791"/>
      <c r="BD32" s="1791"/>
      <c r="BE32" s="1791"/>
      <c r="BF32" s="1791"/>
      <c r="BG32" s="1791"/>
      <c r="BH32" s="1791"/>
      <c r="BI32" s="1791"/>
      <c r="BJ32" s="1791"/>
      <c r="BK32" s="1791"/>
      <c r="BL32" s="1791"/>
      <c r="BM32" s="1791"/>
      <c r="BN32" s="1791"/>
      <c r="BO32" s="1791"/>
      <c r="BP32" s="1791"/>
      <c r="BQ32" s="1791"/>
      <c r="BR32" s="1791"/>
      <c r="BS32" s="1791"/>
      <c r="BT32" s="1791"/>
      <c r="BU32" s="1791"/>
      <c r="BV32" s="1791"/>
      <c r="BW32" s="1791"/>
      <c r="BX32" s="1791"/>
      <c r="BY32" s="1791"/>
      <c r="BZ32" s="1791"/>
      <c r="CA32" s="1791"/>
      <c r="CB32" s="1791"/>
      <c r="CC32" s="1791"/>
      <c r="CD32" s="1791"/>
      <c r="CE32" s="1791"/>
      <c r="CF32" s="1791"/>
      <c r="CG32" s="1791"/>
      <c r="CH32" s="1791"/>
      <c r="CI32" s="1791"/>
    </row>
    <row r="33" spans="1:87" s="66" customFormat="1" ht="30" customHeight="1" thickBot="1" x14ac:dyDescent="0.25">
      <c r="A33" s="1941"/>
      <c r="B33" s="1927" t="s">
        <v>1321</v>
      </c>
      <c r="C33" s="1928"/>
      <c r="D33" s="1928"/>
      <c r="E33" s="1929"/>
      <c r="F33" s="1146"/>
      <c r="G33" s="1930"/>
      <c r="H33" s="1755"/>
      <c r="I33" s="1755"/>
      <c r="J33" s="1755"/>
      <c r="K33" s="1755"/>
      <c r="L33" s="1755"/>
      <c r="M33" s="1755"/>
      <c r="N33" s="1755"/>
      <c r="O33" s="1755"/>
      <c r="P33" s="1755"/>
      <c r="Q33" s="1755"/>
      <c r="R33" s="1755"/>
      <c r="S33" s="1755"/>
      <c r="T33" s="1755"/>
      <c r="U33" s="1755"/>
      <c r="V33" s="1755"/>
      <c r="W33" s="1755"/>
      <c r="X33" s="1755"/>
      <c r="Y33" s="1755"/>
      <c r="Z33" s="1755"/>
      <c r="AA33" s="1755"/>
      <c r="AB33" s="1755"/>
      <c r="AC33" s="1755"/>
      <c r="AD33" s="1755"/>
      <c r="AE33" s="1755"/>
      <c r="AF33" s="1755"/>
      <c r="AG33" s="1755"/>
      <c r="AH33" s="1755"/>
      <c r="AI33" s="1755"/>
      <c r="AJ33" s="1755"/>
      <c r="AK33" s="1755"/>
      <c r="AL33" s="1755"/>
      <c r="AM33" s="1755"/>
      <c r="AN33" s="1755"/>
      <c r="AO33" s="1755"/>
      <c r="AP33" s="1755"/>
      <c r="AQ33" s="1755"/>
      <c r="AR33" s="1755"/>
      <c r="AS33" s="1755"/>
      <c r="AT33" s="1755"/>
      <c r="AU33" s="1755"/>
      <c r="AV33" s="1755"/>
      <c r="AW33" s="1755"/>
      <c r="AX33" s="1755"/>
      <c r="AY33" s="1755"/>
      <c r="AZ33" s="1755"/>
      <c r="BA33" s="1755"/>
      <c r="BB33" s="1755"/>
      <c r="BC33" s="1755"/>
      <c r="BD33" s="1755"/>
      <c r="BE33" s="1755"/>
      <c r="BF33" s="1755"/>
      <c r="BG33" s="1755"/>
      <c r="BH33" s="1755"/>
      <c r="BI33" s="1755"/>
      <c r="BJ33" s="1755"/>
      <c r="BK33" s="1755"/>
      <c r="BL33" s="1755"/>
      <c r="BM33" s="1755"/>
      <c r="BN33" s="1755"/>
      <c r="BO33" s="1755"/>
      <c r="BP33" s="1755"/>
      <c r="BQ33" s="1755"/>
      <c r="BR33" s="1755"/>
      <c r="BS33" s="1755"/>
      <c r="BT33" s="1755"/>
      <c r="BU33" s="1755"/>
      <c r="BV33" s="1755"/>
      <c r="BW33" s="1755"/>
      <c r="BX33" s="1755"/>
      <c r="BY33" s="1755"/>
      <c r="BZ33" s="1755"/>
      <c r="CA33" s="1755"/>
      <c r="CB33" s="1755"/>
      <c r="CC33" s="1755"/>
      <c r="CD33" s="1755"/>
      <c r="CE33" s="1755"/>
      <c r="CF33" s="1755"/>
      <c r="CG33" s="1755"/>
      <c r="CH33" s="1755"/>
      <c r="CI33" s="1755"/>
    </row>
    <row r="34" spans="1:87" s="68" customFormat="1" ht="18" customHeight="1" thickBot="1" x14ac:dyDescent="0.25">
      <c r="A34" s="1941"/>
      <c r="B34" s="1204"/>
      <c r="C34" s="1197" t="s">
        <v>10</v>
      </c>
      <c r="D34" s="1197" t="s">
        <v>11</v>
      </c>
      <c r="E34" s="1198" t="s">
        <v>12</v>
      </c>
      <c r="F34" s="1146"/>
      <c r="G34" s="1930"/>
      <c r="H34" s="1755"/>
      <c r="I34" s="1755"/>
      <c r="J34" s="1755"/>
      <c r="K34" s="1755"/>
      <c r="L34" s="1755"/>
      <c r="M34" s="1755"/>
      <c r="N34" s="1755"/>
      <c r="O34" s="1755"/>
      <c r="P34" s="1755"/>
      <c r="Q34" s="1755"/>
      <c r="R34" s="1755"/>
      <c r="S34" s="1755"/>
      <c r="T34" s="1755"/>
      <c r="U34" s="1755"/>
      <c r="V34" s="1755"/>
      <c r="W34" s="1755"/>
      <c r="X34" s="1755"/>
      <c r="Y34" s="1755"/>
      <c r="Z34" s="1755"/>
      <c r="AA34" s="1755"/>
      <c r="AB34" s="1755"/>
      <c r="AC34" s="1755"/>
      <c r="AD34" s="1755"/>
      <c r="AE34" s="1755"/>
      <c r="AF34" s="1755"/>
      <c r="AG34" s="1755"/>
      <c r="AH34" s="1755"/>
      <c r="AI34" s="1755"/>
      <c r="AJ34" s="1755"/>
      <c r="AK34" s="1755"/>
      <c r="AL34" s="1755"/>
      <c r="AM34" s="1755"/>
      <c r="AN34" s="1755"/>
      <c r="AO34" s="1755"/>
      <c r="AP34" s="1755"/>
      <c r="AQ34" s="1755"/>
      <c r="AR34" s="1755"/>
      <c r="AS34" s="1755"/>
      <c r="AT34" s="1755"/>
      <c r="AU34" s="1755"/>
      <c r="AV34" s="1755"/>
      <c r="AW34" s="1755"/>
      <c r="AX34" s="1755"/>
      <c r="AY34" s="1755"/>
      <c r="AZ34" s="1755"/>
      <c r="BA34" s="1755"/>
      <c r="BB34" s="1755"/>
      <c r="BC34" s="1755"/>
      <c r="BD34" s="1755"/>
      <c r="BE34" s="1755"/>
      <c r="BF34" s="1755"/>
      <c r="BG34" s="1755"/>
      <c r="BH34" s="1755"/>
      <c r="BI34" s="1755"/>
      <c r="BJ34" s="1755"/>
      <c r="BK34" s="1755"/>
      <c r="BL34" s="1755"/>
      <c r="BM34" s="1755"/>
      <c r="BN34" s="1755"/>
      <c r="BO34" s="1755"/>
      <c r="BP34" s="1755"/>
      <c r="BQ34" s="1755"/>
      <c r="BR34" s="1755"/>
      <c r="BS34" s="1755"/>
      <c r="BT34" s="1755"/>
      <c r="BU34" s="1755"/>
      <c r="BV34" s="1755"/>
      <c r="BW34" s="1755"/>
      <c r="BX34" s="1755"/>
      <c r="BY34" s="1755"/>
      <c r="BZ34" s="1755"/>
      <c r="CA34" s="1755"/>
      <c r="CB34" s="1755"/>
      <c r="CC34" s="1755"/>
      <c r="CD34" s="1755"/>
      <c r="CE34" s="1755"/>
      <c r="CF34" s="1755"/>
      <c r="CG34" s="1755"/>
      <c r="CH34" s="1755"/>
      <c r="CI34" s="1755"/>
    </row>
    <row r="35" spans="1:87" s="68" customFormat="1" ht="27" customHeight="1" thickBot="1" x14ac:dyDescent="0.25">
      <c r="A35" s="1941"/>
      <c r="B35" s="1199" t="s">
        <v>39</v>
      </c>
      <c r="C35" s="1205" t="s">
        <v>585</v>
      </c>
      <c r="D35" s="1205" t="s">
        <v>586</v>
      </c>
      <c r="E35" s="1206" t="s">
        <v>587</v>
      </c>
      <c r="F35" s="1147">
        <v>0</v>
      </c>
      <c r="G35" s="1932"/>
      <c r="H35" s="1793">
        <v>0</v>
      </c>
      <c r="I35" s="1793">
        <v>0</v>
      </c>
      <c r="J35" s="1793">
        <v>0</v>
      </c>
      <c r="K35" s="1793">
        <v>0</v>
      </c>
      <c r="L35" s="1793">
        <v>0</v>
      </c>
      <c r="M35" s="1793">
        <v>0</v>
      </c>
      <c r="N35" s="1793">
        <v>0</v>
      </c>
      <c r="O35" s="1793">
        <v>0</v>
      </c>
      <c r="P35" s="1793">
        <v>0</v>
      </c>
      <c r="Q35" s="1793">
        <v>0</v>
      </c>
      <c r="R35" s="1793">
        <v>0</v>
      </c>
      <c r="S35" s="1793">
        <v>0</v>
      </c>
      <c r="T35" s="1793">
        <v>0</v>
      </c>
      <c r="U35" s="1793">
        <v>0</v>
      </c>
      <c r="V35" s="1793">
        <v>0</v>
      </c>
      <c r="W35" s="1793">
        <v>0</v>
      </c>
      <c r="X35" s="1793">
        <v>0</v>
      </c>
      <c r="Y35" s="1793">
        <v>0</v>
      </c>
      <c r="Z35" s="1793">
        <v>0</v>
      </c>
      <c r="AA35" s="1793">
        <v>0</v>
      </c>
      <c r="AB35" s="1793">
        <v>0</v>
      </c>
      <c r="AC35" s="1793">
        <v>0</v>
      </c>
      <c r="AD35" s="1793">
        <v>0</v>
      </c>
      <c r="AE35" s="1793">
        <v>0</v>
      </c>
      <c r="AF35" s="1793">
        <v>0</v>
      </c>
      <c r="AG35" s="1793">
        <v>0</v>
      </c>
      <c r="AH35" s="1793">
        <v>0</v>
      </c>
      <c r="AI35" s="1793">
        <v>0</v>
      </c>
      <c r="AJ35" s="1793">
        <v>0</v>
      </c>
      <c r="AK35" s="1793">
        <v>0</v>
      </c>
      <c r="AL35" s="1793">
        <v>0</v>
      </c>
      <c r="AM35" s="1793">
        <v>0</v>
      </c>
      <c r="AN35" s="1793">
        <v>0</v>
      </c>
      <c r="AO35" s="1793">
        <v>0</v>
      </c>
      <c r="AP35" s="1793">
        <v>0</v>
      </c>
      <c r="AQ35" s="1793">
        <v>0</v>
      </c>
      <c r="AR35" s="1793">
        <v>0</v>
      </c>
      <c r="AS35" s="1793">
        <v>0</v>
      </c>
      <c r="AT35" s="1793">
        <v>0</v>
      </c>
      <c r="AU35" s="1793">
        <v>0</v>
      </c>
      <c r="AV35" s="1793">
        <v>0</v>
      </c>
      <c r="AW35" s="1793">
        <v>0</v>
      </c>
      <c r="AX35" s="1793">
        <v>0</v>
      </c>
      <c r="AY35" s="1793">
        <v>0</v>
      </c>
      <c r="AZ35" s="1793">
        <v>0</v>
      </c>
      <c r="BA35" s="1793">
        <v>0</v>
      </c>
      <c r="BB35" s="1793">
        <v>0</v>
      </c>
      <c r="BC35" s="1793">
        <v>0</v>
      </c>
      <c r="BD35" s="1793">
        <v>0</v>
      </c>
      <c r="BE35" s="1793">
        <v>0</v>
      </c>
      <c r="BF35" s="1793">
        <v>0</v>
      </c>
      <c r="BG35" s="1793">
        <v>0</v>
      </c>
      <c r="BH35" s="1793">
        <v>0</v>
      </c>
      <c r="BI35" s="1793">
        <v>0</v>
      </c>
      <c r="BJ35" s="1793">
        <v>0</v>
      </c>
      <c r="BK35" s="1793">
        <v>0</v>
      </c>
      <c r="BL35" s="1793">
        <v>0</v>
      </c>
      <c r="BM35" s="1793">
        <v>0</v>
      </c>
      <c r="BN35" s="1793">
        <v>0</v>
      </c>
      <c r="BO35" s="1793">
        <v>0</v>
      </c>
      <c r="BP35" s="1793">
        <v>0</v>
      </c>
      <c r="BQ35" s="1793">
        <v>0</v>
      </c>
      <c r="BR35" s="1793">
        <v>0</v>
      </c>
      <c r="BS35" s="1793">
        <v>0</v>
      </c>
      <c r="BT35" s="1793">
        <v>0</v>
      </c>
      <c r="BU35" s="1793">
        <v>0</v>
      </c>
      <c r="BV35" s="1793">
        <v>0</v>
      </c>
      <c r="BW35" s="1793">
        <v>0</v>
      </c>
      <c r="BX35" s="1793">
        <v>0</v>
      </c>
      <c r="BY35" s="1793">
        <v>0</v>
      </c>
      <c r="BZ35" s="1793">
        <v>0</v>
      </c>
      <c r="CA35" s="1793">
        <v>0</v>
      </c>
      <c r="CB35" s="1793">
        <v>0</v>
      </c>
      <c r="CC35" s="1793">
        <v>0</v>
      </c>
      <c r="CD35" s="1793">
        <v>0</v>
      </c>
      <c r="CE35" s="1793">
        <v>0</v>
      </c>
      <c r="CF35" s="1793">
        <v>0</v>
      </c>
      <c r="CG35" s="1793">
        <v>0</v>
      </c>
      <c r="CH35" s="1793">
        <v>0</v>
      </c>
      <c r="CI35" s="1793">
        <v>0</v>
      </c>
    </row>
    <row r="36" spans="1:87" s="68" customFormat="1" ht="15" customHeight="1" thickBot="1" x14ac:dyDescent="0.25">
      <c r="A36" s="1941"/>
      <c r="B36" s="1199" t="s">
        <v>40</v>
      </c>
      <c r="C36" s="1200" t="s">
        <v>69</v>
      </c>
      <c r="D36" s="1200" t="s">
        <v>68</v>
      </c>
      <c r="E36" s="1201" t="s">
        <v>70</v>
      </c>
      <c r="F36" s="1147">
        <v>0</v>
      </c>
      <c r="G36" s="1932"/>
      <c r="H36" s="1793">
        <v>0</v>
      </c>
      <c r="I36" s="1793">
        <v>0</v>
      </c>
      <c r="J36" s="1793">
        <v>0</v>
      </c>
      <c r="K36" s="1793">
        <v>0</v>
      </c>
      <c r="L36" s="1793">
        <v>0</v>
      </c>
      <c r="M36" s="1793">
        <v>0</v>
      </c>
      <c r="N36" s="1793">
        <v>0</v>
      </c>
      <c r="O36" s="1793">
        <v>0</v>
      </c>
      <c r="P36" s="1793">
        <v>0</v>
      </c>
      <c r="Q36" s="1793">
        <v>0</v>
      </c>
      <c r="R36" s="1793">
        <v>0</v>
      </c>
      <c r="S36" s="1793">
        <v>0</v>
      </c>
      <c r="T36" s="1793">
        <v>0</v>
      </c>
      <c r="U36" s="1793">
        <v>0</v>
      </c>
      <c r="V36" s="1793">
        <v>0</v>
      </c>
      <c r="W36" s="1793">
        <v>0</v>
      </c>
      <c r="X36" s="1793">
        <v>0</v>
      </c>
      <c r="Y36" s="1793">
        <v>0</v>
      </c>
      <c r="Z36" s="1793">
        <v>0</v>
      </c>
      <c r="AA36" s="1793">
        <v>0</v>
      </c>
      <c r="AB36" s="1793">
        <v>0</v>
      </c>
      <c r="AC36" s="1793">
        <v>0</v>
      </c>
      <c r="AD36" s="1793">
        <v>0</v>
      </c>
      <c r="AE36" s="1793">
        <v>0</v>
      </c>
      <c r="AF36" s="1793">
        <v>0</v>
      </c>
      <c r="AG36" s="1793">
        <v>0</v>
      </c>
      <c r="AH36" s="1793">
        <v>0</v>
      </c>
      <c r="AI36" s="1793">
        <v>0</v>
      </c>
      <c r="AJ36" s="1793">
        <v>0</v>
      </c>
      <c r="AK36" s="1793">
        <v>0</v>
      </c>
      <c r="AL36" s="1793">
        <v>0</v>
      </c>
      <c r="AM36" s="1793">
        <v>0</v>
      </c>
      <c r="AN36" s="1793">
        <v>0</v>
      </c>
      <c r="AO36" s="1793">
        <v>0</v>
      </c>
      <c r="AP36" s="1793">
        <v>0</v>
      </c>
      <c r="AQ36" s="1793">
        <v>0</v>
      </c>
      <c r="AR36" s="1793">
        <v>0</v>
      </c>
      <c r="AS36" s="1793">
        <v>0</v>
      </c>
      <c r="AT36" s="1793">
        <v>0</v>
      </c>
      <c r="AU36" s="1793">
        <v>0</v>
      </c>
      <c r="AV36" s="1793">
        <v>0</v>
      </c>
      <c r="AW36" s="1793">
        <v>0</v>
      </c>
      <c r="AX36" s="1793">
        <v>0</v>
      </c>
      <c r="AY36" s="1793">
        <v>0</v>
      </c>
      <c r="AZ36" s="1793">
        <v>0</v>
      </c>
      <c r="BA36" s="1793">
        <v>0</v>
      </c>
      <c r="BB36" s="1793">
        <v>0</v>
      </c>
      <c r="BC36" s="1793">
        <v>0</v>
      </c>
      <c r="BD36" s="1793">
        <v>0</v>
      </c>
      <c r="BE36" s="1793">
        <v>0</v>
      </c>
      <c r="BF36" s="1793">
        <v>0</v>
      </c>
      <c r="BG36" s="1793">
        <v>0</v>
      </c>
      <c r="BH36" s="1793">
        <v>0</v>
      </c>
      <c r="BI36" s="1793">
        <v>0</v>
      </c>
      <c r="BJ36" s="1793">
        <v>0</v>
      </c>
      <c r="BK36" s="1793">
        <v>0</v>
      </c>
      <c r="BL36" s="1793">
        <v>0</v>
      </c>
      <c r="BM36" s="1793">
        <v>0</v>
      </c>
      <c r="BN36" s="1793">
        <v>0</v>
      </c>
      <c r="BO36" s="1793">
        <v>0</v>
      </c>
      <c r="BP36" s="1793">
        <v>0</v>
      </c>
      <c r="BQ36" s="1793">
        <v>0</v>
      </c>
      <c r="BR36" s="1793">
        <v>0</v>
      </c>
      <c r="BS36" s="1793">
        <v>0</v>
      </c>
      <c r="BT36" s="1793">
        <v>0</v>
      </c>
      <c r="BU36" s="1793">
        <v>0</v>
      </c>
      <c r="BV36" s="1793">
        <v>0</v>
      </c>
      <c r="BW36" s="1793">
        <v>0</v>
      </c>
      <c r="BX36" s="1793">
        <v>0</v>
      </c>
      <c r="BY36" s="1793">
        <v>0</v>
      </c>
      <c r="BZ36" s="1793">
        <v>0</v>
      </c>
      <c r="CA36" s="1793">
        <v>0</v>
      </c>
      <c r="CB36" s="1793">
        <v>0</v>
      </c>
      <c r="CC36" s="1793">
        <v>0</v>
      </c>
      <c r="CD36" s="1793">
        <v>0</v>
      </c>
      <c r="CE36" s="1793">
        <v>0</v>
      </c>
      <c r="CF36" s="1793">
        <v>0</v>
      </c>
      <c r="CG36" s="1793">
        <v>0</v>
      </c>
      <c r="CH36" s="1793">
        <v>0</v>
      </c>
      <c r="CI36" s="1793">
        <v>0</v>
      </c>
    </row>
    <row r="37" spans="1:87" s="68" customFormat="1" ht="15" customHeight="1" thickBot="1" x14ac:dyDescent="0.25">
      <c r="A37" s="1941"/>
      <c r="B37" s="1199" t="s">
        <v>41</v>
      </c>
      <c r="C37" s="1178" t="s">
        <v>583</v>
      </c>
      <c r="D37" s="1178" t="s">
        <v>584</v>
      </c>
      <c r="E37" s="1179" t="s">
        <v>588</v>
      </c>
      <c r="F37" s="1171">
        <v>0</v>
      </c>
      <c r="G37" s="1932"/>
      <c r="H37" s="1794">
        <v>0</v>
      </c>
      <c r="I37" s="1794">
        <v>0</v>
      </c>
      <c r="J37" s="1794">
        <v>0</v>
      </c>
      <c r="K37" s="1794">
        <v>0</v>
      </c>
      <c r="L37" s="1794">
        <v>0</v>
      </c>
      <c r="M37" s="1794">
        <v>0</v>
      </c>
      <c r="N37" s="1794">
        <v>0</v>
      </c>
      <c r="O37" s="1794">
        <v>0</v>
      </c>
      <c r="P37" s="1794">
        <v>0</v>
      </c>
      <c r="Q37" s="1794">
        <v>0</v>
      </c>
      <c r="R37" s="1794">
        <v>0</v>
      </c>
      <c r="S37" s="1794">
        <v>0</v>
      </c>
      <c r="T37" s="1794">
        <v>0</v>
      </c>
      <c r="U37" s="1794">
        <v>0</v>
      </c>
      <c r="V37" s="1794">
        <v>0</v>
      </c>
      <c r="W37" s="1794">
        <v>0</v>
      </c>
      <c r="X37" s="1794">
        <v>0</v>
      </c>
      <c r="Y37" s="1794">
        <v>0</v>
      </c>
      <c r="Z37" s="1794">
        <v>0</v>
      </c>
      <c r="AA37" s="1794">
        <v>0</v>
      </c>
      <c r="AB37" s="1794">
        <v>0</v>
      </c>
      <c r="AC37" s="1794">
        <v>0</v>
      </c>
      <c r="AD37" s="1794">
        <v>0</v>
      </c>
      <c r="AE37" s="1794">
        <v>0</v>
      </c>
      <c r="AF37" s="1794">
        <v>0</v>
      </c>
      <c r="AG37" s="1794">
        <v>0</v>
      </c>
      <c r="AH37" s="1794">
        <v>0</v>
      </c>
      <c r="AI37" s="1794">
        <v>0</v>
      </c>
      <c r="AJ37" s="1794">
        <v>0</v>
      </c>
      <c r="AK37" s="1794">
        <v>0</v>
      </c>
      <c r="AL37" s="1794">
        <v>0</v>
      </c>
      <c r="AM37" s="1794">
        <v>0</v>
      </c>
      <c r="AN37" s="1794">
        <v>0</v>
      </c>
      <c r="AO37" s="1794">
        <v>0</v>
      </c>
      <c r="AP37" s="1794">
        <v>0</v>
      </c>
      <c r="AQ37" s="1794">
        <v>0</v>
      </c>
      <c r="AR37" s="1794">
        <v>0</v>
      </c>
      <c r="AS37" s="1794">
        <v>0</v>
      </c>
      <c r="AT37" s="1794">
        <v>0</v>
      </c>
      <c r="AU37" s="1794">
        <v>0</v>
      </c>
      <c r="AV37" s="1794">
        <v>0</v>
      </c>
      <c r="AW37" s="1794">
        <v>0</v>
      </c>
      <c r="AX37" s="1794">
        <v>0</v>
      </c>
      <c r="AY37" s="1794">
        <v>0</v>
      </c>
      <c r="AZ37" s="1794">
        <v>0</v>
      </c>
      <c r="BA37" s="1794">
        <v>0</v>
      </c>
      <c r="BB37" s="1794">
        <v>0</v>
      </c>
      <c r="BC37" s="1794">
        <v>0</v>
      </c>
      <c r="BD37" s="1794">
        <v>0</v>
      </c>
      <c r="BE37" s="1794">
        <v>0</v>
      </c>
      <c r="BF37" s="1794">
        <v>0</v>
      </c>
      <c r="BG37" s="1794">
        <v>0</v>
      </c>
      <c r="BH37" s="1794">
        <v>0</v>
      </c>
      <c r="BI37" s="1794">
        <v>0</v>
      </c>
      <c r="BJ37" s="1794">
        <v>0</v>
      </c>
      <c r="BK37" s="1794">
        <v>0</v>
      </c>
      <c r="BL37" s="1794">
        <v>0</v>
      </c>
      <c r="BM37" s="1794">
        <v>0</v>
      </c>
      <c r="BN37" s="1794">
        <v>0</v>
      </c>
      <c r="BO37" s="1794">
        <v>0</v>
      </c>
      <c r="BP37" s="1794">
        <v>0</v>
      </c>
      <c r="BQ37" s="1794">
        <v>0</v>
      </c>
      <c r="BR37" s="1794">
        <v>0</v>
      </c>
      <c r="BS37" s="1794">
        <v>0</v>
      </c>
      <c r="BT37" s="1794">
        <v>0</v>
      </c>
      <c r="BU37" s="1794">
        <v>0</v>
      </c>
      <c r="BV37" s="1794">
        <v>0</v>
      </c>
      <c r="BW37" s="1794">
        <v>0</v>
      </c>
      <c r="BX37" s="1794">
        <v>0</v>
      </c>
      <c r="BY37" s="1794">
        <v>0</v>
      </c>
      <c r="BZ37" s="1794">
        <v>0</v>
      </c>
      <c r="CA37" s="1794">
        <v>0</v>
      </c>
      <c r="CB37" s="1794">
        <v>0</v>
      </c>
      <c r="CC37" s="1794">
        <v>0</v>
      </c>
      <c r="CD37" s="1794">
        <v>0</v>
      </c>
      <c r="CE37" s="1794">
        <v>0</v>
      </c>
      <c r="CF37" s="1794">
        <v>0</v>
      </c>
      <c r="CG37" s="1794">
        <v>0</v>
      </c>
      <c r="CH37" s="1794">
        <v>0</v>
      </c>
      <c r="CI37" s="1794">
        <v>0</v>
      </c>
    </row>
    <row r="38" spans="1:87" s="68" customFormat="1" ht="21" customHeight="1" thickBot="1" x14ac:dyDescent="0.25">
      <c r="A38" s="1941"/>
      <c r="B38" s="1970" t="s">
        <v>1320</v>
      </c>
      <c r="C38" s="1970"/>
      <c r="D38" s="1970"/>
      <c r="E38" s="1971"/>
      <c r="F38" s="1148">
        <f>SUM(F35:F37)</f>
        <v>0</v>
      </c>
      <c r="G38" s="1933"/>
      <c r="H38" s="1795">
        <f t="shared" ref="H38:Q38" si="6">SUM(H35:H37)</f>
        <v>0</v>
      </c>
      <c r="I38" s="1795">
        <f t="shared" si="6"/>
        <v>0</v>
      </c>
      <c r="J38" s="1795">
        <f t="shared" si="6"/>
        <v>0</v>
      </c>
      <c r="K38" s="1795">
        <f t="shared" si="6"/>
        <v>0</v>
      </c>
      <c r="L38" s="1795">
        <f t="shared" si="6"/>
        <v>0</v>
      </c>
      <c r="M38" s="1795">
        <f t="shared" si="6"/>
        <v>0</v>
      </c>
      <c r="N38" s="1795">
        <f t="shared" si="6"/>
        <v>0</v>
      </c>
      <c r="O38" s="1795">
        <f t="shared" si="6"/>
        <v>0</v>
      </c>
      <c r="P38" s="1795">
        <f t="shared" si="6"/>
        <v>0</v>
      </c>
      <c r="Q38" s="1795">
        <f t="shared" si="6"/>
        <v>0</v>
      </c>
      <c r="R38" s="1795">
        <f t="shared" ref="R38:CC38" si="7">SUM(R35:R37)</f>
        <v>0</v>
      </c>
      <c r="S38" s="1795">
        <f t="shared" si="7"/>
        <v>0</v>
      </c>
      <c r="T38" s="1795">
        <f t="shared" si="7"/>
        <v>0</v>
      </c>
      <c r="U38" s="1795">
        <f t="shared" si="7"/>
        <v>0</v>
      </c>
      <c r="V38" s="1795">
        <f t="shared" si="7"/>
        <v>0</v>
      </c>
      <c r="W38" s="1795">
        <f t="shared" si="7"/>
        <v>0</v>
      </c>
      <c r="X38" s="1795">
        <f t="shared" si="7"/>
        <v>0</v>
      </c>
      <c r="Y38" s="1795">
        <f t="shared" si="7"/>
        <v>0</v>
      </c>
      <c r="Z38" s="1795">
        <f t="shared" si="7"/>
        <v>0</v>
      </c>
      <c r="AA38" s="1795">
        <f t="shared" si="7"/>
        <v>0</v>
      </c>
      <c r="AB38" s="1795">
        <f t="shared" si="7"/>
        <v>0</v>
      </c>
      <c r="AC38" s="1795">
        <f t="shared" si="7"/>
        <v>0</v>
      </c>
      <c r="AD38" s="1795">
        <f t="shared" si="7"/>
        <v>0</v>
      </c>
      <c r="AE38" s="1795">
        <f t="shared" si="7"/>
        <v>0</v>
      </c>
      <c r="AF38" s="1795">
        <f t="shared" si="7"/>
        <v>0</v>
      </c>
      <c r="AG38" s="1795">
        <f t="shared" si="7"/>
        <v>0</v>
      </c>
      <c r="AH38" s="1795">
        <f t="shared" si="7"/>
        <v>0</v>
      </c>
      <c r="AI38" s="1795">
        <f t="shared" si="7"/>
        <v>0</v>
      </c>
      <c r="AJ38" s="1795">
        <f t="shared" si="7"/>
        <v>0</v>
      </c>
      <c r="AK38" s="1795">
        <f t="shared" si="7"/>
        <v>0</v>
      </c>
      <c r="AL38" s="1795">
        <f t="shared" si="7"/>
        <v>0</v>
      </c>
      <c r="AM38" s="1795">
        <f t="shared" si="7"/>
        <v>0</v>
      </c>
      <c r="AN38" s="1795">
        <f t="shared" si="7"/>
        <v>0</v>
      </c>
      <c r="AO38" s="1795">
        <f t="shared" si="7"/>
        <v>0</v>
      </c>
      <c r="AP38" s="1795">
        <f t="shared" si="7"/>
        <v>0</v>
      </c>
      <c r="AQ38" s="1795">
        <f t="shared" si="7"/>
        <v>0</v>
      </c>
      <c r="AR38" s="1795">
        <f t="shared" si="7"/>
        <v>0</v>
      </c>
      <c r="AS38" s="1795">
        <f t="shared" si="7"/>
        <v>0</v>
      </c>
      <c r="AT38" s="1795">
        <f t="shared" si="7"/>
        <v>0</v>
      </c>
      <c r="AU38" s="1795">
        <f t="shared" si="7"/>
        <v>0</v>
      </c>
      <c r="AV38" s="1795">
        <f t="shared" si="7"/>
        <v>0</v>
      </c>
      <c r="AW38" s="1795">
        <f t="shared" si="7"/>
        <v>0</v>
      </c>
      <c r="AX38" s="1795">
        <f t="shared" si="7"/>
        <v>0</v>
      </c>
      <c r="AY38" s="1795">
        <f t="shared" si="7"/>
        <v>0</v>
      </c>
      <c r="AZ38" s="1795">
        <f t="shared" si="7"/>
        <v>0</v>
      </c>
      <c r="BA38" s="1795">
        <f t="shared" si="7"/>
        <v>0</v>
      </c>
      <c r="BB38" s="1795">
        <f t="shared" si="7"/>
        <v>0</v>
      </c>
      <c r="BC38" s="1795">
        <f t="shared" si="7"/>
        <v>0</v>
      </c>
      <c r="BD38" s="1795">
        <f t="shared" si="7"/>
        <v>0</v>
      </c>
      <c r="BE38" s="1795">
        <f t="shared" si="7"/>
        <v>0</v>
      </c>
      <c r="BF38" s="1795">
        <f t="shared" si="7"/>
        <v>0</v>
      </c>
      <c r="BG38" s="1795">
        <f t="shared" si="7"/>
        <v>0</v>
      </c>
      <c r="BH38" s="1795">
        <f t="shared" si="7"/>
        <v>0</v>
      </c>
      <c r="BI38" s="1795">
        <f t="shared" si="7"/>
        <v>0</v>
      </c>
      <c r="BJ38" s="1795">
        <f t="shared" si="7"/>
        <v>0</v>
      </c>
      <c r="BK38" s="1795">
        <f t="shared" si="7"/>
        <v>0</v>
      </c>
      <c r="BL38" s="1795">
        <f t="shared" si="7"/>
        <v>0</v>
      </c>
      <c r="BM38" s="1795">
        <f t="shared" si="7"/>
        <v>0</v>
      </c>
      <c r="BN38" s="1795">
        <f t="shared" si="7"/>
        <v>0</v>
      </c>
      <c r="BO38" s="1795">
        <f t="shared" si="7"/>
        <v>0</v>
      </c>
      <c r="BP38" s="1795">
        <f t="shared" si="7"/>
        <v>0</v>
      </c>
      <c r="BQ38" s="1795">
        <f t="shared" si="7"/>
        <v>0</v>
      </c>
      <c r="BR38" s="1795">
        <f t="shared" si="7"/>
        <v>0</v>
      </c>
      <c r="BS38" s="1795">
        <f t="shared" si="7"/>
        <v>0</v>
      </c>
      <c r="BT38" s="1795">
        <f t="shared" si="7"/>
        <v>0</v>
      </c>
      <c r="BU38" s="1795">
        <f t="shared" si="7"/>
        <v>0</v>
      </c>
      <c r="BV38" s="1795">
        <f t="shared" si="7"/>
        <v>0</v>
      </c>
      <c r="BW38" s="1795">
        <f t="shared" si="7"/>
        <v>0</v>
      </c>
      <c r="BX38" s="1795">
        <f t="shared" si="7"/>
        <v>0</v>
      </c>
      <c r="BY38" s="1795">
        <f t="shared" si="7"/>
        <v>0</v>
      </c>
      <c r="BZ38" s="1795">
        <f t="shared" si="7"/>
        <v>0</v>
      </c>
      <c r="CA38" s="1795">
        <f t="shared" si="7"/>
        <v>0</v>
      </c>
      <c r="CB38" s="1795">
        <f t="shared" si="7"/>
        <v>0</v>
      </c>
      <c r="CC38" s="1795">
        <f t="shared" si="7"/>
        <v>0</v>
      </c>
      <c r="CD38" s="1795">
        <f t="shared" ref="CD38:CI38" si="8">SUM(CD35:CD37)</f>
        <v>0</v>
      </c>
      <c r="CE38" s="1795">
        <f t="shared" si="8"/>
        <v>0</v>
      </c>
      <c r="CF38" s="1795">
        <f t="shared" si="8"/>
        <v>0</v>
      </c>
      <c r="CG38" s="1795">
        <f t="shared" si="8"/>
        <v>0</v>
      </c>
      <c r="CH38" s="1795">
        <f t="shared" si="8"/>
        <v>0</v>
      </c>
      <c r="CI38" s="1795">
        <f t="shared" si="8"/>
        <v>0</v>
      </c>
    </row>
    <row r="39" spans="1:87" s="66" customFormat="1" ht="21" customHeight="1" thickBot="1" x14ac:dyDescent="0.25">
      <c r="A39" s="1941"/>
      <c r="B39" s="1918"/>
      <c r="C39" s="1919"/>
      <c r="D39" s="1919"/>
      <c r="E39" s="1203" t="s">
        <v>469</v>
      </c>
      <c r="F39" s="1149">
        <f>F38/9</f>
        <v>0</v>
      </c>
      <c r="G39" s="1934"/>
      <c r="H39" s="1796">
        <f t="shared" ref="H39:Q39" si="9">H38/9</f>
        <v>0</v>
      </c>
      <c r="I39" s="1796">
        <f t="shared" si="9"/>
        <v>0</v>
      </c>
      <c r="J39" s="1796">
        <f t="shared" si="9"/>
        <v>0</v>
      </c>
      <c r="K39" s="1796">
        <f t="shared" si="9"/>
        <v>0</v>
      </c>
      <c r="L39" s="1796">
        <f t="shared" si="9"/>
        <v>0</v>
      </c>
      <c r="M39" s="1796">
        <f t="shared" si="9"/>
        <v>0</v>
      </c>
      <c r="N39" s="1796">
        <f t="shared" si="9"/>
        <v>0</v>
      </c>
      <c r="O39" s="1796">
        <f t="shared" si="9"/>
        <v>0</v>
      </c>
      <c r="P39" s="1796">
        <f t="shared" si="9"/>
        <v>0</v>
      </c>
      <c r="Q39" s="1796">
        <f t="shared" si="9"/>
        <v>0</v>
      </c>
      <c r="R39" s="1796">
        <f t="shared" ref="R39:CC39" si="10">R38/9</f>
        <v>0</v>
      </c>
      <c r="S39" s="1796">
        <f t="shared" si="10"/>
        <v>0</v>
      </c>
      <c r="T39" s="1796">
        <f t="shared" si="10"/>
        <v>0</v>
      </c>
      <c r="U39" s="1796">
        <f t="shared" si="10"/>
        <v>0</v>
      </c>
      <c r="V39" s="1796">
        <f t="shared" si="10"/>
        <v>0</v>
      </c>
      <c r="W39" s="1796">
        <f t="shared" si="10"/>
        <v>0</v>
      </c>
      <c r="X39" s="1796">
        <f t="shared" si="10"/>
        <v>0</v>
      </c>
      <c r="Y39" s="1796">
        <f t="shared" si="10"/>
        <v>0</v>
      </c>
      <c r="Z39" s="1796">
        <f t="shared" si="10"/>
        <v>0</v>
      </c>
      <c r="AA39" s="1796">
        <f t="shared" si="10"/>
        <v>0</v>
      </c>
      <c r="AB39" s="1796">
        <f t="shared" si="10"/>
        <v>0</v>
      </c>
      <c r="AC39" s="1796">
        <f t="shared" si="10"/>
        <v>0</v>
      </c>
      <c r="AD39" s="1796">
        <f t="shared" si="10"/>
        <v>0</v>
      </c>
      <c r="AE39" s="1796">
        <f t="shared" si="10"/>
        <v>0</v>
      </c>
      <c r="AF39" s="1796">
        <f t="shared" si="10"/>
        <v>0</v>
      </c>
      <c r="AG39" s="1796">
        <f t="shared" si="10"/>
        <v>0</v>
      </c>
      <c r="AH39" s="1796">
        <f t="shared" si="10"/>
        <v>0</v>
      </c>
      <c r="AI39" s="1796">
        <f t="shared" si="10"/>
        <v>0</v>
      </c>
      <c r="AJ39" s="1796">
        <f t="shared" si="10"/>
        <v>0</v>
      </c>
      <c r="AK39" s="1796">
        <f t="shared" si="10"/>
        <v>0</v>
      </c>
      <c r="AL39" s="1796">
        <f t="shared" si="10"/>
        <v>0</v>
      </c>
      <c r="AM39" s="1796">
        <f t="shared" si="10"/>
        <v>0</v>
      </c>
      <c r="AN39" s="1796">
        <f t="shared" si="10"/>
        <v>0</v>
      </c>
      <c r="AO39" s="1796">
        <f t="shared" si="10"/>
        <v>0</v>
      </c>
      <c r="AP39" s="1796">
        <f t="shared" si="10"/>
        <v>0</v>
      </c>
      <c r="AQ39" s="1796">
        <f t="shared" si="10"/>
        <v>0</v>
      </c>
      <c r="AR39" s="1796">
        <f t="shared" si="10"/>
        <v>0</v>
      </c>
      <c r="AS39" s="1796">
        <f t="shared" si="10"/>
        <v>0</v>
      </c>
      <c r="AT39" s="1796">
        <f t="shared" si="10"/>
        <v>0</v>
      </c>
      <c r="AU39" s="1796">
        <f t="shared" si="10"/>
        <v>0</v>
      </c>
      <c r="AV39" s="1796">
        <f t="shared" si="10"/>
        <v>0</v>
      </c>
      <c r="AW39" s="1796">
        <f t="shared" si="10"/>
        <v>0</v>
      </c>
      <c r="AX39" s="1796">
        <f t="shared" si="10"/>
        <v>0</v>
      </c>
      <c r="AY39" s="1796">
        <f t="shared" si="10"/>
        <v>0</v>
      </c>
      <c r="AZ39" s="1796">
        <f t="shared" si="10"/>
        <v>0</v>
      </c>
      <c r="BA39" s="1796">
        <f t="shared" si="10"/>
        <v>0</v>
      </c>
      <c r="BB39" s="1796">
        <f t="shared" si="10"/>
        <v>0</v>
      </c>
      <c r="BC39" s="1796">
        <f t="shared" si="10"/>
        <v>0</v>
      </c>
      <c r="BD39" s="1796">
        <f t="shared" si="10"/>
        <v>0</v>
      </c>
      <c r="BE39" s="1796">
        <f t="shared" si="10"/>
        <v>0</v>
      </c>
      <c r="BF39" s="1796">
        <f t="shared" si="10"/>
        <v>0</v>
      </c>
      <c r="BG39" s="1796">
        <f t="shared" si="10"/>
        <v>0</v>
      </c>
      <c r="BH39" s="1796">
        <f t="shared" si="10"/>
        <v>0</v>
      </c>
      <c r="BI39" s="1796">
        <f t="shared" si="10"/>
        <v>0</v>
      </c>
      <c r="BJ39" s="1796">
        <f t="shared" si="10"/>
        <v>0</v>
      </c>
      <c r="BK39" s="1796">
        <f t="shared" si="10"/>
        <v>0</v>
      </c>
      <c r="BL39" s="1796">
        <f t="shared" si="10"/>
        <v>0</v>
      </c>
      <c r="BM39" s="1796">
        <f t="shared" si="10"/>
        <v>0</v>
      </c>
      <c r="BN39" s="1796">
        <f t="shared" si="10"/>
        <v>0</v>
      </c>
      <c r="BO39" s="1796">
        <f t="shared" si="10"/>
        <v>0</v>
      </c>
      <c r="BP39" s="1796">
        <f t="shared" si="10"/>
        <v>0</v>
      </c>
      <c r="BQ39" s="1796">
        <f t="shared" si="10"/>
        <v>0</v>
      </c>
      <c r="BR39" s="1796">
        <f t="shared" si="10"/>
        <v>0</v>
      </c>
      <c r="BS39" s="1796">
        <f t="shared" si="10"/>
        <v>0</v>
      </c>
      <c r="BT39" s="1796">
        <f t="shared" si="10"/>
        <v>0</v>
      </c>
      <c r="BU39" s="1796">
        <f t="shared" si="10"/>
        <v>0</v>
      </c>
      <c r="BV39" s="1796">
        <f t="shared" si="10"/>
        <v>0</v>
      </c>
      <c r="BW39" s="1796">
        <f t="shared" si="10"/>
        <v>0</v>
      </c>
      <c r="BX39" s="1796">
        <f t="shared" si="10"/>
        <v>0</v>
      </c>
      <c r="BY39" s="1796">
        <f t="shared" si="10"/>
        <v>0</v>
      </c>
      <c r="BZ39" s="1796">
        <f t="shared" si="10"/>
        <v>0</v>
      </c>
      <c r="CA39" s="1796">
        <f t="shared" si="10"/>
        <v>0</v>
      </c>
      <c r="CB39" s="1796">
        <f t="shared" si="10"/>
        <v>0</v>
      </c>
      <c r="CC39" s="1796">
        <f t="shared" si="10"/>
        <v>0</v>
      </c>
      <c r="CD39" s="1796">
        <f t="shared" ref="CD39:CI39" si="11">CD38/9</f>
        <v>0</v>
      </c>
      <c r="CE39" s="1796">
        <f t="shared" si="11"/>
        <v>0</v>
      </c>
      <c r="CF39" s="1796">
        <f t="shared" si="11"/>
        <v>0</v>
      </c>
      <c r="CG39" s="1796">
        <f t="shared" si="11"/>
        <v>0</v>
      </c>
      <c r="CH39" s="1796">
        <f t="shared" si="11"/>
        <v>0</v>
      </c>
      <c r="CI39" s="1796">
        <f t="shared" si="11"/>
        <v>0</v>
      </c>
    </row>
    <row r="40" spans="1:87" s="66" customFormat="1" ht="21" customHeight="1" thickBot="1" x14ac:dyDescent="0.25">
      <c r="A40" s="1940" t="s">
        <v>1712</v>
      </c>
      <c r="B40" s="1954" t="s">
        <v>461</v>
      </c>
      <c r="C40" s="1958"/>
      <c r="D40" s="1958"/>
      <c r="E40" s="1959"/>
      <c r="F40" s="1172"/>
      <c r="G40" s="1935"/>
      <c r="H40" s="1792"/>
      <c r="I40" s="1792"/>
      <c r="J40" s="1792"/>
      <c r="K40" s="1792"/>
      <c r="L40" s="1792"/>
      <c r="M40" s="1792"/>
      <c r="N40" s="1792"/>
      <c r="O40" s="1792"/>
      <c r="P40" s="1792"/>
      <c r="Q40" s="1792"/>
      <c r="R40" s="1792"/>
      <c r="S40" s="1792"/>
      <c r="T40" s="1792"/>
      <c r="U40" s="1792"/>
      <c r="V40" s="1792"/>
      <c r="W40" s="1792"/>
      <c r="X40" s="1792"/>
      <c r="Y40" s="1792"/>
      <c r="Z40" s="1792"/>
      <c r="AA40" s="1792"/>
      <c r="AB40" s="1792"/>
      <c r="AC40" s="1792"/>
      <c r="AD40" s="1792"/>
      <c r="AE40" s="1792"/>
      <c r="AF40" s="1792"/>
      <c r="AG40" s="1792"/>
      <c r="AH40" s="1792"/>
      <c r="AI40" s="1792"/>
      <c r="AJ40" s="1792"/>
      <c r="AK40" s="1792"/>
      <c r="AL40" s="1792"/>
      <c r="AM40" s="1792"/>
      <c r="AN40" s="1792"/>
      <c r="AO40" s="1792"/>
      <c r="AP40" s="1792"/>
      <c r="AQ40" s="1792"/>
      <c r="AR40" s="1792"/>
      <c r="AS40" s="1792"/>
      <c r="AT40" s="1792"/>
      <c r="AU40" s="1792"/>
      <c r="AV40" s="1792"/>
      <c r="AW40" s="1792"/>
      <c r="AX40" s="1792"/>
      <c r="AY40" s="1792"/>
      <c r="AZ40" s="1792"/>
      <c r="BA40" s="1792"/>
      <c r="BB40" s="1792"/>
      <c r="BC40" s="1792"/>
      <c r="BD40" s="1792"/>
      <c r="BE40" s="1792"/>
      <c r="BF40" s="1792"/>
      <c r="BG40" s="1792"/>
      <c r="BH40" s="1792"/>
      <c r="BI40" s="1792"/>
      <c r="BJ40" s="1792"/>
      <c r="BK40" s="1792"/>
      <c r="BL40" s="1792"/>
      <c r="BM40" s="1792"/>
      <c r="BN40" s="1792"/>
      <c r="BO40" s="1792"/>
      <c r="BP40" s="1792"/>
      <c r="BQ40" s="1792"/>
      <c r="BR40" s="1792"/>
      <c r="BS40" s="1792"/>
      <c r="BT40" s="1792"/>
      <c r="BU40" s="1792"/>
      <c r="BV40" s="1792"/>
      <c r="BW40" s="1792"/>
      <c r="BX40" s="1792"/>
      <c r="BY40" s="1792"/>
      <c r="BZ40" s="1792"/>
      <c r="CA40" s="1792"/>
      <c r="CB40" s="1792"/>
      <c r="CC40" s="1792"/>
      <c r="CD40" s="1792"/>
      <c r="CE40" s="1792"/>
      <c r="CF40" s="1792"/>
      <c r="CG40" s="1792"/>
      <c r="CH40" s="1792"/>
      <c r="CI40" s="1792"/>
    </row>
    <row r="41" spans="1:87" s="66" customFormat="1" ht="21" customHeight="1" thickBot="1" x14ac:dyDescent="0.25">
      <c r="A41" s="1941"/>
      <c r="B41" s="1927" t="s">
        <v>2454</v>
      </c>
      <c r="C41" s="1928"/>
      <c r="D41" s="1928"/>
      <c r="E41" s="1929"/>
      <c r="F41" s="706"/>
      <c r="G41" s="1936"/>
      <c r="H41" s="1747"/>
      <c r="I41" s="1747"/>
      <c r="J41" s="1747"/>
      <c r="K41" s="1747"/>
      <c r="L41" s="1747"/>
      <c r="M41" s="1747"/>
      <c r="N41" s="1747"/>
      <c r="O41" s="1747"/>
      <c r="P41" s="1747"/>
      <c r="Q41" s="1747"/>
      <c r="R41" s="1747"/>
      <c r="S41" s="1747"/>
      <c r="T41" s="1747"/>
      <c r="U41" s="1747"/>
      <c r="V41" s="1747"/>
      <c r="W41" s="1747"/>
      <c r="X41" s="1747"/>
      <c r="Y41" s="1747"/>
      <c r="Z41" s="1747"/>
      <c r="AA41" s="1747"/>
      <c r="AB41" s="1747"/>
      <c r="AC41" s="1747"/>
      <c r="AD41" s="1747"/>
      <c r="AE41" s="1747"/>
      <c r="AF41" s="1747"/>
      <c r="AG41" s="1747"/>
      <c r="AH41" s="1747"/>
      <c r="AI41" s="1747"/>
      <c r="AJ41" s="1747"/>
      <c r="AK41" s="1747"/>
      <c r="AL41" s="1747"/>
      <c r="AM41" s="1747"/>
      <c r="AN41" s="1747"/>
      <c r="AO41" s="1747"/>
      <c r="AP41" s="1747"/>
      <c r="AQ41" s="1747"/>
      <c r="AR41" s="1747"/>
      <c r="AS41" s="1747"/>
      <c r="AT41" s="1747"/>
      <c r="AU41" s="1747"/>
      <c r="AV41" s="1747"/>
      <c r="AW41" s="1747"/>
      <c r="AX41" s="1747"/>
      <c r="AY41" s="1747"/>
      <c r="AZ41" s="1747"/>
      <c r="BA41" s="1747"/>
      <c r="BB41" s="1747"/>
      <c r="BC41" s="1747"/>
      <c r="BD41" s="1747"/>
      <c r="BE41" s="1747"/>
      <c r="BF41" s="1747"/>
      <c r="BG41" s="1747"/>
      <c r="BH41" s="1747"/>
      <c r="BI41" s="1747"/>
      <c r="BJ41" s="1747"/>
      <c r="BK41" s="1747"/>
      <c r="BL41" s="1747"/>
      <c r="BM41" s="1747"/>
      <c r="BN41" s="1747"/>
      <c r="BO41" s="1747"/>
      <c r="BP41" s="1747"/>
      <c r="BQ41" s="1747"/>
      <c r="BR41" s="1747"/>
      <c r="BS41" s="1747"/>
      <c r="BT41" s="1747"/>
      <c r="BU41" s="1747"/>
      <c r="BV41" s="1747"/>
      <c r="BW41" s="1747"/>
      <c r="BX41" s="1747"/>
      <c r="BY41" s="1747"/>
      <c r="BZ41" s="1747"/>
      <c r="CA41" s="1747"/>
      <c r="CB41" s="1747"/>
      <c r="CC41" s="1747"/>
      <c r="CD41" s="1747"/>
      <c r="CE41" s="1747"/>
      <c r="CF41" s="1747"/>
      <c r="CG41" s="1747"/>
      <c r="CH41" s="1747"/>
      <c r="CI41" s="1747"/>
    </row>
    <row r="42" spans="1:87" s="66" customFormat="1" ht="15" customHeight="1" thickBot="1" x14ac:dyDescent="0.25">
      <c r="A42" s="1941"/>
      <c r="B42" s="1916" t="s">
        <v>1731</v>
      </c>
      <c r="C42" s="1917"/>
      <c r="D42" s="1917"/>
      <c r="E42" s="1926"/>
      <c r="F42" s="703"/>
      <c r="G42" s="1936"/>
      <c r="H42" s="1744"/>
      <c r="I42" s="1744"/>
      <c r="J42" s="1744"/>
      <c r="K42" s="1744"/>
      <c r="L42" s="1744"/>
      <c r="M42" s="1744"/>
      <c r="N42" s="1744"/>
      <c r="O42" s="1744"/>
      <c r="P42" s="1744"/>
      <c r="Q42" s="1744"/>
      <c r="R42" s="1744"/>
      <c r="S42" s="1744"/>
      <c r="T42" s="1744"/>
      <c r="U42" s="1744"/>
      <c r="V42" s="1744"/>
      <c r="W42" s="1744"/>
      <c r="X42" s="1744"/>
      <c r="Y42" s="1744"/>
      <c r="Z42" s="1744"/>
      <c r="AA42" s="1744"/>
      <c r="AB42" s="1744"/>
      <c r="AC42" s="1744"/>
      <c r="AD42" s="1744"/>
      <c r="AE42" s="1744"/>
      <c r="AF42" s="1744"/>
      <c r="AG42" s="1744"/>
      <c r="AH42" s="1744"/>
      <c r="AI42" s="1744"/>
      <c r="AJ42" s="1744"/>
      <c r="AK42" s="1744"/>
      <c r="AL42" s="1744"/>
      <c r="AM42" s="1744"/>
      <c r="AN42" s="1744"/>
      <c r="AO42" s="1744"/>
      <c r="AP42" s="1744"/>
      <c r="AQ42" s="1744"/>
      <c r="AR42" s="1744"/>
      <c r="AS42" s="1744"/>
      <c r="AT42" s="1744"/>
      <c r="AU42" s="1744"/>
      <c r="AV42" s="1744"/>
      <c r="AW42" s="1744"/>
      <c r="AX42" s="1744"/>
      <c r="AY42" s="1744"/>
      <c r="AZ42" s="1744"/>
      <c r="BA42" s="1744"/>
      <c r="BB42" s="1744"/>
      <c r="BC42" s="1744"/>
      <c r="BD42" s="1744"/>
      <c r="BE42" s="1744"/>
      <c r="BF42" s="1744"/>
      <c r="BG42" s="1744"/>
      <c r="BH42" s="1744"/>
      <c r="BI42" s="1744"/>
      <c r="BJ42" s="1744"/>
      <c r="BK42" s="1744"/>
      <c r="BL42" s="1744"/>
      <c r="BM42" s="1744"/>
      <c r="BN42" s="1744"/>
      <c r="BO42" s="1744"/>
      <c r="BP42" s="1744"/>
      <c r="BQ42" s="1744"/>
      <c r="BR42" s="1744"/>
      <c r="BS42" s="1744"/>
      <c r="BT42" s="1744"/>
      <c r="BU42" s="1744"/>
      <c r="BV42" s="1744"/>
      <c r="BW42" s="1744"/>
      <c r="BX42" s="1744"/>
      <c r="BY42" s="1744"/>
      <c r="BZ42" s="1744"/>
      <c r="CA42" s="1744"/>
      <c r="CB42" s="1744"/>
      <c r="CC42" s="1744"/>
      <c r="CD42" s="1744"/>
      <c r="CE42" s="1744"/>
      <c r="CF42" s="1744"/>
      <c r="CG42" s="1744"/>
      <c r="CH42" s="1744"/>
      <c r="CI42" s="1744"/>
    </row>
    <row r="43" spans="1:87" s="66" customFormat="1" ht="15" customHeight="1" thickBot="1" x14ac:dyDescent="0.25">
      <c r="A43" s="1941"/>
      <c r="B43" s="1916" t="s">
        <v>1732</v>
      </c>
      <c r="C43" s="1917"/>
      <c r="D43" s="1917"/>
      <c r="E43" s="1926"/>
      <c r="F43" s="703"/>
      <c r="G43" s="1936"/>
      <c r="H43" s="1744"/>
      <c r="I43" s="1744"/>
      <c r="J43" s="1744"/>
      <c r="K43" s="1744"/>
      <c r="L43" s="1744"/>
      <c r="M43" s="1744"/>
      <c r="N43" s="1744"/>
      <c r="O43" s="1744"/>
      <c r="P43" s="1744"/>
      <c r="Q43" s="1744"/>
      <c r="R43" s="1744"/>
      <c r="S43" s="1744"/>
      <c r="T43" s="1744"/>
      <c r="U43" s="1744"/>
      <c r="V43" s="1744"/>
      <c r="W43" s="1744"/>
      <c r="X43" s="1744"/>
      <c r="Y43" s="1744"/>
      <c r="Z43" s="1744"/>
      <c r="AA43" s="1744"/>
      <c r="AB43" s="1744"/>
      <c r="AC43" s="1744"/>
      <c r="AD43" s="1744"/>
      <c r="AE43" s="1744"/>
      <c r="AF43" s="1744"/>
      <c r="AG43" s="1744"/>
      <c r="AH43" s="1744"/>
      <c r="AI43" s="1744"/>
      <c r="AJ43" s="1744"/>
      <c r="AK43" s="1744"/>
      <c r="AL43" s="1744"/>
      <c r="AM43" s="1744"/>
      <c r="AN43" s="1744"/>
      <c r="AO43" s="1744"/>
      <c r="AP43" s="1744"/>
      <c r="AQ43" s="1744"/>
      <c r="AR43" s="1744"/>
      <c r="AS43" s="1744"/>
      <c r="AT43" s="1744"/>
      <c r="AU43" s="1744"/>
      <c r="AV43" s="1744"/>
      <c r="AW43" s="1744"/>
      <c r="AX43" s="1744"/>
      <c r="AY43" s="1744"/>
      <c r="AZ43" s="1744"/>
      <c r="BA43" s="1744"/>
      <c r="BB43" s="1744"/>
      <c r="BC43" s="1744"/>
      <c r="BD43" s="1744"/>
      <c r="BE43" s="1744"/>
      <c r="BF43" s="1744"/>
      <c r="BG43" s="1744"/>
      <c r="BH43" s="1744"/>
      <c r="BI43" s="1744"/>
      <c r="BJ43" s="1744"/>
      <c r="BK43" s="1744"/>
      <c r="BL43" s="1744"/>
      <c r="BM43" s="1744"/>
      <c r="BN43" s="1744"/>
      <c r="BO43" s="1744"/>
      <c r="BP43" s="1744"/>
      <c r="BQ43" s="1744"/>
      <c r="BR43" s="1744"/>
      <c r="BS43" s="1744"/>
      <c r="BT43" s="1744"/>
      <c r="BU43" s="1744"/>
      <c r="BV43" s="1744"/>
      <c r="BW43" s="1744"/>
      <c r="BX43" s="1744"/>
      <c r="BY43" s="1744"/>
      <c r="BZ43" s="1744"/>
      <c r="CA43" s="1744"/>
      <c r="CB43" s="1744"/>
      <c r="CC43" s="1744"/>
      <c r="CD43" s="1744"/>
      <c r="CE43" s="1744"/>
      <c r="CF43" s="1744"/>
      <c r="CG43" s="1744"/>
      <c r="CH43" s="1744"/>
      <c r="CI43" s="1744"/>
    </row>
    <row r="44" spans="1:87" s="66" customFormat="1" ht="15" customHeight="1" thickBot="1" x14ac:dyDescent="0.25">
      <c r="A44" s="1941"/>
      <c r="B44" s="1916" t="s">
        <v>1733</v>
      </c>
      <c r="C44" s="1917"/>
      <c r="D44" s="1917"/>
      <c r="E44" s="1926"/>
      <c r="F44" s="703"/>
      <c r="G44" s="1936"/>
      <c r="H44" s="1744"/>
      <c r="I44" s="1744"/>
      <c r="J44" s="1744"/>
      <c r="K44" s="1744"/>
      <c r="L44" s="1744"/>
      <c r="M44" s="1744"/>
      <c r="N44" s="1744"/>
      <c r="O44" s="1744"/>
      <c r="P44" s="1744"/>
      <c r="Q44" s="1744"/>
      <c r="R44" s="1744"/>
      <c r="S44" s="1744"/>
      <c r="T44" s="1744"/>
      <c r="U44" s="1744"/>
      <c r="V44" s="1744"/>
      <c r="W44" s="1744"/>
      <c r="X44" s="1744"/>
      <c r="Y44" s="1744"/>
      <c r="Z44" s="1744"/>
      <c r="AA44" s="1744"/>
      <c r="AB44" s="1744"/>
      <c r="AC44" s="1744"/>
      <c r="AD44" s="1744"/>
      <c r="AE44" s="1744"/>
      <c r="AF44" s="1744"/>
      <c r="AG44" s="1744"/>
      <c r="AH44" s="1744"/>
      <c r="AI44" s="1744"/>
      <c r="AJ44" s="1744"/>
      <c r="AK44" s="1744"/>
      <c r="AL44" s="1744"/>
      <c r="AM44" s="1744"/>
      <c r="AN44" s="1744"/>
      <c r="AO44" s="1744"/>
      <c r="AP44" s="1744"/>
      <c r="AQ44" s="1744"/>
      <c r="AR44" s="1744"/>
      <c r="AS44" s="1744"/>
      <c r="AT44" s="1744"/>
      <c r="AU44" s="1744"/>
      <c r="AV44" s="1744"/>
      <c r="AW44" s="1744"/>
      <c r="AX44" s="1744"/>
      <c r="AY44" s="1744"/>
      <c r="AZ44" s="1744"/>
      <c r="BA44" s="1744"/>
      <c r="BB44" s="1744"/>
      <c r="BC44" s="1744"/>
      <c r="BD44" s="1744"/>
      <c r="BE44" s="1744"/>
      <c r="BF44" s="1744"/>
      <c r="BG44" s="1744"/>
      <c r="BH44" s="1744"/>
      <c r="BI44" s="1744"/>
      <c r="BJ44" s="1744"/>
      <c r="BK44" s="1744"/>
      <c r="BL44" s="1744"/>
      <c r="BM44" s="1744"/>
      <c r="BN44" s="1744"/>
      <c r="BO44" s="1744"/>
      <c r="BP44" s="1744"/>
      <c r="BQ44" s="1744"/>
      <c r="BR44" s="1744"/>
      <c r="BS44" s="1744"/>
      <c r="BT44" s="1744"/>
      <c r="BU44" s="1744"/>
      <c r="BV44" s="1744"/>
      <c r="BW44" s="1744"/>
      <c r="BX44" s="1744"/>
      <c r="BY44" s="1744"/>
      <c r="BZ44" s="1744"/>
      <c r="CA44" s="1744"/>
      <c r="CB44" s="1744"/>
      <c r="CC44" s="1744"/>
      <c r="CD44" s="1744"/>
      <c r="CE44" s="1744"/>
      <c r="CF44" s="1744"/>
      <c r="CG44" s="1744"/>
      <c r="CH44" s="1744"/>
      <c r="CI44" s="1744"/>
    </row>
    <row r="45" spans="1:87" s="66" customFormat="1" ht="15" customHeight="1" thickBot="1" x14ac:dyDescent="0.25">
      <c r="A45" s="1941"/>
      <c r="B45" s="1916" t="s">
        <v>1734</v>
      </c>
      <c r="C45" s="1917"/>
      <c r="D45" s="1917"/>
      <c r="E45" s="1926"/>
      <c r="F45" s="703"/>
      <c r="G45" s="1936"/>
      <c r="H45" s="1744"/>
      <c r="I45" s="1744"/>
      <c r="J45" s="1744"/>
      <c r="K45" s="1744"/>
      <c r="L45" s="1744"/>
      <c r="M45" s="1744"/>
      <c r="N45" s="1744"/>
      <c r="O45" s="1744"/>
      <c r="P45" s="1744"/>
      <c r="Q45" s="1744"/>
      <c r="R45" s="1744"/>
      <c r="S45" s="1744"/>
      <c r="T45" s="1744"/>
      <c r="U45" s="1744"/>
      <c r="V45" s="1744"/>
      <c r="W45" s="1744"/>
      <c r="X45" s="1744"/>
      <c r="Y45" s="1744"/>
      <c r="Z45" s="1744"/>
      <c r="AA45" s="1744"/>
      <c r="AB45" s="1744"/>
      <c r="AC45" s="1744"/>
      <c r="AD45" s="1744"/>
      <c r="AE45" s="1744"/>
      <c r="AF45" s="1744"/>
      <c r="AG45" s="1744"/>
      <c r="AH45" s="1744"/>
      <c r="AI45" s="1744"/>
      <c r="AJ45" s="1744"/>
      <c r="AK45" s="1744"/>
      <c r="AL45" s="1744"/>
      <c r="AM45" s="1744"/>
      <c r="AN45" s="1744"/>
      <c r="AO45" s="1744"/>
      <c r="AP45" s="1744"/>
      <c r="AQ45" s="1744"/>
      <c r="AR45" s="1744"/>
      <c r="AS45" s="1744"/>
      <c r="AT45" s="1744"/>
      <c r="AU45" s="1744"/>
      <c r="AV45" s="1744"/>
      <c r="AW45" s="1744"/>
      <c r="AX45" s="1744"/>
      <c r="AY45" s="1744"/>
      <c r="AZ45" s="1744"/>
      <c r="BA45" s="1744"/>
      <c r="BB45" s="1744"/>
      <c r="BC45" s="1744"/>
      <c r="BD45" s="1744"/>
      <c r="BE45" s="1744"/>
      <c r="BF45" s="1744"/>
      <c r="BG45" s="1744"/>
      <c r="BH45" s="1744"/>
      <c r="BI45" s="1744"/>
      <c r="BJ45" s="1744"/>
      <c r="BK45" s="1744"/>
      <c r="BL45" s="1744"/>
      <c r="BM45" s="1744"/>
      <c r="BN45" s="1744"/>
      <c r="BO45" s="1744"/>
      <c r="BP45" s="1744"/>
      <c r="BQ45" s="1744"/>
      <c r="BR45" s="1744"/>
      <c r="BS45" s="1744"/>
      <c r="BT45" s="1744"/>
      <c r="BU45" s="1744"/>
      <c r="BV45" s="1744"/>
      <c r="BW45" s="1744"/>
      <c r="BX45" s="1744"/>
      <c r="BY45" s="1744"/>
      <c r="BZ45" s="1744"/>
      <c r="CA45" s="1744"/>
      <c r="CB45" s="1744"/>
      <c r="CC45" s="1744"/>
      <c r="CD45" s="1744"/>
      <c r="CE45" s="1744"/>
      <c r="CF45" s="1744"/>
      <c r="CG45" s="1744"/>
      <c r="CH45" s="1744"/>
      <c r="CI45" s="1744"/>
    </row>
    <row r="46" spans="1:87" s="66" customFormat="1" ht="30" customHeight="1" thickBot="1" x14ac:dyDescent="0.25">
      <c r="A46" s="1941"/>
      <c r="B46" s="1927" t="s">
        <v>1322</v>
      </c>
      <c r="C46" s="1928"/>
      <c r="D46" s="1928"/>
      <c r="E46" s="1929"/>
      <c r="F46" s="707"/>
      <c r="G46" s="1935"/>
      <c r="H46" s="1748"/>
      <c r="I46" s="1748"/>
      <c r="J46" s="1748"/>
      <c r="K46" s="1748"/>
      <c r="L46" s="1748"/>
      <c r="M46" s="1748"/>
      <c r="N46" s="1748"/>
      <c r="O46" s="1748"/>
      <c r="P46" s="1748"/>
      <c r="Q46" s="1748"/>
      <c r="R46" s="1748"/>
      <c r="S46" s="1748"/>
      <c r="T46" s="1748"/>
      <c r="U46" s="1748"/>
      <c r="V46" s="1748"/>
      <c r="W46" s="1748"/>
      <c r="X46" s="1748"/>
      <c r="Y46" s="1748"/>
      <c r="Z46" s="1748"/>
      <c r="AA46" s="1748"/>
      <c r="AB46" s="1748"/>
      <c r="AC46" s="1748"/>
      <c r="AD46" s="1748"/>
      <c r="AE46" s="1748"/>
      <c r="AF46" s="1748"/>
      <c r="AG46" s="1748"/>
      <c r="AH46" s="1748"/>
      <c r="AI46" s="1748"/>
      <c r="AJ46" s="1748"/>
      <c r="AK46" s="1748"/>
      <c r="AL46" s="1748"/>
      <c r="AM46" s="1748"/>
      <c r="AN46" s="1748"/>
      <c r="AO46" s="1748"/>
      <c r="AP46" s="1748"/>
      <c r="AQ46" s="1748"/>
      <c r="AR46" s="1748"/>
      <c r="AS46" s="1748"/>
      <c r="AT46" s="1748"/>
      <c r="AU46" s="1748"/>
      <c r="AV46" s="1748"/>
      <c r="AW46" s="1748"/>
      <c r="AX46" s="1748"/>
      <c r="AY46" s="1748"/>
      <c r="AZ46" s="1748"/>
      <c r="BA46" s="1748"/>
      <c r="BB46" s="1748"/>
      <c r="BC46" s="1748"/>
      <c r="BD46" s="1748"/>
      <c r="BE46" s="1748"/>
      <c r="BF46" s="1748"/>
      <c r="BG46" s="1748"/>
      <c r="BH46" s="1748"/>
      <c r="BI46" s="1748"/>
      <c r="BJ46" s="1748"/>
      <c r="BK46" s="1748"/>
      <c r="BL46" s="1748"/>
      <c r="BM46" s="1748"/>
      <c r="BN46" s="1748"/>
      <c r="BO46" s="1748"/>
      <c r="BP46" s="1748"/>
      <c r="BQ46" s="1748"/>
      <c r="BR46" s="1748"/>
      <c r="BS46" s="1748"/>
      <c r="BT46" s="1748"/>
      <c r="BU46" s="1748"/>
      <c r="BV46" s="1748"/>
      <c r="BW46" s="1748"/>
      <c r="BX46" s="1748"/>
      <c r="BY46" s="1748"/>
      <c r="BZ46" s="1748"/>
      <c r="CA46" s="1748"/>
      <c r="CB46" s="1748"/>
      <c r="CC46" s="1748"/>
      <c r="CD46" s="1748"/>
      <c r="CE46" s="1748"/>
      <c r="CF46" s="1748"/>
      <c r="CG46" s="1748"/>
      <c r="CH46" s="1748"/>
      <c r="CI46" s="1748"/>
    </row>
    <row r="47" spans="1:87" s="66" customFormat="1" ht="18" customHeight="1" thickBot="1" x14ac:dyDescent="0.25">
      <c r="A47" s="1941"/>
      <c r="B47" s="1204"/>
      <c r="C47" s="1197" t="s">
        <v>10</v>
      </c>
      <c r="D47" s="1197" t="s">
        <v>11</v>
      </c>
      <c r="E47" s="1198" t="s">
        <v>12</v>
      </c>
      <c r="F47" s="707"/>
      <c r="G47" s="1935"/>
      <c r="H47" s="1748"/>
      <c r="I47" s="1748"/>
      <c r="J47" s="1748"/>
      <c r="K47" s="1748"/>
      <c r="L47" s="1748"/>
      <c r="M47" s="1748"/>
      <c r="N47" s="1748"/>
      <c r="O47" s="1748"/>
      <c r="P47" s="1748"/>
      <c r="Q47" s="1748"/>
      <c r="R47" s="1748"/>
      <c r="S47" s="1748"/>
      <c r="T47" s="1748"/>
      <c r="U47" s="1748"/>
      <c r="V47" s="1748"/>
      <c r="W47" s="1748"/>
      <c r="X47" s="1748"/>
      <c r="Y47" s="1748"/>
      <c r="Z47" s="1748"/>
      <c r="AA47" s="1748"/>
      <c r="AB47" s="1748"/>
      <c r="AC47" s="1748"/>
      <c r="AD47" s="1748"/>
      <c r="AE47" s="1748"/>
      <c r="AF47" s="1748"/>
      <c r="AG47" s="1748"/>
      <c r="AH47" s="1748"/>
      <c r="AI47" s="1748"/>
      <c r="AJ47" s="1748"/>
      <c r="AK47" s="1748"/>
      <c r="AL47" s="1748"/>
      <c r="AM47" s="1748"/>
      <c r="AN47" s="1748"/>
      <c r="AO47" s="1748"/>
      <c r="AP47" s="1748"/>
      <c r="AQ47" s="1748"/>
      <c r="AR47" s="1748"/>
      <c r="AS47" s="1748"/>
      <c r="AT47" s="1748"/>
      <c r="AU47" s="1748"/>
      <c r="AV47" s="1748"/>
      <c r="AW47" s="1748"/>
      <c r="AX47" s="1748"/>
      <c r="AY47" s="1748"/>
      <c r="AZ47" s="1748"/>
      <c r="BA47" s="1748"/>
      <c r="BB47" s="1748"/>
      <c r="BC47" s="1748"/>
      <c r="BD47" s="1748"/>
      <c r="BE47" s="1748"/>
      <c r="BF47" s="1748"/>
      <c r="BG47" s="1748"/>
      <c r="BH47" s="1748"/>
      <c r="BI47" s="1748"/>
      <c r="BJ47" s="1748"/>
      <c r="BK47" s="1748"/>
      <c r="BL47" s="1748"/>
      <c r="BM47" s="1748"/>
      <c r="BN47" s="1748"/>
      <c r="BO47" s="1748"/>
      <c r="BP47" s="1748"/>
      <c r="BQ47" s="1748"/>
      <c r="BR47" s="1748"/>
      <c r="BS47" s="1748"/>
      <c r="BT47" s="1748"/>
      <c r="BU47" s="1748"/>
      <c r="BV47" s="1748"/>
      <c r="BW47" s="1748"/>
      <c r="BX47" s="1748"/>
      <c r="BY47" s="1748"/>
      <c r="BZ47" s="1748"/>
      <c r="CA47" s="1748"/>
      <c r="CB47" s="1748"/>
      <c r="CC47" s="1748"/>
      <c r="CD47" s="1748"/>
      <c r="CE47" s="1748"/>
      <c r="CF47" s="1748"/>
      <c r="CG47" s="1748"/>
      <c r="CH47" s="1748"/>
      <c r="CI47" s="1748"/>
    </row>
    <row r="48" spans="1:87" s="66" customFormat="1" ht="27" customHeight="1" thickBot="1" x14ac:dyDescent="0.25">
      <c r="A48" s="1941"/>
      <c r="B48" s="1199" t="s">
        <v>462</v>
      </c>
      <c r="C48" s="1200" t="s">
        <v>611</v>
      </c>
      <c r="D48" s="1200" t="s">
        <v>463</v>
      </c>
      <c r="E48" s="1201" t="s">
        <v>464</v>
      </c>
      <c r="F48" s="1173">
        <v>0</v>
      </c>
      <c r="G48" s="1937"/>
      <c r="H48" s="1761">
        <v>0</v>
      </c>
      <c r="I48" s="1761">
        <v>0</v>
      </c>
      <c r="J48" s="1761">
        <v>0</v>
      </c>
      <c r="K48" s="1761">
        <v>0</v>
      </c>
      <c r="L48" s="1761">
        <v>0</v>
      </c>
      <c r="M48" s="1761">
        <v>0</v>
      </c>
      <c r="N48" s="1761">
        <v>0</v>
      </c>
      <c r="O48" s="1761">
        <v>0</v>
      </c>
      <c r="P48" s="1761">
        <v>0</v>
      </c>
      <c r="Q48" s="1761">
        <v>0</v>
      </c>
      <c r="R48" s="1761">
        <v>0</v>
      </c>
      <c r="S48" s="1761">
        <v>0</v>
      </c>
      <c r="T48" s="1761">
        <v>0</v>
      </c>
      <c r="U48" s="1761">
        <v>0</v>
      </c>
      <c r="V48" s="1761">
        <v>0</v>
      </c>
      <c r="W48" s="1761">
        <v>0</v>
      </c>
      <c r="X48" s="1761">
        <v>0</v>
      </c>
      <c r="Y48" s="1761">
        <v>0</v>
      </c>
      <c r="Z48" s="1761">
        <v>0</v>
      </c>
      <c r="AA48" s="1761">
        <v>0</v>
      </c>
      <c r="AB48" s="1761">
        <v>0</v>
      </c>
      <c r="AC48" s="1761">
        <v>0</v>
      </c>
      <c r="AD48" s="1761">
        <v>0</v>
      </c>
      <c r="AE48" s="1761">
        <v>0</v>
      </c>
      <c r="AF48" s="1761">
        <v>0</v>
      </c>
      <c r="AG48" s="1761">
        <v>0</v>
      </c>
      <c r="AH48" s="1761">
        <v>0</v>
      </c>
      <c r="AI48" s="1761">
        <v>0</v>
      </c>
      <c r="AJ48" s="1761">
        <v>0</v>
      </c>
      <c r="AK48" s="1761">
        <v>0</v>
      </c>
      <c r="AL48" s="1761">
        <v>0</v>
      </c>
      <c r="AM48" s="1761">
        <v>0</v>
      </c>
      <c r="AN48" s="1761">
        <v>0</v>
      </c>
      <c r="AO48" s="1761">
        <v>0</v>
      </c>
      <c r="AP48" s="1761">
        <v>0</v>
      </c>
      <c r="AQ48" s="1761">
        <v>0</v>
      </c>
      <c r="AR48" s="1761">
        <v>0</v>
      </c>
      <c r="AS48" s="1761">
        <v>0</v>
      </c>
      <c r="AT48" s="1761">
        <v>0</v>
      </c>
      <c r="AU48" s="1761">
        <v>0</v>
      </c>
      <c r="AV48" s="1761">
        <v>0</v>
      </c>
      <c r="AW48" s="1761">
        <v>0</v>
      </c>
      <c r="AX48" s="1761">
        <v>0</v>
      </c>
      <c r="AY48" s="1761">
        <v>0</v>
      </c>
      <c r="AZ48" s="1761">
        <v>0</v>
      </c>
      <c r="BA48" s="1761">
        <v>0</v>
      </c>
      <c r="BB48" s="1761">
        <v>0</v>
      </c>
      <c r="BC48" s="1761">
        <v>0</v>
      </c>
      <c r="BD48" s="1761">
        <v>0</v>
      </c>
      <c r="BE48" s="1761">
        <v>0</v>
      </c>
      <c r="BF48" s="1761">
        <v>0</v>
      </c>
      <c r="BG48" s="1761">
        <v>0</v>
      </c>
      <c r="BH48" s="1761">
        <v>0</v>
      </c>
      <c r="BI48" s="1761">
        <v>0</v>
      </c>
      <c r="BJ48" s="1761">
        <v>0</v>
      </c>
      <c r="BK48" s="1761">
        <v>0</v>
      </c>
      <c r="BL48" s="1761">
        <v>0</v>
      </c>
      <c r="BM48" s="1761">
        <v>0</v>
      </c>
      <c r="BN48" s="1761">
        <v>0</v>
      </c>
      <c r="BO48" s="1761">
        <v>0</v>
      </c>
      <c r="BP48" s="1761">
        <v>0</v>
      </c>
      <c r="BQ48" s="1761">
        <v>0</v>
      </c>
      <c r="BR48" s="1761">
        <v>0</v>
      </c>
      <c r="BS48" s="1761">
        <v>0</v>
      </c>
      <c r="BT48" s="1761">
        <v>0</v>
      </c>
      <c r="BU48" s="1761">
        <v>0</v>
      </c>
      <c r="BV48" s="1761">
        <v>0</v>
      </c>
      <c r="BW48" s="1761">
        <v>0</v>
      </c>
      <c r="BX48" s="1761">
        <v>0</v>
      </c>
      <c r="BY48" s="1761">
        <v>0</v>
      </c>
      <c r="BZ48" s="1761">
        <v>0</v>
      </c>
      <c r="CA48" s="1761">
        <v>0</v>
      </c>
      <c r="CB48" s="1761">
        <v>0</v>
      </c>
      <c r="CC48" s="1761">
        <v>0</v>
      </c>
      <c r="CD48" s="1761">
        <v>0</v>
      </c>
      <c r="CE48" s="1761">
        <v>0</v>
      </c>
      <c r="CF48" s="1761">
        <v>0</v>
      </c>
      <c r="CG48" s="1761">
        <v>0</v>
      </c>
      <c r="CH48" s="1761">
        <v>0</v>
      </c>
      <c r="CI48" s="1761">
        <v>0</v>
      </c>
    </row>
    <row r="49" spans="1:87" s="66" customFormat="1" ht="15" customHeight="1" thickBot="1" x14ac:dyDescent="0.25">
      <c r="A49" s="1941"/>
      <c r="B49" s="1199" t="s">
        <v>40</v>
      </c>
      <c r="C49" s="1200" t="s">
        <v>69</v>
      </c>
      <c r="D49" s="1200" t="s">
        <v>68</v>
      </c>
      <c r="E49" s="1201" t="s">
        <v>70</v>
      </c>
      <c r="F49" s="1173">
        <v>0</v>
      </c>
      <c r="G49" s="1937"/>
      <c r="H49" s="1761">
        <v>0</v>
      </c>
      <c r="I49" s="1761">
        <v>0</v>
      </c>
      <c r="J49" s="1761">
        <v>0</v>
      </c>
      <c r="K49" s="1761">
        <v>0</v>
      </c>
      <c r="L49" s="1761">
        <v>0</v>
      </c>
      <c r="M49" s="1761">
        <v>0</v>
      </c>
      <c r="N49" s="1761">
        <v>0</v>
      </c>
      <c r="O49" s="1761">
        <v>0</v>
      </c>
      <c r="P49" s="1761">
        <v>0</v>
      </c>
      <c r="Q49" s="1761">
        <v>0</v>
      </c>
      <c r="R49" s="1761">
        <v>0</v>
      </c>
      <c r="S49" s="1761">
        <v>0</v>
      </c>
      <c r="T49" s="1761">
        <v>0</v>
      </c>
      <c r="U49" s="1761">
        <v>0</v>
      </c>
      <c r="V49" s="1761">
        <v>0</v>
      </c>
      <c r="W49" s="1761">
        <v>0</v>
      </c>
      <c r="X49" s="1761">
        <v>0</v>
      </c>
      <c r="Y49" s="1761">
        <v>0</v>
      </c>
      <c r="Z49" s="1761">
        <v>0</v>
      </c>
      <c r="AA49" s="1761">
        <v>0</v>
      </c>
      <c r="AB49" s="1761">
        <v>0</v>
      </c>
      <c r="AC49" s="1761">
        <v>0</v>
      </c>
      <c r="AD49" s="1761">
        <v>0</v>
      </c>
      <c r="AE49" s="1761">
        <v>0</v>
      </c>
      <c r="AF49" s="1761">
        <v>0</v>
      </c>
      <c r="AG49" s="1761">
        <v>0</v>
      </c>
      <c r="AH49" s="1761">
        <v>0</v>
      </c>
      <c r="AI49" s="1761">
        <v>0</v>
      </c>
      <c r="AJ49" s="1761">
        <v>0</v>
      </c>
      <c r="AK49" s="1761">
        <v>0</v>
      </c>
      <c r="AL49" s="1761">
        <v>0</v>
      </c>
      <c r="AM49" s="1761">
        <v>0</v>
      </c>
      <c r="AN49" s="1761">
        <v>0</v>
      </c>
      <c r="AO49" s="1761">
        <v>0</v>
      </c>
      <c r="AP49" s="1761">
        <v>0</v>
      </c>
      <c r="AQ49" s="1761">
        <v>0</v>
      </c>
      <c r="AR49" s="1761">
        <v>0</v>
      </c>
      <c r="AS49" s="1761">
        <v>0</v>
      </c>
      <c r="AT49" s="1761">
        <v>0</v>
      </c>
      <c r="AU49" s="1761">
        <v>0</v>
      </c>
      <c r="AV49" s="1761">
        <v>0</v>
      </c>
      <c r="AW49" s="1761">
        <v>0</v>
      </c>
      <c r="AX49" s="1761">
        <v>0</v>
      </c>
      <c r="AY49" s="1761">
        <v>0</v>
      </c>
      <c r="AZ49" s="1761">
        <v>0</v>
      </c>
      <c r="BA49" s="1761">
        <v>0</v>
      </c>
      <c r="BB49" s="1761">
        <v>0</v>
      </c>
      <c r="BC49" s="1761">
        <v>0</v>
      </c>
      <c r="BD49" s="1761">
        <v>0</v>
      </c>
      <c r="BE49" s="1761">
        <v>0</v>
      </c>
      <c r="BF49" s="1761">
        <v>0</v>
      </c>
      <c r="BG49" s="1761">
        <v>0</v>
      </c>
      <c r="BH49" s="1761">
        <v>0</v>
      </c>
      <c r="BI49" s="1761">
        <v>0</v>
      </c>
      <c r="BJ49" s="1761">
        <v>0</v>
      </c>
      <c r="BK49" s="1761">
        <v>0</v>
      </c>
      <c r="BL49" s="1761">
        <v>0</v>
      </c>
      <c r="BM49" s="1761">
        <v>0</v>
      </c>
      <c r="BN49" s="1761">
        <v>0</v>
      </c>
      <c r="BO49" s="1761">
        <v>0</v>
      </c>
      <c r="BP49" s="1761">
        <v>0</v>
      </c>
      <c r="BQ49" s="1761">
        <v>0</v>
      </c>
      <c r="BR49" s="1761">
        <v>0</v>
      </c>
      <c r="BS49" s="1761">
        <v>0</v>
      </c>
      <c r="BT49" s="1761">
        <v>0</v>
      </c>
      <c r="BU49" s="1761">
        <v>0</v>
      </c>
      <c r="BV49" s="1761">
        <v>0</v>
      </c>
      <c r="BW49" s="1761">
        <v>0</v>
      </c>
      <c r="BX49" s="1761">
        <v>0</v>
      </c>
      <c r="BY49" s="1761">
        <v>0</v>
      </c>
      <c r="BZ49" s="1761">
        <v>0</v>
      </c>
      <c r="CA49" s="1761">
        <v>0</v>
      </c>
      <c r="CB49" s="1761">
        <v>0</v>
      </c>
      <c r="CC49" s="1761">
        <v>0</v>
      </c>
      <c r="CD49" s="1761">
        <v>0</v>
      </c>
      <c r="CE49" s="1761">
        <v>0</v>
      </c>
      <c r="CF49" s="1761">
        <v>0</v>
      </c>
      <c r="CG49" s="1761">
        <v>0</v>
      </c>
      <c r="CH49" s="1761">
        <v>0</v>
      </c>
      <c r="CI49" s="1761">
        <v>0</v>
      </c>
    </row>
    <row r="50" spans="1:87" s="66" customFormat="1" ht="15" customHeight="1" thickBot="1" x14ac:dyDescent="0.25">
      <c r="A50" s="1941"/>
      <c r="B50" s="1199" t="s">
        <v>41</v>
      </c>
      <c r="C50" s="1178" t="s">
        <v>583</v>
      </c>
      <c r="D50" s="1178" t="s">
        <v>612</v>
      </c>
      <c r="E50" s="1179" t="s">
        <v>588</v>
      </c>
      <c r="F50" s="1174">
        <v>0</v>
      </c>
      <c r="G50" s="1937"/>
      <c r="H50" s="1762">
        <v>0</v>
      </c>
      <c r="I50" s="1762">
        <v>0</v>
      </c>
      <c r="J50" s="1762">
        <v>0</v>
      </c>
      <c r="K50" s="1762">
        <v>0</v>
      </c>
      <c r="L50" s="1762">
        <v>0</v>
      </c>
      <c r="M50" s="1762">
        <v>0</v>
      </c>
      <c r="N50" s="1762">
        <v>0</v>
      </c>
      <c r="O50" s="1762">
        <v>0</v>
      </c>
      <c r="P50" s="1762">
        <v>0</v>
      </c>
      <c r="Q50" s="1762">
        <v>0</v>
      </c>
      <c r="R50" s="1762">
        <v>0</v>
      </c>
      <c r="S50" s="1762">
        <v>0</v>
      </c>
      <c r="T50" s="1762">
        <v>0</v>
      </c>
      <c r="U50" s="1762">
        <v>0</v>
      </c>
      <c r="V50" s="1762">
        <v>0</v>
      </c>
      <c r="W50" s="1762">
        <v>0</v>
      </c>
      <c r="X50" s="1762">
        <v>0</v>
      </c>
      <c r="Y50" s="1762">
        <v>0</v>
      </c>
      <c r="Z50" s="1762">
        <v>0</v>
      </c>
      <c r="AA50" s="1762">
        <v>0</v>
      </c>
      <c r="AB50" s="1762">
        <v>0</v>
      </c>
      <c r="AC50" s="1762">
        <v>0</v>
      </c>
      <c r="AD50" s="1762">
        <v>0</v>
      </c>
      <c r="AE50" s="1762">
        <v>0</v>
      </c>
      <c r="AF50" s="1762">
        <v>0</v>
      </c>
      <c r="AG50" s="1762">
        <v>0</v>
      </c>
      <c r="AH50" s="1762">
        <v>0</v>
      </c>
      <c r="AI50" s="1762">
        <v>0</v>
      </c>
      <c r="AJ50" s="1762">
        <v>0</v>
      </c>
      <c r="AK50" s="1762">
        <v>0</v>
      </c>
      <c r="AL50" s="1762">
        <v>0</v>
      </c>
      <c r="AM50" s="1762">
        <v>0</v>
      </c>
      <c r="AN50" s="1762">
        <v>0</v>
      </c>
      <c r="AO50" s="1762">
        <v>0</v>
      </c>
      <c r="AP50" s="1762">
        <v>0</v>
      </c>
      <c r="AQ50" s="1762">
        <v>0</v>
      </c>
      <c r="AR50" s="1762">
        <v>0</v>
      </c>
      <c r="AS50" s="1762">
        <v>0</v>
      </c>
      <c r="AT50" s="1762">
        <v>0</v>
      </c>
      <c r="AU50" s="1762">
        <v>0</v>
      </c>
      <c r="AV50" s="1762">
        <v>0</v>
      </c>
      <c r="AW50" s="1762">
        <v>0</v>
      </c>
      <c r="AX50" s="1762">
        <v>0</v>
      </c>
      <c r="AY50" s="1762">
        <v>0</v>
      </c>
      <c r="AZ50" s="1762">
        <v>0</v>
      </c>
      <c r="BA50" s="1762">
        <v>0</v>
      </c>
      <c r="BB50" s="1762">
        <v>0</v>
      </c>
      <c r="BC50" s="1762">
        <v>0</v>
      </c>
      <c r="BD50" s="1762">
        <v>0</v>
      </c>
      <c r="BE50" s="1762">
        <v>0</v>
      </c>
      <c r="BF50" s="1762">
        <v>0</v>
      </c>
      <c r="BG50" s="1762">
        <v>0</v>
      </c>
      <c r="BH50" s="1762">
        <v>0</v>
      </c>
      <c r="BI50" s="1762">
        <v>0</v>
      </c>
      <c r="BJ50" s="1762">
        <v>0</v>
      </c>
      <c r="BK50" s="1762">
        <v>0</v>
      </c>
      <c r="BL50" s="1762">
        <v>0</v>
      </c>
      <c r="BM50" s="1762">
        <v>0</v>
      </c>
      <c r="BN50" s="1762">
        <v>0</v>
      </c>
      <c r="BO50" s="1762">
        <v>0</v>
      </c>
      <c r="BP50" s="1762">
        <v>0</v>
      </c>
      <c r="BQ50" s="1762">
        <v>0</v>
      </c>
      <c r="BR50" s="1762">
        <v>0</v>
      </c>
      <c r="BS50" s="1762">
        <v>0</v>
      </c>
      <c r="BT50" s="1762">
        <v>0</v>
      </c>
      <c r="BU50" s="1762">
        <v>0</v>
      </c>
      <c r="BV50" s="1762">
        <v>0</v>
      </c>
      <c r="BW50" s="1762">
        <v>0</v>
      </c>
      <c r="BX50" s="1762">
        <v>0</v>
      </c>
      <c r="BY50" s="1762">
        <v>0</v>
      </c>
      <c r="BZ50" s="1762">
        <v>0</v>
      </c>
      <c r="CA50" s="1762">
        <v>0</v>
      </c>
      <c r="CB50" s="1762">
        <v>0</v>
      </c>
      <c r="CC50" s="1762">
        <v>0</v>
      </c>
      <c r="CD50" s="1762">
        <v>0</v>
      </c>
      <c r="CE50" s="1762">
        <v>0</v>
      </c>
      <c r="CF50" s="1762">
        <v>0</v>
      </c>
      <c r="CG50" s="1762">
        <v>0</v>
      </c>
      <c r="CH50" s="1762">
        <v>0</v>
      </c>
      <c r="CI50" s="1762">
        <v>0</v>
      </c>
    </row>
    <row r="51" spans="1:87" s="66" customFormat="1" ht="21" customHeight="1" thickBot="1" x14ac:dyDescent="0.25">
      <c r="A51" s="1941"/>
      <c r="B51" s="1970" t="s">
        <v>1320</v>
      </c>
      <c r="C51" s="1970"/>
      <c r="D51" s="1970"/>
      <c r="E51" s="1971"/>
      <c r="F51" s="708">
        <f>SUM(F48:F50)</f>
        <v>0</v>
      </c>
      <c r="G51" s="1938"/>
      <c r="H51" s="1749">
        <f t="shared" ref="H51:Q51" si="12">SUM(H48:H50)</f>
        <v>0</v>
      </c>
      <c r="I51" s="1749">
        <f t="shared" si="12"/>
        <v>0</v>
      </c>
      <c r="J51" s="1749">
        <f t="shared" si="12"/>
        <v>0</v>
      </c>
      <c r="K51" s="1749">
        <f t="shared" si="12"/>
        <v>0</v>
      </c>
      <c r="L51" s="1749">
        <f t="shared" si="12"/>
        <v>0</v>
      </c>
      <c r="M51" s="1749">
        <f t="shared" si="12"/>
        <v>0</v>
      </c>
      <c r="N51" s="1749">
        <f t="shared" si="12"/>
        <v>0</v>
      </c>
      <c r="O51" s="1749">
        <f t="shared" si="12"/>
        <v>0</v>
      </c>
      <c r="P51" s="1749">
        <f t="shared" si="12"/>
        <v>0</v>
      </c>
      <c r="Q51" s="1749">
        <f t="shared" si="12"/>
        <v>0</v>
      </c>
      <c r="R51" s="1749">
        <f t="shared" ref="R51:CC51" si="13">SUM(R48:R50)</f>
        <v>0</v>
      </c>
      <c r="S51" s="1749">
        <f t="shared" si="13"/>
        <v>0</v>
      </c>
      <c r="T51" s="1749">
        <f t="shared" si="13"/>
        <v>0</v>
      </c>
      <c r="U51" s="1749">
        <f t="shared" si="13"/>
        <v>0</v>
      </c>
      <c r="V51" s="1749">
        <f t="shared" si="13"/>
        <v>0</v>
      </c>
      <c r="W51" s="1749">
        <f t="shared" si="13"/>
        <v>0</v>
      </c>
      <c r="X51" s="1749">
        <f t="shared" si="13"/>
        <v>0</v>
      </c>
      <c r="Y51" s="1749">
        <f t="shared" si="13"/>
        <v>0</v>
      </c>
      <c r="Z51" s="1749">
        <f t="shared" si="13"/>
        <v>0</v>
      </c>
      <c r="AA51" s="1749">
        <f t="shared" si="13"/>
        <v>0</v>
      </c>
      <c r="AB51" s="1749">
        <f t="shared" si="13"/>
        <v>0</v>
      </c>
      <c r="AC51" s="1749">
        <f t="shared" si="13"/>
        <v>0</v>
      </c>
      <c r="AD51" s="1749">
        <f t="shared" si="13"/>
        <v>0</v>
      </c>
      <c r="AE51" s="1749">
        <f t="shared" si="13"/>
        <v>0</v>
      </c>
      <c r="AF51" s="1749">
        <f t="shared" si="13"/>
        <v>0</v>
      </c>
      <c r="AG51" s="1749">
        <f t="shared" si="13"/>
        <v>0</v>
      </c>
      <c r="AH51" s="1749">
        <f t="shared" si="13"/>
        <v>0</v>
      </c>
      <c r="AI51" s="1749">
        <f t="shared" si="13"/>
        <v>0</v>
      </c>
      <c r="AJ51" s="1749">
        <f t="shared" si="13"/>
        <v>0</v>
      </c>
      <c r="AK51" s="1749">
        <f t="shared" si="13"/>
        <v>0</v>
      </c>
      <c r="AL51" s="1749">
        <f t="shared" si="13"/>
        <v>0</v>
      </c>
      <c r="AM51" s="1749">
        <f t="shared" si="13"/>
        <v>0</v>
      </c>
      <c r="AN51" s="1749">
        <f t="shared" si="13"/>
        <v>0</v>
      </c>
      <c r="AO51" s="1749">
        <f t="shared" si="13"/>
        <v>0</v>
      </c>
      <c r="AP51" s="1749">
        <f t="shared" si="13"/>
        <v>0</v>
      </c>
      <c r="AQ51" s="1749">
        <f t="shared" si="13"/>
        <v>0</v>
      </c>
      <c r="AR51" s="1749">
        <f t="shared" si="13"/>
        <v>0</v>
      </c>
      <c r="AS51" s="1749">
        <f t="shared" si="13"/>
        <v>0</v>
      </c>
      <c r="AT51" s="1749">
        <f t="shared" si="13"/>
        <v>0</v>
      </c>
      <c r="AU51" s="1749">
        <f t="shared" si="13"/>
        <v>0</v>
      </c>
      <c r="AV51" s="1749">
        <f t="shared" si="13"/>
        <v>0</v>
      </c>
      <c r="AW51" s="1749">
        <f t="shared" si="13"/>
        <v>0</v>
      </c>
      <c r="AX51" s="1749">
        <f t="shared" si="13"/>
        <v>0</v>
      </c>
      <c r="AY51" s="1749">
        <f t="shared" si="13"/>
        <v>0</v>
      </c>
      <c r="AZ51" s="1749">
        <f t="shared" si="13"/>
        <v>0</v>
      </c>
      <c r="BA51" s="1749">
        <f t="shared" si="13"/>
        <v>0</v>
      </c>
      <c r="BB51" s="1749">
        <f t="shared" si="13"/>
        <v>0</v>
      </c>
      <c r="BC51" s="1749">
        <f t="shared" si="13"/>
        <v>0</v>
      </c>
      <c r="BD51" s="1749">
        <f t="shared" si="13"/>
        <v>0</v>
      </c>
      <c r="BE51" s="1749">
        <f t="shared" si="13"/>
        <v>0</v>
      </c>
      <c r="BF51" s="1749">
        <f t="shared" si="13"/>
        <v>0</v>
      </c>
      <c r="BG51" s="1749">
        <f t="shared" si="13"/>
        <v>0</v>
      </c>
      <c r="BH51" s="1749">
        <f t="shared" si="13"/>
        <v>0</v>
      </c>
      <c r="BI51" s="1749">
        <f t="shared" si="13"/>
        <v>0</v>
      </c>
      <c r="BJ51" s="1749">
        <f t="shared" si="13"/>
        <v>0</v>
      </c>
      <c r="BK51" s="1749">
        <f t="shared" si="13"/>
        <v>0</v>
      </c>
      <c r="BL51" s="1749">
        <f t="shared" si="13"/>
        <v>0</v>
      </c>
      <c r="BM51" s="1749">
        <f t="shared" si="13"/>
        <v>0</v>
      </c>
      <c r="BN51" s="1749">
        <f t="shared" si="13"/>
        <v>0</v>
      </c>
      <c r="BO51" s="1749">
        <f t="shared" si="13"/>
        <v>0</v>
      </c>
      <c r="BP51" s="1749">
        <f t="shared" si="13"/>
        <v>0</v>
      </c>
      <c r="BQ51" s="1749">
        <f t="shared" si="13"/>
        <v>0</v>
      </c>
      <c r="BR51" s="1749">
        <f t="shared" si="13"/>
        <v>0</v>
      </c>
      <c r="BS51" s="1749">
        <f t="shared" si="13"/>
        <v>0</v>
      </c>
      <c r="BT51" s="1749">
        <f t="shared" si="13"/>
        <v>0</v>
      </c>
      <c r="BU51" s="1749">
        <f t="shared" si="13"/>
        <v>0</v>
      </c>
      <c r="BV51" s="1749">
        <f t="shared" si="13"/>
        <v>0</v>
      </c>
      <c r="BW51" s="1749">
        <f t="shared" si="13"/>
        <v>0</v>
      </c>
      <c r="BX51" s="1749">
        <f t="shared" si="13"/>
        <v>0</v>
      </c>
      <c r="BY51" s="1749">
        <f t="shared" si="13"/>
        <v>0</v>
      </c>
      <c r="BZ51" s="1749">
        <f t="shared" si="13"/>
        <v>0</v>
      </c>
      <c r="CA51" s="1749">
        <f t="shared" si="13"/>
        <v>0</v>
      </c>
      <c r="CB51" s="1749">
        <f t="shared" si="13"/>
        <v>0</v>
      </c>
      <c r="CC51" s="1749">
        <f t="shared" si="13"/>
        <v>0</v>
      </c>
      <c r="CD51" s="1749">
        <f t="shared" ref="CD51:CI51" si="14">SUM(CD48:CD50)</f>
        <v>0</v>
      </c>
      <c r="CE51" s="1749">
        <f t="shared" si="14"/>
        <v>0</v>
      </c>
      <c r="CF51" s="1749">
        <f t="shared" si="14"/>
        <v>0</v>
      </c>
      <c r="CG51" s="1749">
        <f t="shared" si="14"/>
        <v>0</v>
      </c>
      <c r="CH51" s="1749">
        <f t="shared" si="14"/>
        <v>0</v>
      </c>
      <c r="CI51" s="1749">
        <f t="shared" si="14"/>
        <v>0</v>
      </c>
    </row>
    <row r="52" spans="1:87" s="66" customFormat="1" ht="21" customHeight="1" thickBot="1" x14ac:dyDescent="0.25">
      <c r="A52" s="1941"/>
      <c r="B52" s="1918"/>
      <c r="C52" s="1919"/>
      <c r="D52" s="1919"/>
      <c r="E52" s="1203" t="s">
        <v>469</v>
      </c>
      <c r="F52" s="977">
        <f>F51/9</f>
        <v>0</v>
      </c>
      <c r="G52" s="1939"/>
      <c r="H52" s="1751">
        <f t="shared" ref="H52:Q52" si="15">H51/9</f>
        <v>0</v>
      </c>
      <c r="I52" s="1751">
        <f t="shared" si="15"/>
        <v>0</v>
      </c>
      <c r="J52" s="1751">
        <f t="shared" si="15"/>
        <v>0</v>
      </c>
      <c r="K52" s="1751">
        <f t="shared" si="15"/>
        <v>0</v>
      </c>
      <c r="L52" s="1751">
        <f t="shared" si="15"/>
        <v>0</v>
      </c>
      <c r="M52" s="1751">
        <f t="shared" si="15"/>
        <v>0</v>
      </c>
      <c r="N52" s="1751">
        <f t="shared" si="15"/>
        <v>0</v>
      </c>
      <c r="O52" s="1751">
        <f t="shared" si="15"/>
        <v>0</v>
      </c>
      <c r="P52" s="1751">
        <f t="shared" si="15"/>
        <v>0</v>
      </c>
      <c r="Q52" s="1751">
        <f t="shared" si="15"/>
        <v>0</v>
      </c>
      <c r="R52" s="1751">
        <f t="shared" ref="R52:CC52" si="16">R51/9</f>
        <v>0</v>
      </c>
      <c r="S52" s="1751">
        <f t="shared" si="16"/>
        <v>0</v>
      </c>
      <c r="T52" s="1751">
        <f t="shared" si="16"/>
        <v>0</v>
      </c>
      <c r="U52" s="1751">
        <f t="shared" si="16"/>
        <v>0</v>
      </c>
      <c r="V52" s="1751">
        <f t="shared" si="16"/>
        <v>0</v>
      </c>
      <c r="W52" s="1751">
        <f t="shared" si="16"/>
        <v>0</v>
      </c>
      <c r="X52" s="1751">
        <f t="shared" si="16"/>
        <v>0</v>
      </c>
      <c r="Y52" s="1751">
        <f t="shared" si="16"/>
        <v>0</v>
      </c>
      <c r="Z52" s="1751">
        <f t="shared" si="16"/>
        <v>0</v>
      </c>
      <c r="AA52" s="1751">
        <f t="shared" si="16"/>
        <v>0</v>
      </c>
      <c r="AB52" s="1751">
        <f t="shared" si="16"/>
        <v>0</v>
      </c>
      <c r="AC52" s="1751">
        <f t="shared" si="16"/>
        <v>0</v>
      </c>
      <c r="AD52" s="1751">
        <f t="shared" si="16"/>
        <v>0</v>
      </c>
      <c r="AE52" s="1751">
        <f t="shared" si="16"/>
        <v>0</v>
      </c>
      <c r="AF52" s="1751">
        <f t="shared" si="16"/>
        <v>0</v>
      </c>
      <c r="AG52" s="1751">
        <f t="shared" si="16"/>
        <v>0</v>
      </c>
      <c r="AH52" s="1751">
        <f t="shared" si="16"/>
        <v>0</v>
      </c>
      <c r="AI52" s="1751">
        <f t="shared" si="16"/>
        <v>0</v>
      </c>
      <c r="AJ52" s="1751">
        <f t="shared" si="16"/>
        <v>0</v>
      </c>
      <c r="AK52" s="1751">
        <f t="shared" si="16"/>
        <v>0</v>
      </c>
      <c r="AL52" s="1751">
        <f t="shared" si="16"/>
        <v>0</v>
      </c>
      <c r="AM52" s="1751">
        <f t="shared" si="16"/>
        <v>0</v>
      </c>
      <c r="AN52" s="1751">
        <f t="shared" si="16"/>
        <v>0</v>
      </c>
      <c r="AO52" s="1751">
        <f t="shared" si="16"/>
        <v>0</v>
      </c>
      <c r="AP52" s="1751">
        <f t="shared" si="16"/>
        <v>0</v>
      </c>
      <c r="AQ52" s="1751">
        <f t="shared" si="16"/>
        <v>0</v>
      </c>
      <c r="AR52" s="1751">
        <f t="shared" si="16"/>
        <v>0</v>
      </c>
      <c r="AS52" s="1751">
        <f t="shared" si="16"/>
        <v>0</v>
      </c>
      <c r="AT52" s="1751">
        <f t="shared" si="16"/>
        <v>0</v>
      </c>
      <c r="AU52" s="1751">
        <f t="shared" si="16"/>
        <v>0</v>
      </c>
      <c r="AV52" s="1751">
        <f t="shared" si="16"/>
        <v>0</v>
      </c>
      <c r="AW52" s="1751">
        <f t="shared" si="16"/>
        <v>0</v>
      </c>
      <c r="AX52" s="1751">
        <f t="shared" si="16"/>
        <v>0</v>
      </c>
      <c r="AY52" s="1751">
        <f t="shared" si="16"/>
        <v>0</v>
      </c>
      <c r="AZ52" s="1751">
        <f t="shared" si="16"/>
        <v>0</v>
      </c>
      <c r="BA52" s="1751">
        <f t="shared" si="16"/>
        <v>0</v>
      </c>
      <c r="BB52" s="1751">
        <f t="shared" si="16"/>
        <v>0</v>
      </c>
      <c r="BC52" s="1751">
        <f t="shared" si="16"/>
        <v>0</v>
      </c>
      <c r="BD52" s="1751">
        <f t="shared" si="16"/>
        <v>0</v>
      </c>
      <c r="BE52" s="1751">
        <f t="shared" si="16"/>
        <v>0</v>
      </c>
      <c r="BF52" s="1751">
        <f t="shared" si="16"/>
        <v>0</v>
      </c>
      <c r="BG52" s="1751">
        <f t="shared" si="16"/>
        <v>0</v>
      </c>
      <c r="BH52" s="1751">
        <f t="shared" si="16"/>
        <v>0</v>
      </c>
      <c r="BI52" s="1751">
        <f t="shared" si="16"/>
        <v>0</v>
      </c>
      <c r="BJ52" s="1751">
        <f t="shared" si="16"/>
        <v>0</v>
      </c>
      <c r="BK52" s="1751">
        <f t="shared" si="16"/>
        <v>0</v>
      </c>
      <c r="BL52" s="1751">
        <f t="shared" si="16"/>
        <v>0</v>
      </c>
      <c r="BM52" s="1751">
        <f t="shared" si="16"/>
        <v>0</v>
      </c>
      <c r="BN52" s="1751">
        <f t="shared" si="16"/>
        <v>0</v>
      </c>
      <c r="BO52" s="1751">
        <f t="shared" si="16"/>
        <v>0</v>
      </c>
      <c r="BP52" s="1751">
        <f t="shared" si="16"/>
        <v>0</v>
      </c>
      <c r="BQ52" s="1751">
        <f t="shared" si="16"/>
        <v>0</v>
      </c>
      <c r="BR52" s="1751">
        <f t="shared" si="16"/>
        <v>0</v>
      </c>
      <c r="BS52" s="1751">
        <f t="shared" si="16"/>
        <v>0</v>
      </c>
      <c r="BT52" s="1751">
        <f t="shared" si="16"/>
        <v>0</v>
      </c>
      <c r="BU52" s="1751">
        <f t="shared" si="16"/>
        <v>0</v>
      </c>
      <c r="BV52" s="1751">
        <f t="shared" si="16"/>
        <v>0</v>
      </c>
      <c r="BW52" s="1751">
        <f t="shared" si="16"/>
        <v>0</v>
      </c>
      <c r="BX52" s="1751">
        <f t="shared" si="16"/>
        <v>0</v>
      </c>
      <c r="BY52" s="1751">
        <f t="shared" si="16"/>
        <v>0</v>
      </c>
      <c r="BZ52" s="1751">
        <f t="shared" si="16"/>
        <v>0</v>
      </c>
      <c r="CA52" s="1751">
        <f t="shared" si="16"/>
        <v>0</v>
      </c>
      <c r="CB52" s="1751">
        <f t="shared" si="16"/>
        <v>0</v>
      </c>
      <c r="CC52" s="1751">
        <f t="shared" si="16"/>
        <v>0</v>
      </c>
      <c r="CD52" s="1751">
        <f t="shared" ref="CD52:CI52" si="17">CD51/9</f>
        <v>0</v>
      </c>
      <c r="CE52" s="1751">
        <f t="shared" si="17"/>
        <v>0</v>
      </c>
      <c r="CF52" s="1751">
        <f t="shared" si="17"/>
        <v>0</v>
      </c>
      <c r="CG52" s="1751">
        <f t="shared" si="17"/>
        <v>0</v>
      </c>
      <c r="CH52" s="1751">
        <f t="shared" si="17"/>
        <v>0</v>
      </c>
      <c r="CI52" s="1751">
        <f t="shared" si="17"/>
        <v>0</v>
      </c>
    </row>
    <row r="53" spans="1:87" s="66" customFormat="1" ht="21" customHeight="1" thickBot="1" x14ac:dyDescent="0.25">
      <c r="A53" s="1967" t="s">
        <v>1713</v>
      </c>
      <c r="B53" s="1954" t="s">
        <v>2236</v>
      </c>
      <c r="C53" s="1917"/>
      <c r="D53" s="1917"/>
      <c r="E53" s="1926"/>
      <c r="F53" s="1172"/>
      <c r="G53" s="1156"/>
      <c r="H53" s="1760"/>
      <c r="I53" s="1760"/>
      <c r="J53" s="1760"/>
      <c r="K53" s="1760"/>
      <c r="L53" s="1760"/>
      <c r="M53" s="1760"/>
      <c r="N53" s="1760"/>
      <c r="O53" s="1760"/>
      <c r="P53" s="1760"/>
      <c r="Q53" s="1760"/>
      <c r="R53" s="1760"/>
      <c r="S53" s="1760"/>
      <c r="T53" s="1760"/>
      <c r="U53" s="1760"/>
      <c r="V53" s="1760"/>
      <c r="W53" s="1760"/>
      <c r="X53" s="1760"/>
      <c r="Y53" s="1760"/>
      <c r="Z53" s="1760"/>
      <c r="AA53" s="1760"/>
      <c r="AB53" s="1760"/>
      <c r="AC53" s="1760"/>
      <c r="AD53" s="1760"/>
      <c r="AE53" s="1760"/>
      <c r="AF53" s="1760"/>
      <c r="AG53" s="1760"/>
      <c r="AH53" s="1760"/>
      <c r="AI53" s="1760"/>
      <c r="AJ53" s="1760"/>
      <c r="AK53" s="1760"/>
      <c r="AL53" s="1760"/>
      <c r="AM53" s="1760"/>
      <c r="AN53" s="1760"/>
      <c r="AO53" s="1760"/>
      <c r="AP53" s="1760"/>
      <c r="AQ53" s="1760"/>
      <c r="AR53" s="1760"/>
      <c r="AS53" s="1760"/>
      <c r="AT53" s="1760"/>
      <c r="AU53" s="1760"/>
      <c r="AV53" s="1760"/>
      <c r="AW53" s="1760"/>
      <c r="AX53" s="1760"/>
      <c r="AY53" s="1760"/>
      <c r="AZ53" s="1760"/>
      <c r="BA53" s="1760"/>
      <c r="BB53" s="1760"/>
      <c r="BC53" s="1760"/>
      <c r="BD53" s="1760"/>
      <c r="BE53" s="1760"/>
      <c r="BF53" s="1760"/>
      <c r="BG53" s="1760"/>
      <c r="BH53" s="1760"/>
      <c r="BI53" s="1760"/>
      <c r="BJ53" s="1760"/>
      <c r="BK53" s="1760"/>
      <c r="BL53" s="1760"/>
      <c r="BM53" s="1760"/>
      <c r="BN53" s="1760"/>
      <c r="BO53" s="1760"/>
      <c r="BP53" s="1760"/>
      <c r="BQ53" s="1760"/>
      <c r="BR53" s="1760"/>
      <c r="BS53" s="1760"/>
      <c r="BT53" s="1760"/>
      <c r="BU53" s="1760"/>
      <c r="BV53" s="1760"/>
      <c r="BW53" s="1760"/>
      <c r="BX53" s="1760"/>
      <c r="BY53" s="1760"/>
      <c r="BZ53" s="1760"/>
      <c r="CA53" s="1760"/>
      <c r="CB53" s="1760"/>
      <c r="CC53" s="1760"/>
      <c r="CD53" s="1760"/>
      <c r="CE53" s="1760"/>
      <c r="CF53" s="1760"/>
      <c r="CG53" s="1760"/>
      <c r="CH53" s="1760"/>
      <c r="CI53" s="1760"/>
    </row>
    <row r="54" spans="1:87" s="66" customFormat="1" ht="21" customHeight="1" thickBot="1" x14ac:dyDescent="0.25">
      <c r="A54" s="1968"/>
      <c r="B54" s="1927" t="s">
        <v>2455</v>
      </c>
      <c r="C54" s="1928"/>
      <c r="D54" s="1928"/>
      <c r="E54" s="1929"/>
      <c r="F54" s="1175"/>
      <c r="G54" s="1156"/>
      <c r="H54" s="1763"/>
      <c r="I54" s="1763"/>
      <c r="J54" s="1763"/>
      <c r="K54" s="1763"/>
      <c r="L54" s="1763"/>
      <c r="M54" s="1763"/>
      <c r="N54" s="1763"/>
      <c r="O54" s="1763"/>
      <c r="P54" s="1763"/>
      <c r="Q54" s="1763"/>
      <c r="R54" s="1763"/>
      <c r="S54" s="1763"/>
      <c r="T54" s="1763"/>
      <c r="U54" s="1763"/>
      <c r="V54" s="1763"/>
      <c r="W54" s="1763"/>
      <c r="X54" s="1763"/>
      <c r="Y54" s="1763"/>
      <c r="Z54" s="1763"/>
      <c r="AA54" s="1763"/>
      <c r="AB54" s="1763"/>
      <c r="AC54" s="1763"/>
      <c r="AD54" s="1763"/>
      <c r="AE54" s="1763"/>
      <c r="AF54" s="1763"/>
      <c r="AG54" s="1763"/>
      <c r="AH54" s="1763"/>
      <c r="AI54" s="1763"/>
      <c r="AJ54" s="1763"/>
      <c r="AK54" s="1763"/>
      <c r="AL54" s="1763"/>
      <c r="AM54" s="1763"/>
      <c r="AN54" s="1763"/>
      <c r="AO54" s="1763"/>
      <c r="AP54" s="1763"/>
      <c r="AQ54" s="1763"/>
      <c r="AR54" s="1763"/>
      <c r="AS54" s="1763"/>
      <c r="AT54" s="1763"/>
      <c r="AU54" s="1763"/>
      <c r="AV54" s="1763"/>
      <c r="AW54" s="1763"/>
      <c r="AX54" s="1763"/>
      <c r="AY54" s="1763"/>
      <c r="AZ54" s="1763"/>
      <c r="BA54" s="1763"/>
      <c r="BB54" s="1763"/>
      <c r="BC54" s="1763"/>
      <c r="BD54" s="1763"/>
      <c r="BE54" s="1763"/>
      <c r="BF54" s="1763"/>
      <c r="BG54" s="1763"/>
      <c r="BH54" s="1763"/>
      <c r="BI54" s="1763"/>
      <c r="BJ54" s="1763"/>
      <c r="BK54" s="1763"/>
      <c r="BL54" s="1763"/>
      <c r="BM54" s="1763"/>
      <c r="BN54" s="1763"/>
      <c r="BO54" s="1763"/>
      <c r="BP54" s="1763"/>
      <c r="BQ54" s="1763"/>
      <c r="BR54" s="1763"/>
      <c r="BS54" s="1763"/>
      <c r="BT54" s="1763"/>
      <c r="BU54" s="1763"/>
      <c r="BV54" s="1763"/>
      <c r="BW54" s="1763"/>
      <c r="BX54" s="1763"/>
      <c r="BY54" s="1763"/>
      <c r="BZ54" s="1763"/>
      <c r="CA54" s="1763"/>
      <c r="CB54" s="1763"/>
      <c r="CC54" s="1763"/>
      <c r="CD54" s="1763"/>
      <c r="CE54" s="1763"/>
      <c r="CF54" s="1763"/>
      <c r="CG54" s="1763"/>
      <c r="CH54" s="1763"/>
      <c r="CI54" s="1763"/>
    </row>
    <row r="55" spans="1:87" s="66" customFormat="1" ht="15" customHeight="1" thickBot="1" x14ac:dyDescent="0.25">
      <c r="A55" s="1968"/>
      <c r="B55" s="1916" t="s">
        <v>1735</v>
      </c>
      <c r="C55" s="1917"/>
      <c r="D55" s="1917"/>
      <c r="E55" s="1926"/>
      <c r="F55" s="703"/>
      <c r="G55" s="1158"/>
      <c r="H55" s="1744"/>
      <c r="I55" s="1744"/>
      <c r="J55" s="1744"/>
      <c r="K55" s="1744"/>
      <c r="L55" s="1744"/>
      <c r="M55" s="1744"/>
      <c r="N55" s="1744"/>
      <c r="O55" s="1744"/>
      <c r="P55" s="1744"/>
      <c r="Q55" s="1744"/>
      <c r="R55" s="1744"/>
      <c r="S55" s="1744"/>
      <c r="T55" s="1744"/>
      <c r="U55" s="1744"/>
      <c r="V55" s="1744"/>
      <c r="W55" s="1744"/>
      <c r="X55" s="1744"/>
      <c r="Y55" s="1744"/>
      <c r="Z55" s="1744"/>
      <c r="AA55" s="1744"/>
      <c r="AB55" s="1744"/>
      <c r="AC55" s="1744"/>
      <c r="AD55" s="1744"/>
      <c r="AE55" s="1744"/>
      <c r="AF55" s="1744"/>
      <c r="AG55" s="1744"/>
      <c r="AH55" s="1744"/>
      <c r="AI55" s="1744"/>
      <c r="AJ55" s="1744"/>
      <c r="AK55" s="1744"/>
      <c r="AL55" s="1744"/>
      <c r="AM55" s="1744"/>
      <c r="AN55" s="1744"/>
      <c r="AO55" s="1744"/>
      <c r="AP55" s="1744"/>
      <c r="AQ55" s="1744"/>
      <c r="AR55" s="1744"/>
      <c r="AS55" s="1744"/>
      <c r="AT55" s="1744"/>
      <c r="AU55" s="1744"/>
      <c r="AV55" s="1744"/>
      <c r="AW55" s="1744"/>
      <c r="AX55" s="1744"/>
      <c r="AY55" s="1744"/>
      <c r="AZ55" s="1744"/>
      <c r="BA55" s="1744"/>
      <c r="BB55" s="1744"/>
      <c r="BC55" s="1744"/>
      <c r="BD55" s="1744"/>
      <c r="BE55" s="1744"/>
      <c r="BF55" s="1744"/>
      <c r="BG55" s="1744"/>
      <c r="BH55" s="1744"/>
      <c r="BI55" s="1744"/>
      <c r="BJ55" s="1744"/>
      <c r="BK55" s="1744"/>
      <c r="BL55" s="1744"/>
      <c r="BM55" s="1744"/>
      <c r="BN55" s="1744"/>
      <c r="BO55" s="1744"/>
      <c r="BP55" s="1744"/>
      <c r="BQ55" s="1744"/>
      <c r="BR55" s="1744"/>
      <c r="BS55" s="1744"/>
      <c r="BT55" s="1744"/>
      <c r="BU55" s="1744"/>
      <c r="BV55" s="1744"/>
      <c r="BW55" s="1744"/>
      <c r="BX55" s="1744"/>
      <c r="BY55" s="1744"/>
      <c r="BZ55" s="1744"/>
      <c r="CA55" s="1744"/>
      <c r="CB55" s="1744"/>
      <c r="CC55" s="1744"/>
      <c r="CD55" s="1744"/>
      <c r="CE55" s="1744"/>
      <c r="CF55" s="1744"/>
      <c r="CG55" s="1744"/>
      <c r="CH55" s="1744"/>
      <c r="CI55" s="1744"/>
    </row>
    <row r="56" spans="1:87" s="66" customFormat="1" ht="15" customHeight="1" thickBot="1" x14ac:dyDescent="0.25">
      <c r="A56" s="1968"/>
      <c r="B56" s="1916" t="s">
        <v>1736</v>
      </c>
      <c r="C56" s="1917"/>
      <c r="D56" s="1917"/>
      <c r="E56" s="1926"/>
      <c r="F56" s="703"/>
      <c r="G56" s="1158"/>
      <c r="H56" s="1744"/>
      <c r="I56" s="1744"/>
      <c r="J56" s="1744"/>
      <c r="K56" s="1744"/>
      <c r="L56" s="1744"/>
      <c r="M56" s="1744"/>
      <c r="N56" s="1744"/>
      <c r="O56" s="1744"/>
      <c r="P56" s="1744"/>
      <c r="Q56" s="1744"/>
      <c r="R56" s="1744"/>
      <c r="S56" s="1744"/>
      <c r="T56" s="1744"/>
      <c r="U56" s="1744"/>
      <c r="V56" s="1744"/>
      <c r="W56" s="1744"/>
      <c r="X56" s="1744"/>
      <c r="Y56" s="1744"/>
      <c r="Z56" s="1744"/>
      <c r="AA56" s="1744"/>
      <c r="AB56" s="1744"/>
      <c r="AC56" s="1744"/>
      <c r="AD56" s="1744"/>
      <c r="AE56" s="1744"/>
      <c r="AF56" s="1744"/>
      <c r="AG56" s="1744"/>
      <c r="AH56" s="1744"/>
      <c r="AI56" s="1744"/>
      <c r="AJ56" s="1744"/>
      <c r="AK56" s="1744"/>
      <c r="AL56" s="1744"/>
      <c r="AM56" s="1744"/>
      <c r="AN56" s="1744"/>
      <c r="AO56" s="1744"/>
      <c r="AP56" s="1744"/>
      <c r="AQ56" s="1744"/>
      <c r="AR56" s="1744"/>
      <c r="AS56" s="1744"/>
      <c r="AT56" s="1744"/>
      <c r="AU56" s="1744"/>
      <c r="AV56" s="1744"/>
      <c r="AW56" s="1744"/>
      <c r="AX56" s="1744"/>
      <c r="AY56" s="1744"/>
      <c r="AZ56" s="1744"/>
      <c r="BA56" s="1744"/>
      <c r="BB56" s="1744"/>
      <c r="BC56" s="1744"/>
      <c r="BD56" s="1744"/>
      <c r="BE56" s="1744"/>
      <c r="BF56" s="1744"/>
      <c r="BG56" s="1744"/>
      <c r="BH56" s="1744"/>
      <c r="BI56" s="1744"/>
      <c r="BJ56" s="1744"/>
      <c r="BK56" s="1744"/>
      <c r="BL56" s="1744"/>
      <c r="BM56" s="1744"/>
      <c r="BN56" s="1744"/>
      <c r="BO56" s="1744"/>
      <c r="BP56" s="1744"/>
      <c r="BQ56" s="1744"/>
      <c r="BR56" s="1744"/>
      <c r="BS56" s="1744"/>
      <c r="BT56" s="1744"/>
      <c r="BU56" s="1744"/>
      <c r="BV56" s="1744"/>
      <c r="BW56" s="1744"/>
      <c r="BX56" s="1744"/>
      <c r="BY56" s="1744"/>
      <c r="BZ56" s="1744"/>
      <c r="CA56" s="1744"/>
      <c r="CB56" s="1744"/>
      <c r="CC56" s="1744"/>
      <c r="CD56" s="1744"/>
      <c r="CE56" s="1744"/>
      <c r="CF56" s="1744"/>
      <c r="CG56" s="1744"/>
      <c r="CH56" s="1744"/>
      <c r="CI56" s="1744"/>
    </row>
    <row r="57" spans="1:87" s="66" customFormat="1" ht="15" customHeight="1" thickBot="1" x14ac:dyDescent="0.25">
      <c r="A57" s="1968"/>
      <c r="B57" s="1916" t="s">
        <v>1737</v>
      </c>
      <c r="C57" s="1917"/>
      <c r="D57" s="1917"/>
      <c r="E57" s="1926"/>
      <c r="F57" s="703"/>
      <c r="G57" s="1158"/>
      <c r="H57" s="1744"/>
      <c r="I57" s="1744"/>
      <c r="J57" s="1744"/>
      <c r="K57" s="1744"/>
      <c r="L57" s="1744"/>
      <c r="M57" s="1744"/>
      <c r="N57" s="1744"/>
      <c r="O57" s="1744"/>
      <c r="P57" s="1744"/>
      <c r="Q57" s="1744"/>
      <c r="R57" s="1744"/>
      <c r="S57" s="1744"/>
      <c r="T57" s="1744"/>
      <c r="U57" s="1744"/>
      <c r="V57" s="1744"/>
      <c r="W57" s="1744"/>
      <c r="X57" s="1744"/>
      <c r="Y57" s="1744"/>
      <c r="Z57" s="1744"/>
      <c r="AA57" s="1744"/>
      <c r="AB57" s="1744"/>
      <c r="AC57" s="1744"/>
      <c r="AD57" s="1744"/>
      <c r="AE57" s="1744"/>
      <c r="AF57" s="1744"/>
      <c r="AG57" s="1744"/>
      <c r="AH57" s="1744"/>
      <c r="AI57" s="1744"/>
      <c r="AJ57" s="1744"/>
      <c r="AK57" s="1744"/>
      <c r="AL57" s="1744"/>
      <c r="AM57" s="1744"/>
      <c r="AN57" s="1744"/>
      <c r="AO57" s="1744"/>
      <c r="AP57" s="1744"/>
      <c r="AQ57" s="1744"/>
      <c r="AR57" s="1744"/>
      <c r="AS57" s="1744"/>
      <c r="AT57" s="1744"/>
      <c r="AU57" s="1744"/>
      <c r="AV57" s="1744"/>
      <c r="AW57" s="1744"/>
      <c r="AX57" s="1744"/>
      <c r="AY57" s="1744"/>
      <c r="AZ57" s="1744"/>
      <c r="BA57" s="1744"/>
      <c r="BB57" s="1744"/>
      <c r="BC57" s="1744"/>
      <c r="BD57" s="1744"/>
      <c r="BE57" s="1744"/>
      <c r="BF57" s="1744"/>
      <c r="BG57" s="1744"/>
      <c r="BH57" s="1744"/>
      <c r="BI57" s="1744"/>
      <c r="BJ57" s="1744"/>
      <c r="BK57" s="1744"/>
      <c r="BL57" s="1744"/>
      <c r="BM57" s="1744"/>
      <c r="BN57" s="1744"/>
      <c r="BO57" s="1744"/>
      <c r="BP57" s="1744"/>
      <c r="BQ57" s="1744"/>
      <c r="BR57" s="1744"/>
      <c r="BS57" s="1744"/>
      <c r="BT57" s="1744"/>
      <c r="BU57" s="1744"/>
      <c r="BV57" s="1744"/>
      <c r="BW57" s="1744"/>
      <c r="BX57" s="1744"/>
      <c r="BY57" s="1744"/>
      <c r="BZ57" s="1744"/>
      <c r="CA57" s="1744"/>
      <c r="CB57" s="1744"/>
      <c r="CC57" s="1744"/>
      <c r="CD57" s="1744"/>
      <c r="CE57" s="1744"/>
      <c r="CF57" s="1744"/>
      <c r="CG57" s="1744"/>
      <c r="CH57" s="1744"/>
      <c r="CI57" s="1744"/>
    </row>
    <row r="58" spans="1:87" s="66" customFormat="1" ht="15" customHeight="1" thickBot="1" x14ac:dyDescent="0.25">
      <c r="A58" s="1968"/>
      <c r="B58" s="1916" t="s">
        <v>1738</v>
      </c>
      <c r="C58" s="1917"/>
      <c r="D58" s="1917"/>
      <c r="E58" s="1926"/>
      <c r="F58" s="703"/>
      <c r="G58" s="1158"/>
      <c r="H58" s="1744"/>
      <c r="I58" s="1744"/>
      <c r="J58" s="1744"/>
      <c r="K58" s="1744"/>
      <c r="L58" s="1744"/>
      <c r="M58" s="1744"/>
      <c r="N58" s="1744"/>
      <c r="O58" s="1744"/>
      <c r="P58" s="1744"/>
      <c r="Q58" s="1744"/>
      <c r="R58" s="1744"/>
      <c r="S58" s="1744"/>
      <c r="T58" s="1744"/>
      <c r="U58" s="1744"/>
      <c r="V58" s="1744"/>
      <c r="W58" s="1744"/>
      <c r="X58" s="1744"/>
      <c r="Y58" s="1744"/>
      <c r="Z58" s="1744"/>
      <c r="AA58" s="1744"/>
      <c r="AB58" s="1744"/>
      <c r="AC58" s="1744"/>
      <c r="AD58" s="1744"/>
      <c r="AE58" s="1744"/>
      <c r="AF58" s="1744"/>
      <c r="AG58" s="1744"/>
      <c r="AH58" s="1744"/>
      <c r="AI58" s="1744"/>
      <c r="AJ58" s="1744"/>
      <c r="AK58" s="1744"/>
      <c r="AL58" s="1744"/>
      <c r="AM58" s="1744"/>
      <c r="AN58" s="1744"/>
      <c r="AO58" s="1744"/>
      <c r="AP58" s="1744"/>
      <c r="AQ58" s="1744"/>
      <c r="AR58" s="1744"/>
      <c r="AS58" s="1744"/>
      <c r="AT58" s="1744"/>
      <c r="AU58" s="1744"/>
      <c r="AV58" s="1744"/>
      <c r="AW58" s="1744"/>
      <c r="AX58" s="1744"/>
      <c r="AY58" s="1744"/>
      <c r="AZ58" s="1744"/>
      <c r="BA58" s="1744"/>
      <c r="BB58" s="1744"/>
      <c r="BC58" s="1744"/>
      <c r="BD58" s="1744"/>
      <c r="BE58" s="1744"/>
      <c r="BF58" s="1744"/>
      <c r="BG58" s="1744"/>
      <c r="BH58" s="1744"/>
      <c r="BI58" s="1744"/>
      <c r="BJ58" s="1744"/>
      <c r="BK58" s="1744"/>
      <c r="BL58" s="1744"/>
      <c r="BM58" s="1744"/>
      <c r="BN58" s="1744"/>
      <c r="BO58" s="1744"/>
      <c r="BP58" s="1744"/>
      <c r="BQ58" s="1744"/>
      <c r="BR58" s="1744"/>
      <c r="BS58" s="1744"/>
      <c r="BT58" s="1744"/>
      <c r="BU58" s="1744"/>
      <c r="BV58" s="1744"/>
      <c r="BW58" s="1744"/>
      <c r="BX58" s="1744"/>
      <c r="BY58" s="1744"/>
      <c r="BZ58" s="1744"/>
      <c r="CA58" s="1744"/>
      <c r="CB58" s="1744"/>
      <c r="CC58" s="1744"/>
      <c r="CD58" s="1744"/>
      <c r="CE58" s="1744"/>
      <c r="CF58" s="1744"/>
      <c r="CG58" s="1744"/>
      <c r="CH58" s="1744"/>
      <c r="CI58" s="1744"/>
    </row>
    <row r="59" spans="1:87" s="66" customFormat="1" ht="15" customHeight="1" thickBot="1" x14ac:dyDescent="0.25">
      <c r="A59" s="1968"/>
      <c r="B59" s="1916" t="s">
        <v>1739</v>
      </c>
      <c r="C59" s="1917"/>
      <c r="D59" s="1917"/>
      <c r="E59" s="1926"/>
      <c r="F59" s="703"/>
      <c r="G59" s="1158"/>
      <c r="H59" s="1744"/>
      <c r="I59" s="1744"/>
      <c r="J59" s="1744"/>
      <c r="K59" s="1744"/>
      <c r="L59" s="1744"/>
      <c r="M59" s="1744"/>
      <c r="N59" s="1744"/>
      <c r="O59" s="1744"/>
      <c r="P59" s="1744"/>
      <c r="Q59" s="1744"/>
      <c r="R59" s="1744"/>
      <c r="S59" s="1744"/>
      <c r="T59" s="1744"/>
      <c r="U59" s="1744"/>
      <c r="V59" s="1744"/>
      <c r="W59" s="1744"/>
      <c r="X59" s="1744"/>
      <c r="Y59" s="1744"/>
      <c r="Z59" s="1744"/>
      <c r="AA59" s="1744"/>
      <c r="AB59" s="1744"/>
      <c r="AC59" s="1744"/>
      <c r="AD59" s="1744"/>
      <c r="AE59" s="1744"/>
      <c r="AF59" s="1744"/>
      <c r="AG59" s="1744"/>
      <c r="AH59" s="1744"/>
      <c r="AI59" s="1744"/>
      <c r="AJ59" s="1744"/>
      <c r="AK59" s="1744"/>
      <c r="AL59" s="1744"/>
      <c r="AM59" s="1744"/>
      <c r="AN59" s="1744"/>
      <c r="AO59" s="1744"/>
      <c r="AP59" s="1744"/>
      <c r="AQ59" s="1744"/>
      <c r="AR59" s="1744"/>
      <c r="AS59" s="1744"/>
      <c r="AT59" s="1744"/>
      <c r="AU59" s="1744"/>
      <c r="AV59" s="1744"/>
      <c r="AW59" s="1744"/>
      <c r="AX59" s="1744"/>
      <c r="AY59" s="1744"/>
      <c r="AZ59" s="1744"/>
      <c r="BA59" s="1744"/>
      <c r="BB59" s="1744"/>
      <c r="BC59" s="1744"/>
      <c r="BD59" s="1744"/>
      <c r="BE59" s="1744"/>
      <c r="BF59" s="1744"/>
      <c r="BG59" s="1744"/>
      <c r="BH59" s="1744"/>
      <c r="BI59" s="1744"/>
      <c r="BJ59" s="1744"/>
      <c r="BK59" s="1744"/>
      <c r="BL59" s="1744"/>
      <c r="BM59" s="1744"/>
      <c r="BN59" s="1744"/>
      <c r="BO59" s="1744"/>
      <c r="BP59" s="1744"/>
      <c r="BQ59" s="1744"/>
      <c r="BR59" s="1744"/>
      <c r="BS59" s="1744"/>
      <c r="BT59" s="1744"/>
      <c r="BU59" s="1744"/>
      <c r="BV59" s="1744"/>
      <c r="BW59" s="1744"/>
      <c r="BX59" s="1744"/>
      <c r="BY59" s="1744"/>
      <c r="BZ59" s="1744"/>
      <c r="CA59" s="1744"/>
      <c r="CB59" s="1744"/>
      <c r="CC59" s="1744"/>
      <c r="CD59" s="1744"/>
      <c r="CE59" s="1744"/>
      <c r="CF59" s="1744"/>
      <c r="CG59" s="1744"/>
      <c r="CH59" s="1744"/>
      <c r="CI59" s="1744"/>
    </row>
    <row r="60" spans="1:87" s="66" customFormat="1" ht="15" customHeight="1" thickBot="1" x14ac:dyDescent="0.25">
      <c r="A60" s="1968"/>
      <c r="B60" s="1916" t="s">
        <v>1740</v>
      </c>
      <c r="C60" s="1917"/>
      <c r="D60" s="1917"/>
      <c r="E60" s="1926"/>
      <c r="F60" s="703"/>
      <c r="G60" s="1158"/>
      <c r="H60" s="1744"/>
      <c r="I60" s="1744"/>
      <c r="J60" s="1744"/>
      <c r="K60" s="1744"/>
      <c r="L60" s="1744"/>
      <c r="M60" s="1744"/>
      <c r="N60" s="1744"/>
      <c r="O60" s="1744"/>
      <c r="P60" s="1744"/>
      <c r="Q60" s="1744"/>
      <c r="R60" s="1744"/>
      <c r="S60" s="1744"/>
      <c r="T60" s="1744"/>
      <c r="U60" s="1744"/>
      <c r="V60" s="1744"/>
      <c r="W60" s="1744"/>
      <c r="X60" s="1744"/>
      <c r="Y60" s="1744"/>
      <c r="Z60" s="1744"/>
      <c r="AA60" s="1744"/>
      <c r="AB60" s="1744"/>
      <c r="AC60" s="1744"/>
      <c r="AD60" s="1744"/>
      <c r="AE60" s="1744"/>
      <c r="AF60" s="1744"/>
      <c r="AG60" s="1744"/>
      <c r="AH60" s="1744"/>
      <c r="AI60" s="1744"/>
      <c r="AJ60" s="1744"/>
      <c r="AK60" s="1744"/>
      <c r="AL60" s="1744"/>
      <c r="AM60" s="1744"/>
      <c r="AN60" s="1744"/>
      <c r="AO60" s="1744"/>
      <c r="AP60" s="1744"/>
      <c r="AQ60" s="1744"/>
      <c r="AR60" s="1744"/>
      <c r="AS60" s="1744"/>
      <c r="AT60" s="1744"/>
      <c r="AU60" s="1744"/>
      <c r="AV60" s="1744"/>
      <c r="AW60" s="1744"/>
      <c r="AX60" s="1744"/>
      <c r="AY60" s="1744"/>
      <c r="AZ60" s="1744"/>
      <c r="BA60" s="1744"/>
      <c r="BB60" s="1744"/>
      <c r="BC60" s="1744"/>
      <c r="BD60" s="1744"/>
      <c r="BE60" s="1744"/>
      <c r="BF60" s="1744"/>
      <c r="BG60" s="1744"/>
      <c r="BH60" s="1744"/>
      <c r="BI60" s="1744"/>
      <c r="BJ60" s="1744"/>
      <c r="BK60" s="1744"/>
      <c r="BL60" s="1744"/>
      <c r="BM60" s="1744"/>
      <c r="BN60" s="1744"/>
      <c r="BO60" s="1744"/>
      <c r="BP60" s="1744"/>
      <c r="BQ60" s="1744"/>
      <c r="BR60" s="1744"/>
      <c r="BS60" s="1744"/>
      <c r="BT60" s="1744"/>
      <c r="BU60" s="1744"/>
      <c r="BV60" s="1744"/>
      <c r="BW60" s="1744"/>
      <c r="BX60" s="1744"/>
      <c r="BY60" s="1744"/>
      <c r="BZ60" s="1744"/>
      <c r="CA60" s="1744"/>
      <c r="CB60" s="1744"/>
      <c r="CC60" s="1744"/>
      <c r="CD60" s="1744"/>
      <c r="CE60" s="1744"/>
      <c r="CF60" s="1744"/>
      <c r="CG60" s="1744"/>
      <c r="CH60" s="1744"/>
      <c r="CI60" s="1744"/>
    </row>
    <row r="61" spans="1:87" s="66" customFormat="1" ht="15" customHeight="1" thickBot="1" x14ac:dyDescent="0.25">
      <c r="A61" s="1968"/>
      <c r="B61" s="1916" t="s">
        <v>1741</v>
      </c>
      <c r="C61" s="1917"/>
      <c r="D61" s="1917"/>
      <c r="E61" s="1926"/>
      <c r="F61" s="703"/>
      <c r="G61" s="1158"/>
      <c r="H61" s="1744"/>
      <c r="I61" s="1744"/>
      <c r="J61" s="1744"/>
      <c r="K61" s="1744"/>
      <c r="L61" s="1744"/>
      <c r="M61" s="1744"/>
      <c r="N61" s="1744"/>
      <c r="O61" s="1744"/>
      <c r="P61" s="1744"/>
      <c r="Q61" s="1744"/>
      <c r="R61" s="1744"/>
      <c r="S61" s="1744"/>
      <c r="T61" s="1744"/>
      <c r="U61" s="1744"/>
      <c r="V61" s="1744"/>
      <c r="W61" s="1744"/>
      <c r="X61" s="1744"/>
      <c r="Y61" s="1744"/>
      <c r="Z61" s="1744"/>
      <c r="AA61" s="1744"/>
      <c r="AB61" s="1744"/>
      <c r="AC61" s="1744"/>
      <c r="AD61" s="1744"/>
      <c r="AE61" s="1744"/>
      <c r="AF61" s="1744"/>
      <c r="AG61" s="1744"/>
      <c r="AH61" s="1744"/>
      <c r="AI61" s="1744"/>
      <c r="AJ61" s="1744"/>
      <c r="AK61" s="1744"/>
      <c r="AL61" s="1744"/>
      <c r="AM61" s="1744"/>
      <c r="AN61" s="1744"/>
      <c r="AO61" s="1744"/>
      <c r="AP61" s="1744"/>
      <c r="AQ61" s="1744"/>
      <c r="AR61" s="1744"/>
      <c r="AS61" s="1744"/>
      <c r="AT61" s="1744"/>
      <c r="AU61" s="1744"/>
      <c r="AV61" s="1744"/>
      <c r="AW61" s="1744"/>
      <c r="AX61" s="1744"/>
      <c r="AY61" s="1744"/>
      <c r="AZ61" s="1744"/>
      <c r="BA61" s="1744"/>
      <c r="BB61" s="1744"/>
      <c r="BC61" s="1744"/>
      <c r="BD61" s="1744"/>
      <c r="BE61" s="1744"/>
      <c r="BF61" s="1744"/>
      <c r="BG61" s="1744"/>
      <c r="BH61" s="1744"/>
      <c r="BI61" s="1744"/>
      <c r="BJ61" s="1744"/>
      <c r="BK61" s="1744"/>
      <c r="BL61" s="1744"/>
      <c r="BM61" s="1744"/>
      <c r="BN61" s="1744"/>
      <c r="BO61" s="1744"/>
      <c r="BP61" s="1744"/>
      <c r="BQ61" s="1744"/>
      <c r="BR61" s="1744"/>
      <c r="BS61" s="1744"/>
      <c r="BT61" s="1744"/>
      <c r="BU61" s="1744"/>
      <c r="BV61" s="1744"/>
      <c r="BW61" s="1744"/>
      <c r="BX61" s="1744"/>
      <c r="BY61" s="1744"/>
      <c r="BZ61" s="1744"/>
      <c r="CA61" s="1744"/>
      <c r="CB61" s="1744"/>
      <c r="CC61" s="1744"/>
      <c r="CD61" s="1744"/>
      <c r="CE61" s="1744"/>
      <c r="CF61" s="1744"/>
      <c r="CG61" s="1744"/>
      <c r="CH61" s="1744"/>
      <c r="CI61" s="1744"/>
    </row>
    <row r="62" spans="1:87" s="66" customFormat="1" ht="15" customHeight="1" thickBot="1" x14ac:dyDescent="0.25">
      <c r="A62" s="1968"/>
      <c r="B62" s="1916" t="s">
        <v>1742</v>
      </c>
      <c r="C62" s="1917"/>
      <c r="D62" s="1917"/>
      <c r="E62" s="1926"/>
      <c r="F62" s="703"/>
      <c r="G62" s="1158"/>
      <c r="H62" s="1744"/>
      <c r="I62" s="1744"/>
      <c r="J62" s="1744"/>
      <c r="K62" s="1744"/>
      <c r="L62" s="1744"/>
      <c r="M62" s="1744"/>
      <c r="N62" s="1744"/>
      <c r="O62" s="1744"/>
      <c r="P62" s="1744"/>
      <c r="Q62" s="1744"/>
      <c r="R62" s="1744"/>
      <c r="S62" s="1744"/>
      <c r="T62" s="1744"/>
      <c r="U62" s="1744"/>
      <c r="V62" s="1744"/>
      <c r="W62" s="1744"/>
      <c r="X62" s="1744"/>
      <c r="Y62" s="1744"/>
      <c r="Z62" s="1744"/>
      <c r="AA62" s="1744"/>
      <c r="AB62" s="1744"/>
      <c r="AC62" s="1744"/>
      <c r="AD62" s="1744"/>
      <c r="AE62" s="1744"/>
      <c r="AF62" s="1744"/>
      <c r="AG62" s="1744"/>
      <c r="AH62" s="1744"/>
      <c r="AI62" s="1744"/>
      <c r="AJ62" s="1744"/>
      <c r="AK62" s="1744"/>
      <c r="AL62" s="1744"/>
      <c r="AM62" s="1744"/>
      <c r="AN62" s="1744"/>
      <c r="AO62" s="1744"/>
      <c r="AP62" s="1744"/>
      <c r="AQ62" s="1744"/>
      <c r="AR62" s="1744"/>
      <c r="AS62" s="1744"/>
      <c r="AT62" s="1744"/>
      <c r="AU62" s="1744"/>
      <c r="AV62" s="1744"/>
      <c r="AW62" s="1744"/>
      <c r="AX62" s="1744"/>
      <c r="AY62" s="1744"/>
      <c r="AZ62" s="1744"/>
      <c r="BA62" s="1744"/>
      <c r="BB62" s="1744"/>
      <c r="BC62" s="1744"/>
      <c r="BD62" s="1744"/>
      <c r="BE62" s="1744"/>
      <c r="BF62" s="1744"/>
      <c r="BG62" s="1744"/>
      <c r="BH62" s="1744"/>
      <c r="BI62" s="1744"/>
      <c r="BJ62" s="1744"/>
      <c r="BK62" s="1744"/>
      <c r="BL62" s="1744"/>
      <c r="BM62" s="1744"/>
      <c r="BN62" s="1744"/>
      <c r="BO62" s="1744"/>
      <c r="BP62" s="1744"/>
      <c r="BQ62" s="1744"/>
      <c r="BR62" s="1744"/>
      <c r="BS62" s="1744"/>
      <c r="BT62" s="1744"/>
      <c r="BU62" s="1744"/>
      <c r="BV62" s="1744"/>
      <c r="BW62" s="1744"/>
      <c r="BX62" s="1744"/>
      <c r="BY62" s="1744"/>
      <c r="BZ62" s="1744"/>
      <c r="CA62" s="1744"/>
      <c r="CB62" s="1744"/>
      <c r="CC62" s="1744"/>
      <c r="CD62" s="1744"/>
      <c r="CE62" s="1744"/>
      <c r="CF62" s="1744"/>
      <c r="CG62" s="1744"/>
      <c r="CH62" s="1744"/>
      <c r="CI62" s="1744"/>
    </row>
    <row r="63" spans="1:87" s="66" customFormat="1" ht="39" customHeight="1" thickBot="1" x14ac:dyDescent="0.25">
      <c r="A63" s="1968"/>
      <c r="B63" s="1927" t="s">
        <v>1323</v>
      </c>
      <c r="C63" s="1962"/>
      <c r="D63" s="1962"/>
      <c r="E63" s="1963"/>
      <c r="F63" s="707"/>
      <c r="G63" s="1156"/>
      <c r="H63" s="1748"/>
      <c r="I63" s="1748"/>
      <c r="J63" s="1748"/>
      <c r="K63" s="1748"/>
      <c r="L63" s="1748"/>
      <c r="M63" s="1748"/>
      <c r="N63" s="1748"/>
      <c r="O63" s="1748"/>
      <c r="P63" s="1748"/>
      <c r="Q63" s="1748"/>
      <c r="R63" s="1748"/>
      <c r="S63" s="1748"/>
      <c r="T63" s="1748"/>
      <c r="U63" s="1748"/>
      <c r="V63" s="1748"/>
      <c r="W63" s="1748"/>
      <c r="X63" s="1748"/>
      <c r="Y63" s="1748"/>
      <c r="Z63" s="1748"/>
      <c r="AA63" s="1748"/>
      <c r="AB63" s="1748"/>
      <c r="AC63" s="1748"/>
      <c r="AD63" s="1748"/>
      <c r="AE63" s="1748"/>
      <c r="AF63" s="1748"/>
      <c r="AG63" s="1748"/>
      <c r="AH63" s="1748"/>
      <c r="AI63" s="1748"/>
      <c r="AJ63" s="1748"/>
      <c r="AK63" s="1748"/>
      <c r="AL63" s="1748"/>
      <c r="AM63" s="1748"/>
      <c r="AN63" s="1748"/>
      <c r="AO63" s="1748"/>
      <c r="AP63" s="1748"/>
      <c r="AQ63" s="1748"/>
      <c r="AR63" s="1748"/>
      <c r="AS63" s="1748"/>
      <c r="AT63" s="1748"/>
      <c r="AU63" s="1748"/>
      <c r="AV63" s="1748"/>
      <c r="AW63" s="1748"/>
      <c r="AX63" s="1748"/>
      <c r="AY63" s="1748"/>
      <c r="AZ63" s="1748"/>
      <c r="BA63" s="1748"/>
      <c r="BB63" s="1748"/>
      <c r="BC63" s="1748"/>
      <c r="BD63" s="1748"/>
      <c r="BE63" s="1748"/>
      <c r="BF63" s="1748"/>
      <c r="BG63" s="1748"/>
      <c r="BH63" s="1748"/>
      <c r="BI63" s="1748"/>
      <c r="BJ63" s="1748"/>
      <c r="BK63" s="1748"/>
      <c r="BL63" s="1748"/>
      <c r="BM63" s="1748"/>
      <c r="BN63" s="1748"/>
      <c r="BO63" s="1748"/>
      <c r="BP63" s="1748"/>
      <c r="BQ63" s="1748"/>
      <c r="BR63" s="1748"/>
      <c r="BS63" s="1748"/>
      <c r="BT63" s="1748"/>
      <c r="BU63" s="1748"/>
      <c r="BV63" s="1748"/>
      <c r="BW63" s="1748"/>
      <c r="BX63" s="1748"/>
      <c r="BY63" s="1748"/>
      <c r="BZ63" s="1748"/>
      <c r="CA63" s="1748"/>
      <c r="CB63" s="1748"/>
      <c r="CC63" s="1748"/>
      <c r="CD63" s="1748"/>
      <c r="CE63" s="1748"/>
      <c r="CF63" s="1748"/>
      <c r="CG63" s="1748"/>
      <c r="CH63" s="1748"/>
      <c r="CI63" s="1748"/>
    </row>
    <row r="64" spans="1:87" s="66" customFormat="1" ht="18" customHeight="1" thickBot="1" x14ac:dyDescent="0.25">
      <c r="A64" s="1968"/>
      <c r="B64" s="1207"/>
      <c r="C64" s="1197" t="s">
        <v>10</v>
      </c>
      <c r="D64" s="1197" t="s">
        <v>11</v>
      </c>
      <c r="E64" s="1198" t="s">
        <v>12</v>
      </c>
      <c r="F64" s="707"/>
      <c r="G64" s="1156"/>
      <c r="H64" s="1748"/>
      <c r="I64" s="1748"/>
      <c r="J64" s="1748"/>
      <c r="K64" s="1748"/>
      <c r="L64" s="1748"/>
      <c r="M64" s="1748"/>
      <c r="N64" s="1748"/>
      <c r="O64" s="1748"/>
      <c r="P64" s="1748"/>
      <c r="Q64" s="1748"/>
      <c r="R64" s="1748"/>
      <c r="S64" s="1748"/>
      <c r="T64" s="1748"/>
      <c r="U64" s="1748"/>
      <c r="V64" s="1748"/>
      <c r="W64" s="1748"/>
      <c r="X64" s="1748"/>
      <c r="Y64" s="1748"/>
      <c r="Z64" s="1748"/>
      <c r="AA64" s="1748"/>
      <c r="AB64" s="1748"/>
      <c r="AC64" s="1748"/>
      <c r="AD64" s="1748"/>
      <c r="AE64" s="1748"/>
      <c r="AF64" s="1748"/>
      <c r="AG64" s="1748"/>
      <c r="AH64" s="1748"/>
      <c r="AI64" s="1748"/>
      <c r="AJ64" s="1748"/>
      <c r="AK64" s="1748"/>
      <c r="AL64" s="1748"/>
      <c r="AM64" s="1748"/>
      <c r="AN64" s="1748"/>
      <c r="AO64" s="1748"/>
      <c r="AP64" s="1748"/>
      <c r="AQ64" s="1748"/>
      <c r="AR64" s="1748"/>
      <c r="AS64" s="1748"/>
      <c r="AT64" s="1748"/>
      <c r="AU64" s="1748"/>
      <c r="AV64" s="1748"/>
      <c r="AW64" s="1748"/>
      <c r="AX64" s="1748"/>
      <c r="AY64" s="1748"/>
      <c r="AZ64" s="1748"/>
      <c r="BA64" s="1748"/>
      <c r="BB64" s="1748"/>
      <c r="BC64" s="1748"/>
      <c r="BD64" s="1748"/>
      <c r="BE64" s="1748"/>
      <c r="BF64" s="1748"/>
      <c r="BG64" s="1748"/>
      <c r="BH64" s="1748"/>
      <c r="BI64" s="1748"/>
      <c r="BJ64" s="1748"/>
      <c r="BK64" s="1748"/>
      <c r="BL64" s="1748"/>
      <c r="BM64" s="1748"/>
      <c r="BN64" s="1748"/>
      <c r="BO64" s="1748"/>
      <c r="BP64" s="1748"/>
      <c r="BQ64" s="1748"/>
      <c r="BR64" s="1748"/>
      <c r="BS64" s="1748"/>
      <c r="BT64" s="1748"/>
      <c r="BU64" s="1748"/>
      <c r="BV64" s="1748"/>
      <c r="BW64" s="1748"/>
      <c r="BX64" s="1748"/>
      <c r="BY64" s="1748"/>
      <c r="BZ64" s="1748"/>
      <c r="CA64" s="1748"/>
      <c r="CB64" s="1748"/>
      <c r="CC64" s="1748"/>
      <c r="CD64" s="1748"/>
      <c r="CE64" s="1748"/>
      <c r="CF64" s="1748"/>
      <c r="CG64" s="1748"/>
      <c r="CH64" s="1748"/>
      <c r="CI64" s="1748"/>
    </row>
    <row r="65" spans="1:87" s="66" customFormat="1" ht="27" customHeight="1" thickBot="1" x14ac:dyDescent="0.25">
      <c r="A65" s="1968"/>
      <c r="B65" s="1199" t="s">
        <v>42</v>
      </c>
      <c r="C65" s="1200" t="s">
        <v>6</v>
      </c>
      <c r="D65" s="1200" t="s">
        <v>7</v>
      </c>
      <c r="E65" s="1201" t="s">
        <v>8</v>
      </c>
      <c r="F65" s="704">
        <v>0</v>
      </c>
      <c r="G65" s="1163"/>
      <c r="H65" s="1745">
        <v>0</v>
      </c>
      <c r="I65" s="1745">
        <v>0</v>
      </c>
      <c r="J65" s="1745">
        <v>0</v>
      </c>
      <c r="K65" s="1745">
        <v>0</v>
      </c>
      <c r="L65" s="1745">
        <v>0</v>
      </c>
      <c r="M65" s="1745">
        <v>0</v>
      </c>
      <c r="N65" s="1745">
        <v>0</v>
      </c>
      <c r="O65" s="1745">
        <v>0</v>
      </c>
      <c r="P65" s="1745">
        <v>0</v>
      </c>
      <c r="Q65" s="1745">
        <v>0</v>
      </c>
      <c r="R65" s="1745">
        <v>0</v>
      </c>
      <c r="S65" s="1745">
        <v>0</v>
      </c>
      <c r="T65" s="1745">
        <v>0</v>
      </c>
      <c r="U65" s="1745">
        <v>0</v>
      </c>
      <c r="V65" s="1745">
        <v>0</v>
      </c>
      <c r="W65" s="1745">
        <v>0</v>
      </c>
      <c r="X65" s="1745">
        <v>0</v>
      </c>
      <c r="Y65" s="1745">
        <v>0</v>
      </c>
      <c r="Z65" s="1745">
        <v>0</v>
      </c>
      <c r="AA65" s="1745">
        <v>0</v>
      </c>
      <c r="AB65" s="1745">
        <v>0</v>
      </c>
      <c r="AC65" s="1745">
        <v>0</v>
      </c>
      <c r="AD65" s="1745">
        <v>0</v>
      </c>
      <c r="AE65" s="1745">
        <v>0</v>
      </c>
      <c r="AF65" s="1745">
        <v>0</v>
      </c>
      <c r="AG65" s="1745">
        <v>0</v>
      </c>
      <c r="AH65" s="1745">
        <v>0</v>
      </c>
      <c r="AI65" s="1745">
        <v>0</v>
      </c>
      <c r="AJ65" s="1745">
        <v>0</v>
      </c>
      <c r="AK65" s="1745">
        <v>0</v>
      </c>
      <c r="AL65" s="1745">
        <v>0</v>
      </c>
      <c r="AM65" s="1745">
        <v>0</v>
      </c>
      <c r="AN65" s="1745">
        <v>0</v>
      </c>
      <c r="AO65" s="1745">
        <v>0</v>
      </c>
      <c r="AP65" s="1745">
        <v>0</v>
      </c>
      <c r="AQ65" s="1745">
        <v>0</v>
      </c>
      <c r="AR65" s="1745">
        <v>0</v>
      </c>
      <c r="AS65" s="1745">
        <v>0</v>
      </c>
      <c r="AT65" s="1745">
        <v>0</v>
      </c>
      <c r="AU65" s="1745">
        <v>0</v>
      </c>
      <c r="AV65" s="1745">
        <v>0</v>
      </c>
      <c r="AW65" s="1745">
        <v>0</v>
      </c>
      <c r="AX65" s="1745">
        <v>0</v>
      </c>
      <c r="AY65" s="1745">
        <v>0</v>
      </c>
      <c r="AZ65" s="1745">
        <v>0</v>
      </c>
      <c r="BA65" s="1745">
        <v>0</v>
      </c>
      <c r="BB65" s="1745">
        <v>0</v>
      </c>
      <c r="BC65" s="1745">
        <v>0</v>
      </c>
      <c r="BD65" s="1745">
        <v>0</v>
      </c>
      <c r="BE65" s="1745">
        <v>0</v>
      </c>
      <c r="BF65" s="1745">
        <v>0</v>
      </c>
      <c r="BG65" s="1745">
        <v>0</v>
      </c>
      <c r="BH65" s="1745">
        <v>0</v>
      </c>
      <c r="BI65" s="1745">
        <v>0</v>
      </c>
      <c r="BJ65" s="1745">
        <v>0</v>
      </c>
      <c r="BK65" s="1745">
        <v>0</v>
      </c>
      <c r="BL65" s="1745">
        <v>0</v>
      </c>
      <c r="BM65" s="1745">
        <v>0</v>
      </c>
      <c r="BN65" s="1745">
        <v>0</v>
      </c>
      <c r="BO65" s="1745">
        <v>0</v>
      </c>
      <c r="BP65" s="1745">
        <v>0</v>
      </c>
      <c r="BQ65" s="1745">
        <v>0</v>
      </c>
      <c r="BR65" s="1745">
        <v>0</v>
      </c>
      <c r="BS65" s="1745">
        <v>0</v>
      </c>
      <c r="BT65" s="1745">
        <v>0</v>
      </c>
      <c r="BU65" s="1745">
        <v>0</v>
      </c>
      <c r="BV65" s="1745">
        <v>0</v>
      </c>
      <c r="BW65" s="1745">
        <v>0</v>
      </c>
      <c r="BX65" s="1745">
        <v>0</v>
      </c>
      <c r="BY65" s="1745">
        <v>0</v>
      </c>
      <c r="BZ65" s="1745">
        <v>0</v>
      </c>
      <c r="CA65" s="1745">
        <v>0</v>
      </c>
      <c r="CB65" s="1745">
        <v>0</v>
      </c>
      <c r="CC65" s="1745">
        <v>0</v>
      </c>
      <c r="CD65" s="1745">
        <v>0</v>
      </c>
      <c r="CE65" s="1745">
        <v>0</v>
      </c>
      <c r="CF65" s="1745">
        <v>0</v>
      </c>
      <c r="CG65" s="1745">
        <v>0</v>
      </c>
      <c r="CH65" s="1745">
        <v>0</v>
      </c>
      <c r="CI65" s="1745">
        <v>0</v>
      </c>
    </row>
    <row r="66" spans="1:87" s="66" customFormat="1" ht="15" customHeight="1" thickBot="1" x14ac:dyDescent="0.25">
      <c r="A66" s="1968"/>
      <c r="B66" s="1199" t="s">
        <v>43</v>
      </c>
      <c r="C66" s="1200" t="s">
        <v>44</v>
      </c>
      <c r="D66" s="1200" t="s">
        <v>45</v>
      </c>
      <c r="E66" s="1201" t="s">
        <v>46</v>
      </c>
      <c r="F66" s="704">
        <v>0</v>
      </c>
      <c r="G66" s="1163"/>
      <c r="H66" s="1745">
        <v>0</v>
      </c>
      <c r="I66" s="1745">
        <v>0</v>
      </c>
      <c r="J66" s="1745">
        <v>0</v>
      </c>
      <c r="K66" s="1745">
        <v>0</v>
      </c>
      <c r="L66" s="1745">
        <v>0</v>
      </c>
      <c r="M66" s="1745">
        <v>0</v>
      </c>
      <c r="N66" s="1745">
        <v>0</v>
      </c>
      <c r="O66" s="1745">
        <v>0</v>
      </c>
      <c r="P66" s="1745">
        <v>0</v>
      </c>
      <c r="Q66" s="1745">
        <v>0</v>
      </c>
      <c r="R66" s="1745">
        <v>0</v>
      </c>
      <c r="S66" s="1745">
        <v>0</v>
      </c>
      <c r="T66" s="1745">
        <v>0</v>
      </c>
      <c r="U66" s="1745">
        <v>0</v>
      </c>
      <c r="V66" s="1745">
        <v>0</v>
      </c>
      <c r="W66" s="1745">
        <v>0</v>
      </c>
      <c r="X66" s="1745">
        <v>0</v>
      </c>
      <c r="Y66" s="1745">
        <v>0</v>
      </c>
      <c r="Z66" s="1745">
        <v>0</v>
      </c>
      <c r="AA66" s="1745">
        <v>0</v>
      </c>
      <c r="AB66" s="1745">
        <v>0</v>
      </c>
      <c r="AC66" s="1745">
        <v>0</v>
      </c>
      <c r="AD66" s="1745">
        <v>0</v>
      </c>
      <c r="AE66" s="1745">
        <v>0</v>
      </c>
      <c r="AF66" s="1745">
        <v>0</v>
      </c>
      <c r="AG66" s="1745">
        <v>0</v>
      </c>
      <c r="AH66" s="1745">
        <v>0</v>
      </c>
      <c r="AI66" s="1745">
        <v>0</v>
      </c>
      <c r="AJ66" s="1745">
        <v>0</v>
      </c>
      <c r="AK66" s="1745">
        <v>0</v>
      </c>
      <c r="AL66" s="1745">
        <v>0</v>
      </c>
      <c r="AM66" s="1745">
        <v>0</v>
      </c>
      <c r="AN66" s="1745">
        <v>0</v>
      </c>
      <c r="AO66" s="1745">
        <v>0</v>
      </c>
      <c r="AP66" s="1745">
        <v>0</v>
      </c>
      <c r="AQ66" s="1745">
        <v>0</v>
      </c>
      <c r="AR66" s="1745">
        <v>0</v>
      </c>
      <c r="AS66" s="1745">
        <v>0</v>
      </c>
      <c r="AT66" s="1745">
        <v>0</v>
      </c>
      <c r="AU66" s="1745">
        <v>0</v>
      </c>
      <c r="AV66" s="1745">
        <v>0</v>
      </c>
      <c r="AW66" s="1745">
        <v>0</v>
      </c>
      <c r="AX66" s="1745">
        <v>0</v>
      </c>
      <c r="AY66" s="1745">
        <v>0</v>
      </c>
      <c r="AZ66" s="1745">
        <v>0</v>
      </c>
      <c r="BA66" s="1745">
        <v>0</v>
      </c>
      <c r="BB66" s="1745">
        <v>0</v>
      </c>
      <c r="BC66" s="1745">
        <v>0</v>
      </c>
      <c r="BD66" s="1745">
        <v>0</v>
      </c>
      <c r="BE66" s="1745">
        <v>0</v>
      </c>
      <c r="BF66" s="1745">
        <v>0</v>
      </c>
      <c r="BG66" s="1745">
        <v>0</v>
      </c>
      <c r="BH66" s="1745">
        <v>0</v>
      </c>
      <c r="BI66" s="1745">
        <v>0</v>
      </c>
      <c r="BJ66" s="1745">
        <v>0</v>
      </c>
      <c r="BK66" s="1745">
        <v>0</v>
      </c>
      <c r="BL66" s="1745">
        <v>0</v>
      </c>
      <c r="BM66" s="1745">
        <v>0</v>
      </c>
      <c r="BN66" s="1745">
        <v>0</v>
      </c>
      <c r="BO66" s="1745">
        <v>0</v>
      </c>
      <c r="BP66" s="1745">
        <v>0</v>
      </c>
      <c r="BQ66" s="1745">
        <v>0</v>
      </c>
      <c r="BR66" s="1745">
        <v>0</v>
      </c>
      <c r="BS66" s="1745">
        <v>0</v>
      </c>
      <c r="BT66" s="1745">
        <v>0</v>
      </c>
      <c r="BU66" s="1745">
        <v>0</v>
      </c>
      <c r="BV66" s="1745">
        <v>0</v>
      </c>
      <c r="BW66" s="1745">
        <v>0</v>
      </c>
      <c r="BX66" s="1745">
        <v>0</v>
      </c>
      <c r="BY66" s="1745">
        <v>0</v>
      </c>
      <c r="BZ66" s="1745">
        <v>0</v>
      </c>
      <c r="CA66" s="1745">
        <v>0</v>
      </c>
      <c r="CB66" s="1745">
        <v>0</v>
      </c>
      <c r="CC66" s="1745">
        <v>0</v>
      </c>
      <c r="CD66" s="1745">
        <v>0</v>
      </c>
      <c r="CE66" s="1745">
        <v>0</v>
      </c>
      <c r="CF66" s="1745">
        <v>0</v>
      </c>
      <c r="CG66" s="1745">
        <v>0</v>
      </c>
      <c r="CH66" s="1745">
        <v>0</v>
      </c>
      <c r="CI66" s="1745">
        <v>0</v>
      </c>
    </row>
    <row r="67" spans="1:87" s="66" customFormat="1" ht="15" customHeight="1" thickBot="1" x14ac:dyDescent="0.25">
      <c r="A67" s="1968"/>
      <c r="B67" s="1199" t="s">
        <v>441</v>
      </c>
      <c r="C67" s="1200" t="s">
        <v>69</v>
      </c>
      <c r="D67" s="1200" t="s">
        <v>68</v>
      </c>
      <c r="E67" s="1201" t="s">
        <v>70</v>
      </c>
      <c r="F67" s="704">
        <v>0</v>
      </c>
      <c r="G67" s="1163"/>
      <c r="H67" s="1745">
        <v>0</v>
      </c>
      <c r="I67" s="1745">
        <v>0</v>
      </c>
      <c r="J67" s="1745">
        <v>0</v>
      </c>
      <c r="K67" s="1745">
        <v>0</v>
      </c>
      <c r="L67" s="1745">
        <v>0</v>
      </c>
      <c r="M67" s="1745">
        <v>0</v>
      </c>
      <c r="N67" s="1745">
        <v>0</v>
      </c>
      <c r="O67" s="1745">
        <v>0</v>
      </c>
      <c r="P67" s="1745">
        <v>0</v>
      </c>
      <c r="Q67" s="1745">
        <v>0</v>
      </c>
      <c r="R67" s="1745">
        <v>0</v>
      </c>
      <c r="S67" s="1745">
        <v>0</v>
      </c>
      <c r="T67" s="1745">
        <v>0</v>
      </c>
      <c r="U67" s="1745">
        <v>0</v>
      </c>
      <c r="V67" s="1745">
        <v>0</v>
      </c>
      <c r="W67" s="1745">
        <v>0</v>
      </c>
      <c r="X67" s="1745">
        <v>0</v>
      </c>
      <c r="Y67" s="1745">
        <v>0</v>
      </c>
      <c r="Z67" s="1745">
        <v>0</v>
      </c>
      <c r="AA67" s="1745">
        <v>0</v>
      </c>
      <c r="AB67" s="1745">
        <v>0</v>
      </c>
      <c r="AC67" s="1745">
        <v>0</v>
      </c>
      <c r="AD67" s="1745">
        <v>0</v>
      </c>
      <c r="AE67" s="1745">
        <v>0</v>
      </c>
      <c r="AF67" s="1745">
        <v>0</v>
      </c>
      <c r="AG67" s="1745">
        <v>0</v>
      </c>
      <c r="AH67" s="1745">
        <v>0</v>
      </c>
      <c r="AI67" s="1745">
        <v>0</v>
      </c>
      <c r="AJ67" s="1745">
        <v>0</v>
      </c>
      <c r="AK67" s="1745">
        <v>0</v>
      </c>
      <c r="AL67" s="1745">
        <v>0</v>
      </c>
      <c r="AM67" s="1745">
        <v>0</v>
      </c>
      <c r="AN67" s="1745">
        <v>0</v>
      </c>
      <c r="AO67" s="1745">
        <v>0</v>
      </c>
      <c r="AP67" s="1745">
        <v>0</v>
      </c>
      <c r="AQ67" s="1745">
        <v>0</v>
      </c>
      <c r="AR67" s="1745">
        <v>0</v>
      </c>
      <c r="AS67" s="1745">
        <v>0</v>
      </c>
      <c r="AT67" s="1745">
        <v>0</v>
      </c>
      <c r="AU67" s="1745">
        <v>0</v>
      </c>
      <c r="AV67" s="1745">
        <v>0</v>
      </c>
      <c r="AW67" s="1745">
        <v>0</v>
      </c>
      <c r="AX67" s="1745">
        <v>0</v>
      </c>
      <c r="AY67" s="1745">
        <v>0</v>
      </c>
      <c r="AZ67" s="1745">
        <v>0</v>
      </c>
      <c r="BA67" s="1745">
        <v>0</v>
      </c>
      <c r="BB67" s="1745">
        <v>0</v>
      </c>
      <c r="BC67" s="1745">
        <v>0</v>
      </c>
      <c r="BD67" s="1745">
        <v>0</v>
      </c>
      <c r="BE67" s="1745">
        <v>0</v>
      </c>
      <c r="BF67" s="1745">
        <v>0</v>
      </c>
      <c r="BG67" s="1745">
        <v>0</v>
      </c>
      <c r="BH67" s="1745">
        <v>0</v>
      </c>
      <c r="BI67" s="1745">
        <v>0</v>
      </c>
      <c r="BJ67" s="1745">
        <v>0</v>
      </c>
      <c r="BK67" s="1745">
        <v>0</v>
      </c>
      <c r="BL67" s="1745">
        <v>0</v>
      </c>
      <c r="BM67" s="1745">
        <v>0</v>
      </c>
      <c r="BN67" s="1745">
        <v>0</v>
      </c>
      <c r="BO67" s="1745">
        <v>0</v>
      </c>
      <c r="BP67" s="1745">
        <v>0</v>
      </c>
      <c r="BQ67" s="1745">
        <v>0</v>
      </c>
      <c r="BR67" s="1745">
        <v>0</v>
      </c>
      <c r="BS67" s="1745">
        <v>0</v>
      </c>
      <c r="BT67" s="1745">
        <v>0</v>
      </c>
      <c r="BU67" s="1745">
        <v>0</v>
      </c>
      <c r="BV67" s="1745">
        <v>0</v>
      </c>
      <c r="BW67" s="1745">
        <v>0</v>
      </c>
      <c r="BX67" s="1745">
        <v>0</v>
      </c>
      <c r="BY67" s="1745">
        <v>0</v>
      </c>
      <c r="BZ67" s="1745">
        <v>0</v>
      </c>
      <c r="CA67" s="1745">
        <v>0</v>
      </c>
      <c r="CB67" s="1745">
        <v>0</v>
      </c>
      <c r="CC67" s="1745">
        <v>0</v>
      </c>
      <c r="CD67" s="1745">
        <v>0</v>
      </c>
      <c r="CE67" s="1745">
        <v>0</v>
      </c>
      <c r="CF67" s="1745">
        <v>0</v>
      </c>
      <c r="CG67" s="1745">
        <v>0</v>
      </c>
      <c r="CH67" s="1745">
        <v>0</v>
      </c>
      <c r="CI67" s="1745">
        <v>0</v>
      </c>
    </row>
    <row r="68" spans="1:87" s="66" customFormat="1" ht="15" customHeight="1" thickBot="1" x14ac:dyDescent="0.25">
      <c r="A68" s="1968"/>
      <c r="B68" s="1199" t="s">
        <v>47</v>
      </c>
      <c r="C68" s="1178" t="s">
        <v>591</v>
      </c>
      <c r="D68" s="1178" t="s">
        <v>612</v>
      </c>
      <c r="E68" s="1179" t="s">
        <v>588</v>
      </c>
      <c r="F68" s="1162">
        <v>0</v>
      </c>
      <c r="G68" s="1163"/>
      <c r="H68" s="1757">
        <v>0</v>
      </c>
      <c r="I68" s="1757">
        <v>0</v>
      </c>
      <c r="J68" s="1757">
        <v>0</v>
      </c>
      <c r="K68" s="1757">
        <v>0</v>
      </c>
      <c r="L68" s="1757">
        <v>0</v>
      </c>
      <c r="M68" s="1757">
        <v>0</v>
      </c>
      <c r="N68" s="1757">
        <v>0</v>
      </c>
      <c r="O68" s="1757">
        <v>0</v>
      </c>
      <c r="P68" s="1757">
        <v>0</v>
      </c>
      <c r="Q68" s="1757">
        <v>0</v>
      </c>
      <c r="R68" s="1757">
        <v>0</v>
      </c>
      <c r="S68" s="1757">
        <v>0</v>
      </c>
      <c r="T68" s="1757">
        <v>0</v>
      </c>
      <c r="U68" s="1757">
        <v>0</v>
      </c>
      <c r="V68" s="1757">
        <v>0</v>
      </c>
      <c r="W68" s="1757">
        <v>0</v>
      </c>
      <c r="X68" s="1757">
        <v>0</v>
      </c>
      <c r="Y68" s="1757">
        <v>0</v>
      </c>
      <c r="Z68" s="1757">
        <v>0</v>
      </c>
      <c r="AA68" s="1757">
        <v>0</v>
      </c>
      <c r="AB68" s="1757">
        <v>0</v>
      </c>
      <c r="AC68" s="1757">
        <v>0</v>
      </c>
      <c r="AD68" s="1757">
        <v>0</v>
      </c>
      <c r="AE68" s="1757">
        <v>0</v>
      </c>
      <c r="AF68" s="1757">
        <v>0</v>
      </c>
      <c r="AG68" s="1757">
        <v>0</v>
      </c>
      <c r="AH68" s="1757">
        <v>0</v>
      </c>
      <c r="AI68" s="1757">
        <v>0</v>
      </c>
      <c r="AJ68" s="1757">
        <v>0</v>
      </c>
      <c r="AK68" s="1757">
        <v>0</v>
      </c>
      <c r="AL68" s="1757">
        <v>0</v>
      </c>
      <c r="AM68" s="1757">
        <v>0</v>
      </c>
      <c r="AN68" s="1757">
        <v>0</v>
      </c>
      <c r="AO68" s="1757">
        <v>0</v>
      </c>
      <c r="AP68" s="1757">
        <v>0</v>
      </c>
      <c r="AQ68" s="1757">
        <v>0</v>
      </c>
      <c r="AR68" s="1757">
        <v>0</v>
      </c>
      <c r="AS68" s="1757">
        <v>0</v>
      </c>
      <c r="AT68" s="1757">
        <v>0</v>
      </c>
      <c r="AU68" s="1757">
        <v>0</v>
      </c>
      <c r="AV68" s="1757">
        <v>0</v>
      </c>
      <c r="AW68" s="1757">
        <v>0</v>
      </c>
      <c r="AX68" s="1757">
        <v>0</v>
      </c>
      <c r="AY68" s="1757">
        <v>0</v>
      </c>
      <c r="AZ68" s="1757">
        <v>0</v>
      </c>
      <c r="BA68" s="1757">
        <v>0</v>
      </c>
      <c r="BB68" s="1757">
        <v>0</v>
      </c>
      <c r="BC68" s="1757">
        <v>0</v>
      </c>
      <c r="BD68" s="1757">
        <v>0</v>
      </c>
      <c r="BE68" s="1757">
        <v>0</v>
      </c>
      <c r="BF68" s="1757">
        <v>0</v>
      </c>
      <c r="BG68" s="1757">
        <v>0</v>
      </c>
      <c r="BH68" s="1757">
        <v>0</v>
      </c>
      <c r="BI68" s="1757">
        <v>0</v>
      </c>
      <c r="BJ68" s="1757">
        <v>0</v>
      </c>
      <c r="BK68" s="1757">
        <v>0</v>
      </c>
      <c r="BL68" s="1757">
        <v>0</v>
      </c>
      <c r="BM68" s="1757">
        <v>0</v>
      </c>
      <c r="BN68" s="1757">
        <v>0</v>
      </c>
      <c r="BO68" s="1757">
        <v>0</v>
      </c>
      <c r="BP68" s="1757">
        <v>0</v>
      </c>
      <c r="BQ68" s="1757">
        <v>0</v>
      </c>
      <c r="BR68" s="1757">
        <v>0</v>
      </c>
      <c r="BS68" s="1757">
        <v>0</v>
      </c>
      <c r="BT68" s="1757">
        <v>0</v>
      </c>
      <c r="BU68" s="1757">
        <v>0</v>
      </c>
      <c r="BV68" s="1757">
        <v>0</v>
      </c>
      <c r="BW68" s="1757">
        <v>0</v>
      </c>
      <c r="BX68" s="1757">
        <v>0</v>
      </c>
      <c r="BY68" s="1757">
        <v>0</v>
      </c>
      <c r="BZ68" s="1757">
        <v>0</v>
      </c>
      <c r="CA68" s="1757">
        <v>0</v>
      </c>
      <c r="CB68" s="1757">
        <v>0</v>
      </c>
      <c r="CC68" s="1757">
        <v>0</v>
      </c>
      <c r="CD68" s="1757">
        <v>0</v>
      </c>
      <c r="CE68" s="1757">
        <v>0</v>
      </c>
      <c r="CF68" s="1757">
        <v>0</v>
      </c>
      <c r="CG68" s="1757">
        <v>0</v>
      </c>
      <c r="CH68" s="1757">
        <v>0</v>
      </c>
      <c r="CI68" s="1757">
        <v>0</v>
      </c>
    </row>
    <row r="69" spans="1:87" s="66" customFormat="1" ht="30" customHeight="1" thickBot="1" x14ac:dyDescent="0.25">
      <c r="A69" s="1968"/>
      <c r="B69" s="1916" t="s">
        <v>2237</v>
      </c>
      <c r="C69" s="1917"/>
      <c r="D69" s="1917"/>
      <c r="E69" s="1208" t="s">
        <v>1320</v>
      </c>
      <c r="F69" s="705">
        <f>SUM(F65:F68)</f>
        <v>0</v>
      </c>
      <c r="G69" s="700"/>
      <c r="H69" s="1746">
        <f t="shared" ref="H69:Q69" si="18">SUM(H65:H68)</f>
        <v>0</v>
      </c>
      <c r="I69" s="1746">
        <f t="shared" si="18"/>
        <v>0</v>
      </c>
      <c r="J69" s="1746">
        <f t="shared" si="18"/>
        <v>0</v>
      </c>
      <c r="K69" s="1746">
        <f t="shared" si="18"/>
        <v>0</v>
      </c>
      <c r="L69" s="1746">
        <f t="shared" si="18"/>
        <v>0</v>
      </c>
      <c r="M69" s="1746">
        <f t="shared" si="18"/>
        <v>0</v>
      </c>
      <c r="N69" s="1746">
        <f t="shared" si="18"/>
        <v>0</v>
      </c>
      <c r="O69" s="1746">
        <f t="shared" si="18"/>
        <v>0</v>
      </c>
      <c r="P69" s="1746">
        <f t="shared" si="18"/>
        <v>0</v>
      </c>
      <c r="Q69" s="1746">
        <f t="shared" si="18"/>
        <v>0</v>
      </c>
      <c r="R69" s="1746">
        <f t="shared" ref="R69:CC69" si="19">SUM(R65:R68)</f>
        <v>0</v>
      </c>
      <c r="S69" s="1746">
        <f t="shared" si="19"/>
        <v>0</v>
      </c>
      <c r="T69" s="1746">
        <f t="shared" si="19"/>
        <v>0</v>
      </c>
      <c r="U69" s="1746">
        <f t="shared" si="19"/>
        <v>0</v>
      </c>
      <c r="V69" s="1746">
        <f t="shared" si="19"/>
        <v>0</v>
      </c>
      <c r="W69" s="1746">
        <f t="shared" si="19"/>
        <v>0</v>
      </c>
      <c r="X69" s="1746">
        <f t="shared" si="19"/>
        <v>0</v>
      </c>
      <c r="Y69" s="1746">
        <f t="shared" si="19"/>
        <v>0</v>
      </c>
      <c r="Z69" s="1746">
        <f t="shared" si="19"/>
        <v>0</v>
      </c>
      <c r="AA69" s="1746">
        <f t="shared" si="19"/>
        <v>0</v>
      </c>
      <c r="AB69" s="1746">
        <f t="shared" si="19"/>
        <v>0</v>
      </c>
      <c r="AC69" s="1746">
        <f t="shared" si="19"/>
        <v>0</v>
      </c>
      <c r="AD69" s="1746">
        <f t="shared" si="19"/>
        <v>0</v>
      </c>
      <c r="AE69" s="1746">
        <f t="shared" si="19"/>
        <v>0</v>
      </c>
      <c r="AF69" s="1746">
        <f t="shared" si="19"/>
        <v>0</v>
      </c>
      <c r="AG69" s="1746">
        <f t="shared" si="19"/>
        <v>0</v>
      </c>
      <c r="AH69" s="1746">
        <f t="shared" si="19"/>
        <v>0</v>
      </c>
      <c r="AI69" s="1746">
        <f t="shared" si="19"/>
        <v>0</v>
      </c>
      <c r="AJ69" s="1746">
        <f t="shared" si="19"/>
        <v>0</v>
      </c>
      <c r="AK69" s="1746">
        <f t="shared" si="19"/>
        <v>0</v>
      </c>
      <c r="AL69" s="1746">
        <f t="shared" si="19"/>
        <v>0</v>
      </c>
      <c r="AM69" s="1746">
        <f t="shared" si="19"/>
        <v>0</v>
      </c>
      <c r="AN69" s="1746">
        <f t="shared" si="19"/>
        <v>0</v>
      </c>
      <c r="AO69" s="1746">
        <f t="shared" si="19"/>
        <v>0</v>
      </c>
      <c r="AP69" s="1746">
        <f t="shared" si="19"/>
        <v>0</v>
      </c>
      <c r="AQ69" s="1746">
        <f t="shared" si="19"/>
        <v>0</v>
      </c>
      <c r="AR69" s="1746">
        <f t="shared" si="19"/>
        <v>0</v>
      </c>
      <c r="AS69" s="1746">
        <f t="shared" si="19"/>
        <v>0</v>
      </c>
      <c r="AT69" s="1746">
        <f t="shared" si="19"/>
        <v>0</v>
      </c>
      <c r="AU69" s="1746">
        <f t="shared" si="19"/>
        <v>0</v>
      </c>
      <c r="AV69" s="1746">
        <f t="shared" si="19"/>
        <v>0</v>
      </c>
      <c r="AW69" s="1746">
        <f t="shared" si="19"/>
        <v>0</v>
      </c>
      <c r="AX69" s="1746">
        <f t="shared" si="19"/>
        <v>0</v>
      </c>
      <c r="AY69" s="1746">
        <f t="shared" si="19"/>
        <v>0</v>
      </c>
      <c r="AZ69" s="1746">
        <f t="shared" si="19"/>
        <v>0</v>
      </c>
      <c r="BA69" s="1746">
        <f t="shared" si="19"/>
        <v>0</v>
      </c>
      <c r="BB69" s="1746">
        <f t="shared" si="19"/>
        <v>0</v>
      </c>
      <c r="BC69" s="1746">
        <f t="shared" si="19"/>
        <v>0</v>
      </c>
      <c r="BD69" s="1746">
        <f t="shared" si="19"/>
        <v>0</v>
      </c>
      <c r="BE69" s="1746">
        <f t="shared" si="19"/>
        <v>0</v>
      </c>
      <c r="BF69" s="1746">
        <f t="shared" si="19"/>
        <v>0</v>
      </c>
      <c r="BG69" s="1746">
        <f t="shared" si="19"/>
        <v>0</v>
      </c>
      <c r="BH69" s="1746">
        <f t="shared" si="19"/>
        <v>0</v>
      </c>
      <c r="BI69" s="1746">
        <f t="shared" si="19"/>
        <v>0</v>
      </c>
      <c r="BJ69" s="1746">
        <f t="shared" si="19"/>
        <v>0</v>
      </c>
      <c r="BK69" s="1746">
        <f t="shared" si="19"/>
        <v>0</v>
      </c>
      <c r="BL69" s="1746">
        <f t="shared" si="19"/>
        <v>0</v>
      </c>
      <c r="BM69" s="1746">
        <f t="shared" si="19"/>
        <v>0</v>
      </c>
      <c r="BN69" s="1746">
        <f t="shared" si="19"/>
        <v>0</v>
      </c>
      <c r="BO69" s="1746">
        <f t="shared" si="19"/>
        <v>0</v>
      </c>
      <c r="BP69" s="1746">
        <f t="shared" si="19"/>
        <v>0</v>
      </c>
      <c r="BQ69" s="1746">
        <f t="shared" si="19"/>
        <v>0</v>
      </c>
      <c r="BR69" s="1746">
        <f t="shared" si="19"/>
        <v>0</v>
      </c>
      <c r="BS69" s="1746">
        <f t="shared" si="19"/>
        <v>0</v>
      </c>
      <c r="BT69" s="1746">
        <f t="shared" si="19"/>
        <v>0</v>
      </c>
      <c r="BU69" s="1746">
        <f t="shared" si="19"/>
        <v>0</v>
      </c>
      <c r="BV69" s="1746">
        <f t="shared" si="19"/>
        <v>0</v>
      </c>
      <c r="BW69" s="1746">
        <f t="shared" si="19"/>
        <v>0</v>
      </c>
      <c r="BX69" s="1746">
        <f t="shared" si="19"/>
        <v>0</v>
      </c>
      <c r="BY69" s="1746">
        <f t="shared" si="19"/>
        <v>0</v>
      </c>
      <c r="BZ69" s="1746">
        <f t="shared" si="19"/>
        <v>0</v>
      </c>
      <c r="CA69" s="1746">
        <f t="shared" si="19"/>
        <v>0</v>
      </c>
      <c r="CB69" s="1746">
        <f t="shared" si="19"/>
        <v>0</v>
      </c>
      <c r="CC69" s="1746">
        <f t="shared" si="19"/>
        <v>0</v>
      </c>
      <c r="CD69" s="1746">
        <f t="shared" ref="CD69:CI69" si="20">SUM(CD65:CD68)</f>
        <v>0</v>
      </c>
      <c r="CE69" s="1746">
        <f t="shared" si="20"/>
        <v>0</v>
      </c>
      <c r="CF69" s="1746">
        <f t="shared" si="20"/>
        <v>0</v>
      </c>
      <c r="CG69" s="1746">
        <f t="shared" si="20"/>
        <v>0</v>
      </c>
      <c r="CH69" s="1746">
        <f t="shared" si="20"/>
        <v>0</v>
      </c>
      <c r="CI69" s="1746">
        <f t="shared" si="20"/>
        <v>0</v>
      </c>
    </row>
    <row r="70" spans="1:87" s="66" customFormat="1" ht="21" customHeight="1" thickBot="1" x14ac:dyDescent="0.25">
      <c r="A70" s="1969"/>
      <c r="B70" s="1918"/>
      <c r="C70" s="1919"/>
      <c r="D70" s="1919"/>
      <c r="E70" s="1203" t="s">
        <v>469</v>
      </c>
      <c r="F70" s="993">
        <f>F69/12</f>
        <v>0</v>
      </c>
      <c r="G70" s="702"/>
      <c r="H70" s="1752">
        <f t="shared" ref="H70:Q70" si="21">H69/12</f>
        <v>0</v>
      </c>
      <c r="I70" s="1752">
        <f t="shared" si="21"/>
        <v>0</v>
      </c>
      <c r="J70" s="1752">
        <f t="shared" si="21"/>
        <v>0</v>
      </c>
      <c r="K70" s="1752">
        <f t="shared" si="21"/>
        <v>0</v>
      </c>
      <c r="L70" s="1752">
        <f t="shared" si="21"/>
        <v>0</v>
      </c>
      <c r="M70" s="1752">
        <f t="shared" si="21"/>
        <v>0</v>
      </c>
      <c r="N70" s="1752">
        <f t="shared" si="21"/>
        <v>0</v>
      </c>
      <c r="O70" s="1752">
        <f t="shared" si="21"/>
        <v>0</v>
      </c>
      <c r="P70" s="1752">
        <f t="shared" si="21"/>
        <v>0</v>
      </c>
      <c r="Q70" s="1752">
        <f t="shared" si="21"/>
        <v>0</v>
      </c>
      <c r="R70" s="1752">
        <f t="shared" ref="R70:CC70" si="22">R69/12</f>
        <v>0</v>
      </c>
      <c r="S70" s="1752">
        <f t="shared" si="22"/>
        <v>0</v>
      </c>
      <c r="T70" s="1752">
        <f t="shared" si="22"/>
        <v>0</v>
      </c>
      <c r="U70" s="1752">
        <f t="shared" si="22"/>
        <v>0</v>
      </c>
      <c r="V70" s="1752">
        <f t="shared" si="22"/>
        <v>0</v>
      </c>
      <c r="W70" s="1752">
        <f t="shared" si="22"/>
        <v>0</v>
      </c>
      <c r="X70" s="1752">
        <f t="shared" si="22"/>
        <v>0</v>
      </c>
      <c r="Y70" s="1752">
        <f t="shared" si="22"/>
        <v>0</v>
      </c>
      <c r="Z70" s="1752">
        <f t="shared" si="22"/>
        <v>0</v>
      </c>
      <c r="AA70" s="1752">
        <f t="shared" si="22"/>
        <v>0</v>
      </c>
      <c r="AB70" s="1752">
        <f t="shared" si="22"/>
        <v>0</v>
      </c>
      <c r="AC70" s="1752">
        <f t="shared" si="22"/>
        <v>0</v>
      </c>
      <c r="AD70" s="1752">
        <f t="shared" si="22"/>
        <v>0</v>
      </c>
      <c r="AE70" s="1752">
        <f t="shared" si="22"/>
        <v>0</v>
      </c>
      <c r="AF70" s="1752">
        <f t="shared" si="22"/>
        <v>0</v>
      </c>
      <c r="AG70" s="1752">
        <f t="shared" si="22"/>
        <v>0</v>
      </c>
      <c r="AH70" s="1752">
        <f t="shared" si="22"/>
        <v>0</v>
      </c>
      <c r="AI70" s="1752">
        <f t="shared" si="22"/>
        <v>0</v>
      </c>
      <c r="AJ70" s="1752">
        <f t="shared" si="22"/>
        <v>0</v>
      </c>
      <c r="AK70" s="1752">
        <f t="shared" si="22"/>
        <v>0</v>
      </c>
      <c r="AL70" s="1752">
        <f t="shared" si="22"/>
        <v>0</v>
      </c>
      <c r="AM70" s="1752">
        <f t="shared" si="22"/>
        <v>0</v>
      </c>
      <c r="AN70" s="1752">
        <f t="shared" si="22"/>
        <v>0</v>
      </c>
      <c r="AO70" s="1752">
        <f t="shared" si="22"/>
        <v>0</v>
      </c>
      <c r="AP70" s="1752">
        <f t="shared" si="22"/>
        <v>0</v>
      </c>
      <c r="AQ70" s="1752">
        <f t="shared" si="22"/>
        <v>0</v>
      </c>
      <c r="AR70" s="1752">
        <f t="shared" si="22"/>
        <v>0</v>
      </c>
      <c r="AS70" s="1752">
        <f t="shared" si="22"/>
        <v>0</v>
      </c>
      <c r="AT70" s="1752">
        <f t="shared" si="22"/>
        <v>0</v>
      </c>
      <c r="AU70" s="1752">
        <f t="shared" si="22"/>
        <v>0</v>
      </c>
      <c r="AV70" s="1752">
        <f t="shared" si="22"/>
        <v>0</v>
      </c>
      <c r="AW70" s="1752">
        <f t="shared" si="22"/>
        <v>0</v>
      </c>
      <c r="AX70" s="1752">
        <f t="shared" si="22"/>
        <v>0</v>
      </c>
      <c r="AY70" s="1752">
        <f t="shared" si="22"/>
        <v>0</v>
      </c>
      <c r="AZ70" s="1752">
        <f t="shared" si="22"/>
        <v>0</v>
      </c>
      <c r="BA70" s="1752">
        <f t="shared" si="22"/>
        <v>0</v>
      </c>
      <c r="BB70" s="1752">
        <f t="shared" si="22"/>
        <v>0</v>
      </c>
      <c r="BC70" s="1752">
        <f t="shared" si="22"/>
        <v>0</v>
      </c>
      <c r="BD70" s="1752">
        <f t="shared" si="22"/>
        <v>0</v>
      </c>
      <c r="BE70" s="1752">
        <f t="shared" si="22"/>
        <v>0</v>
      </c>
      <c r="BF70" s="1752">
        <f t="shared" si="22"/>
        <v>0</v>
      </c>
      <c r="BG70" s="1752">
        <f t="shared" si="22"/>
        <v>0</v>
      </c>
      <c r="BH70" s="1752">
        <f t="shared" si="22"/>
        <v>0</v>
      </c>
      <c r="BI70" s="1752">
        <f t="shared" si="22"/>
        <v>0</v>
      </c>
      <c r="BJ70" s="1752">
        <f t="shared" si="22"/>
        <v>0</v>
      </c>
      <c r="BK70" s="1752">
        <f t="shared" si="22"/>
        <v>0</v>
      </c>
      <c r="BL70" s="1752">
        <f t="shared" si="22"/>
        <v>0</v>
      </c>
      <c r="BM70" s="1752">
        <f t="shared" si="22"/>
        <v>0</v>
      </c>
      <c r="BN70" s="1752">
        <f t="shared" si="22"/>
        <v>0</v>
      </c>
      <c r="BO70" s="1752">
        <f t="shared" si="22"/>
        <v>0</v>
      </c>
      <c r="BP70" s="1752">
        <f t="shared" si="22"/>
        <v>0</v>
      </c>
      <c r="BQ70" s="1752">
        <f t="shared" si="22"/>
        <v>0</v>
      </c>
      <c r="BR70" s="1752">
        <f t="shared" si="22"/>
        <v>0</v>
      </c>
      <c r="BS70" s="1752">
        <f t="shared" si="22"/>
        <v>0</v>
      </c>
      <c r="BT70" s="1752">
        <f t="shared" si="22"/>
        <v>0</v>
      </c>
      <c r="BU70" s="1752">
        <f t="shared" si="22"/>
        <v>0</v>
      </c>
      <c r="BV70" s="1752">
        <f t="shared" si="22"/>
        <v>0</v>
      </c>
      <c r="BW70" s="1752">
        <f t="shared" si="22"/>
        <v>0</v>
      </c>
      <c r="BX70" s="1752">
        <f t="shared" si="22"/>
        <v>0</v>
      </c>
      <c r="BY70" s="1752">
        <f t="shared" si="22"/>
        <v>0</v>
      </c>
      <c r="BZ70" s="1752">
        <f t="shared" si="22"/>
        <v>0</v>
      </c>
      <c r="CA70" s="1752">
        <f t="shared" si="22"/>
        <v>0</v>
      </c>
      <c r="CB70" s="1752">
        <f t="shared" si="22"/>
        <v>0</v>
      </c>
      <c r="CC70" s="1752">
        <f t="shared" si="22"/>
        <v>0</v>
      </c>
      <c r="CD70" s="1752">
        <f t="shared" ref="CD70:CI70" si="23">CD69/12</f>
        <v>0</v>
      </c>
      <c r="CE70" s="1752">
        <f t="shared" si="23"/>
        <v>0</v>
      </c>
      <c r="CF70" s="1752">
        <f t="shared" si="23"/>
        <v>0</v>
      </c>
      <c r="CG70" s="1752">
        <f t="shared" si="23"/>
        <v>0</v>
      </c>
      <c r="CH70" s="1752">
        <f t="shared" si="23"/>
        <v>0</v>
      </c>
      <c r="CI70" s="1752">
        <f t="shared" si="23"/>
        <v>0</v>
      </c>
    </row>
    <row r="71" spans="1:87" s="66" customFormat="1" ht="21" customHeight="1" thickBot="1" x14ac:dyDescent="0.25">
      <c r="A71" s="1967" t="s">
        <v>0</v>
      </c>
      <c r="B71" s="1954" t="s">
        <v>2238</v>
      </c>
      <c r="C71" s="1917"/>
      <c r="D71" s="1917"/>
      <c r="E71" s="1926"/>
      <c r="F71" s="1172"/>
      <c r="G71" s="1156"/>
      <c r="H71" s="1760"/>
      <c r="I71" s="1760"/>
      <c r="J71" s="1760"/>
      <c r="K71" s="1760"/>
      <c r="L71" s="1760"/>
      <c r="M71" s="1760"/>
      <c r="N71" s="1760"/>
      <c r="O71" s="1760"/>
      <c r="P71" s="1760"/>
      <c r="Q71" s="1760"/>
      <c r="R71" s="1760"/>
      <c r="S71" s="1760"/>
      <c r="T71" s="1760"/>
      <c r="U71" s="1760"/>
      <c r="V71" s="1760"/>
      <c r="W71" s="1760"/>
      <c r="X71" s="1760"/>
      <c r="Y71" s="1760"/>
      <c r="Z71" s="1760"/>
      <c r="AA71" s="1760"/>
      <c r="AB71" s="1760"/>
      <c r="AC71" s="1760"/>
      <c r="AD71" s="1760"/>
      <c r="AE71" s="1760"/>
      <c r="AF71" s="1760"/>
      <c r="AG71" s="1760"/>
      <c r="AH71" s="1760"/>
      <c r="AI71" s="1760"/>
      <c r="AJ71" s="1760"/>
      <c r="AK71" s="1760"/>
      <c r="AL71" s="1760"/>
      <c r="AM71" s="1760"/>
      <c r="AN71" s="1760"/>
      <c r="AO71" s="1760"/>
      <c r="AP71" s="1760"/>
      <c r="AQ71" s="1760"/>
      <c r="AR71" s="1760"/>
      <c r="AS71" s="1760"/>
      <c r="AT71" s="1760"/>
      <c r="AU71" s="1760"/>
      <c r="AV71" s="1760"/>
      <c r="AW71" s="1760"/>
      <c r="AX71" s="1760"/>
      <c r="AY71" s="1760"/>
      <c r="AZ71" s="1760"/>
      <c r="BA71" s="1760"/>
      <c r="BB71" s="1760"/>
      <c r="BC71" s="1760"/>
      <c r="BD71" s="1760"/>
      <c r="BE71" s="1760"/>
      <c r="BF71" s="1760"/>
      <c r="BG71" s="1760"/>
      <c r="BH71" s="1760"/>
      <c r="BI71" s="1760"/>
      <c r="BJ71" s="1760"/>
      <c r="BK71" s="1760"/>
      <c r="BL71" s="1760"/>
      <c r="BM71" s="1760"/>
      <c r="BN71" s="1760"/>
      <c r="BO71" s="1760"/>
      <c r="BP71" s="1760"/>
      <c r="BQ71" s="1760"/>
      <c r="BR71" s="1760"/>
      <c r="BS71" s="1760"/>
      <c r="BT71" s="1760"/>
      <c r="BU71" s="1760"/>
      <c r="BV71" s="1760"/>
      <c r="BW71" s="1760"/>
      <c r="BX71" s="1760"/>
      <c r="BY71" s="1760"/>
      <c r="BZ71" s="1760"/>
      <c r="CA71" s="1760"/>
      <c r="CB71" s="1760"/>
      <c r="CC71" s="1760"/>
      <c r="CD71" s="1760"/>
      <c r="CE71" s="1760"/>
      <c r="CF71" s="1760"/>
      <c r="CG71" s="1760"/>
      <c r="CH71" s="1760"/>
      <c r="CI71" s="1760"/>
    </row>
    <row r="72" spans="1:87" s="66" customFormat="1" ht="30" customHeight="1" thickBot="1" x14ac:dyDescent="0.25">
      <c r="A72" s="1968"/>
      <c r="B72" s="1955" t="s">
        <v>2456</v>
      </c>
      <c r="C72" s="1956"/>
      <c r="D72" s="1956"/>
      <c r="E72" s="1957"/>
      <c r="F72" s="1159"/>
      <c r="G72" s="1799"/>
      <c r="H72" s="1800"/>
      <c r="I72" s="1800"/>
      <c r="J72" s="1800"/>
      <c r="K72" s="1800"/>
      <c r="L72" s="1800"/>
      <c r="M72" s="1800"/>
      <c r="N72" s="1800"/>
      <c r="O72" s="1800"/>
      <c r="P72" s="1800"/>
      <c r="Q72" s="1800"/>
      <c r="R72" s="1800"/>
      <c r="S72" s="1800"/>
      <c r="T72" s="1800"/>
      <c r="U72" s="1800"/>
      <c r="V72" s="1800"/>
      <c r="W72" s="1800"/>
      <c r="X72" s="1800"/>
      <c r="Y72" s="1800"/>
      <c r="Z72" s="1800"/>
      <c r="AA72" s="1800"/>
      <c r="AB72" s="1800"/>
      <c r="AC72" s="1800"/>
      <c r="AD72" s="1800"/>
      <c r="AE72" s="1800"/>
      <c r="AF72" s="1800"/>
      <c r="AG72" s="1800"/>
      <c r="AH72" s="1800"/>
      <c r="AI72" s="1800"/>
      <c r="AJ72" s="1800"/>
      <c r="AK72" s="1800"/>
      <c r="AL72" s="1800"/>
      <c r="AM72" s="1800"/>
      <c r="AN72" s="1800"/>
      <c r="AO72" s="1800"/>
      <c r="AP72" s="1800"/>
      <c r="AQ72" s="1800"/>
      <c r="AR72" s="1800"/>
      <c r="AS72" s="1800"/>
      <c r="AT72" s="1800"/>
      <c r="AU72" s="1800"/>
      <c r="AV72" s="1800"/>
      <c r="AW72" s="1800"/>
      <c r="AX72" s="1800"/>
      <c r="AY72" s="1800"/>
      <c r="AZ72" s="1800"/>
      <c r="BA72" s="1800"/>
      <c r="BB72" s="1800"/>
      <c r="BC72" s="1800"/>
      <c r="BD72" s="1800"/>
      <c r="BE72" s="1800"/>
      <c r="BF72" s="1800"/>
      <c r="BG72" s="1800"/>
      <c r="BH72" s="1800"/>
      <c r="BI72" s="1800"/>
      <c r="BJ72" s="1800"/>
      <c r="BK72" s="1800"/>
      <c r="BL72" s="1800"/>
      <c r="BM72" s="1800"/>
      <c r="BN72" s="1800"/>
      <c r="BO72" s="1800"/>
      <c r="BP72" s="1800"/>
      <c r="BQ72" s="1800"/>
      <c r="BR72" s="1800"/>
      <c r="BS72" s="1800"/>
      <c r="BT72" s="1800"/>
      <c r="BU72" s="1800"/>
      <c r="BV72" s="1800"/>
      <c r="BW72" s="1800"/>
      <c r="BX72" s="1800"/>
      <c r="BY72" s="1800"/>
      <c r="BZ72" s="1800"/>
      <c r="CA72" s="1800"/>
      <c r="CB72" s="1800"/>
      <c r="CC72" s="1800"/>
      <c r="CD72" s="1800"/>
      <c r="CE72" s="1800"/>
      <c r="CF72" s="1800"/>
      <c r="CG72" s="1800"/>
      <c r="CH72" s="1800"/>
      <c r="CI72" s="1800"/>
    </row>
    <row r="73" spans="1:87" s="66" customFormat="1" ht="15" customHeight="1" x14ac:dyDescent="0.2">
      <c r="A73" s="1968"/>
      <c r="B73" s="1949" t="s">
        <v>1743</v>
      </c>
      <c r="C73" s="1950"/>
      <c r="D73" s="1950"/>
      <c r="E73" s="1950"/>
      <c r="F73" s="1160"/>
      <c r="G73" s="1158"/>
      <c r="H73" s="1160"/>
      <c r="I73" s="1160"/>
      <c r="J73" s="1160"/>
      <c r="K73" s="1160"/>
      <c r="L73" s="1160"/>
      <c r="M73" s="1160"/>
      <c r="N73" s="1160"/>
      <c r="O73" s="1160"/>
      <c r="P73" s="1160"/>
      <c r="Q73" s="1160"/>
      <c r="R73" s="1160"/>
      <c r="S73" s="1160"/>
      <c r="T73" s="1160"/>
      <c r="U73" s="1160"/>
      <c r="V73" s="1160"/>
      <c r="W73" s="1160"/>
      <c r="X73" s="1160"/>
      <c r="Y73" s="1160"/>
      <c r="Z73" s="1160"/>
      <c r="AA73" s="1160"/>
      <c r="AB73" s="1160"/>
      <c r="AC73" s="1160"/>
      <c r="AD73" s="1160"/>
      <c r="AE73" s="1160"/>
      <c r="AF73" s="1160"/>
      <c r="AG73" s="1160"/>
      <c r="AH73" s="1160"/>
      <c r="AI73" s="1160"/>
      <c r="AJ73" s="1160"/>
      <c r="AK73" s="1160"/>
      <c r="AL73" s="1160"/>
      <c r="AM73" s="1160"/>
      <c r="AN73" s="1160"/>
      <c r="AO73" s="1160"/>
      <c r="AP73" s="1160"/>
      <c r="AQ73" s="1160"/>
      <c r="AR73" s="1160"/>
      <c r="AS73" s="1160"/>
      <c r="AT73" s="1160"/>
      <c r="AU73" s="1160"/>
      <c r="AV73" s="1160"/>
      <c r="AW73" s="1160"/>
      <c r="AX73" s="1160"/>
      <c r="AY73" s="1160"/>
      <c r="AZ73" s="1160"/>
      <c r="BA73" s="1160"/>
      <c r="BB73" s="1160"/>
      <c r="BC73" s="1160"/>
      <c r="BD73" s="1160"/>
      <c r="BE73" s="1160"/>
      <c r="BF73" s="1160"/>
      <c r="BG73" s="1160"/>
      <c r="BH73" s="1160"/>
      <c r="BI73" s="1160"/>
      <c r="BJ73" s="1160"/>
      <c r="BK73" s="1160"/>
      <c r="BL73" s="1160"/>
      <c r="BM73" s="1160"/>
      <c r="BN73" s="1160"/>
      <c r="BO73" s="1160"/>
      <c r="BP73" s="1160"/>
      <c r="BQ73" s="1160"/>
      <c r="BR73" s="1160"/>
      <c r="BS73" s="1160"/>
      <c r="BT73" s="1160"/>
      <c r="BU73" s="1160"/>
      <c r="BV73" s="1160"/>
      <c r="BW73" s="1160"/>
      <c r="BX73" s="1160"/>
      <c r="BY73" s="1160"/>
      <c r="BZ73" s="1160"/>
      <c r="CA73" s="1160"/>
      <c r="CB73" s="1160"/>
      <c r="CC73" s="1160"/>
      <c r="CD73" s="1160"/>
      <c r="CE73" s="1160"/>
      <c r="CF73" s="1160"/>
      <c r="CG73" s="1160"/>
      <c r="CH73" s="1160"/>
      <c r="CI73" s="1160"/>
    </row>
    <row r="74" spans="1:87" s="66" customFormat="1" ht="15" customHeight="1" x14ac:dyDescent="0.2">
      <c r="A74" s="1968"/>
      <c r="B74" s="1947" t="s">
        <v>1744</v>
      </c>
      <c r="C74" s="1948"/>
      <c r="D74" s="1948"/>
      <c r="E74" s="1948"/>
      <c r="F74" s="1160"/>
      <c r="G74" s="1158"/>
      <c r="H74" s="1160"/>
      <c r="I74" s="1160"/>
      <c r="J74" s="1160"/>
      <c r="K74" s="1160"/>
      <c r="L74" s="1160"/>
      <c r="M74" s="1160"/>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0"/>
      <c r="AK74" s="1160"/>
      <c r="AL74" s="1160"/>
      <c r="AM74" s="1160"/>
      <c r="AN74" s="1160"/>
      <c r="AO74" s="1160"/>
      <c r="AP74" s="1160"/>
      <c r="AQ74" s="1160"/>
      <c r="AR74" s="1160"/>
      <c r="AS74" s="1160"/>
      <c r="AT74" s="1160"/>
      <c r="AU74" s="1160"/>
      <c r="AV74" s="1160"/>
      <c r="AW74" s="1160"/>
      <c r="AX74" s="1160"/>
      <c r="AY74" s="1160"/>
      <c r="AZ74" s="1160"/>
      <c r="BA74" s="1160"/>
      <c r="BB74" s="1160"/>
      <c r="BC74" s="1160"/>
      <c r="BD74" s="1160"/>
      <c r="BE74" s="1160"/>
      <c r="BF74" s="1160"/>
      <c r="BG74" s="1160"/>
      <c r="BH74" s="1160"/>
      <c r="BI74" s="1160"/>
      <c r="BJ74" s="1160"/>
      <c r="BK74" s="1160"/>
      <c r="BL74" s="1160"/>
      <c r="BM74" s="1160"/>
      <c r="BN74" s="1160"/>
      <c r="BO74" s="1160"/>
      <c r="BP74" s="1160"/>
      <c r="BQ74" s="1160"/>
      <c r="BR74" s="1160"/>
      <c r="BS74" s="1160"/>
      <c r="BT74" s="1160"/>
      <c r="BU74" s="1160"/>
      <c r="BV74" s="1160"/>
      <c r="BW74" s="1160"/>
      <c r="BX74" s="1160"/>
      <c r="BY74" s="1160"/>
      <c r="BZ74" s="1160"/>
      <c r="CA74" s="1160"/>
      <c r="CB74" s="1160"/>
      <c r="CC74" s="1160"/>
      <c r="CD74" s="1160"/>
      <c r="CE74" s="1160"/>
      <c r="CF74" s="1160"/>
      <c r="CG74" s="1160"/>
      <c r="CH74" s="1160"/>
      <c r="CI74" s="1160"/>
    </row>
    <row r="75" spans="1:87" s="66" customFormat="1" ht="15" customHeight="1" x14ac:dyDescent="0.2">
      <c r="A75" s="1968"/>
      <c r="B75" s="1947" t="s">
        <v>1745</v>
      </c>
      <c r="C75" s="1948"/>
      <c r="D75" s="1948"/>
      <c r="E75" s="1948"/>
      <c r="F75" s="1160"/>
      <c r="G75" s="1158"/>
      <c r="H75" s="1160"/>
      <c r="I75" s="1160"/>
      <c r="J75" s="1160"/>
      <c r="K75" s="1160"/>
      <c r="L75" s="1160"/>
      <c r="M75" s="1160"/>
      <c r="N75" s="1160"/>
      <c r="O75" s="1160"/>
      <c r="P75" s="1160"/>
      <c r="Q75" s="1160"/>
      <c r="R75" s="1160"/>
      <c r="S75" s="1160"/>
      <c r="T75" s="1160"/>
      <c r="U75" s="1160"/>
      <c r="V75" s="1160"/>
      <c r="W75" s="1160"/>
      <c r="X75" s="1160"/>
      <c r="Y75" s="1160"/>
      <c r="Z75" s="1160"/>
      <c r="AA75" s="1160"/>
      <c r="AB75" s="1160"/>
      <c r="AC75" s="1160"/>
      <c r="AD75" s="1160"/>
      <c r="AE75" s="1160"/>
      <c r="AF75" s="1160"/>
      <c r="AG75" s="1160"/>
      <c r="AH75" s="1160"/>
      <c r="AI75" s="1160"/>
      <c r="AJ75" s="1160"/>
      <c r="AK75" s="1160"/>
      <c r="AL75" s="1160"/>
      <c r="AM75" s="1160"/>
      <c r="AN75" s="1160"/>
      <c r="AO75" s="1160"/>
      <c r="AP75" s="1160"/>
      <c r="AQ75" s="1160"/>
      <c r="AR75" s="1160"/>
      <c r="AS75" s="1160"/>
      <c r="AT75" s="1160"/>
      <c r="AU75" s="1160"/>
      <c r="AV75" s="1160"/>
      <c r="AW75" s="1160"/>
      <c r="AX75" s="1160"/>
      <c r="AY75" s="1160"/>
      <c r="AZ75" s="1160"/>
      <c r="BA75" s="1160"/>
      <c r="BB75" s="1160"/>
      <c r="BC75" s="1160"/>
      <c r="BD75" s="1160"/>
      <c r="BE75" s="1160"/>
      <c r="BF75" s="1160"/>
      <c r="BG75" s="1160"/>
      <c r="BH75" s="1160"/>
      <c r="BI75" s="1160"/>
      <c r="BJ75" s="1160"/>
      <c r="BK75" s="1160"/>
      <c r="BL75" s="1160"/>
      <c r="BM75" s="1160"/>
      <c r="BN75" s="1160"/>
      <c r="BO75" s="1160"/>
      <c r="BP75" s="1160"/>
      <c r="BQ75" s="1160"/>
      <c r="BR75" s="1160"/>
      <c r="BS75" s="1160"/>
      <c r="BT75" s="1160"/>
      <c r="BU75" s="1160"/>
      <c r="BV75" s="1160"/>
      <c r="BW75" s="1160"/>
      <c r="BX75" s="1160"/>
      <c r="BY75" s="1160"/>
      <c r="BZ75" s="1160"/>
      <c r="CA75" s="1160"/>
      <c r="CB75" s="1160"/>
      <c r="CC75" s="1160"/>
      <c r="CD75" s="1160"/>
      <c r="CE75" s="1160"/>
      <c r="CF75" s="1160"/>
      <c r="CG75" s="1160"/>
      <c r="CH75" s="1160"/>
      <c r="CI75" s="1160"/>
    </row>
    <row r="76" spans="1:87" s="66" customFormat="1" ht="15" customHeight="1" x14ac:dyDescent="0.2">
      <c r="A76" s="1968"/>
      <c r="B76" s="1947" t="s">
        <v>1746</v>
      </c>
      <c r="C76" s="1948"/>
      <c r="D76" s="1948"/>
      <c r="E76" s="1948"/>
      <c r="F76" s="1160"/>
      <c r="G76" s="1158"/>
      <c r="H76" s="1160"/>
      <c r="I76" s="1160"/>
      <c r="J76" s="1160"/>
      <c r="K76" s="1160"/>
      <c r="L76" s="1160"/>
      <c r="M76" s="1160"/>
      <c r="N76" s="1160"/>
      <c r="O76" s="1160"/>
      <c r="P76" s="1160"/>
      <c r="Q76" s="1160"/>
      <c r="R76" s="1160"/>
      <c r="S76" s="1160"/>
      <c r="T76" s="1160"/>
      <c r="U76" s="1160"/>
      <c r="V76" s="1160"/>
      <c r="W76" s="1160"/>
      <c r="X76" s="1160"/>
      <c r="Y76" s="1160"/>
      <c r="Z76" s="1160"/>
      <c r="AA76" s="1160"/>
      <c r="AB76" s="1160"/>
      <c r="AC76" s="1160"/>
      <c r="AD76" s="1160"/>
      <c r="AE76" s="1160"/>
      <c r="AF76" s="1160"/>
      <c r="AG76" s="1160"/>
      <c r="AH76" s="1160"/>
      <c r="AI76" s="1160"/>
      <c r="AJ76" s="1160"/>
      <c r="AK76" s="1160"/>
      <c r="AL76" s="1160"/>
      <c r="AM76" s="1160"/>
      <c r="AN76" s="1160"/>
      <c r="AO76" s="1160"/>
      <c r="AP76" s="1160"/>
      <c r="AQ76" s="1160"/>
      <c r="AR76" s="1160"/>
      <c r="AS76" s="1160"/>
      <c r="AT76" s="1160"/>
      <c r="AU76" s="1160"/>
      <c r="AV76" s="1160"/>
      <c r="AW76" s="1160"/>
      <c r="AX76" s="1160"/>
      <c r="AY76" s="1160"/>
      <c r="AZ76" s="1160"/>
      <c r="BA76" s="1160"/>
      <c r="BB76" s="1160"/>
      <c r="BC76" s="1160"/>
      <c r="BD76" s="1160"/>
      <c r="BE76" s="1160"/>
      <c r="BF76" s="1160"/>
      <c r="BG76" s="1160"/>
      <c r="BH76" s="1160"/>
      <c r="BI76" s="1160"/>
      <c r="BJ76" s="1160"/>
      <c r="BK76" s="1160"/>
      <c r="BL76" s="1160"/>
      <c r="BM76" s="1160"/>
      <c r="BN76" s="1160"/>
      <c r="BO76" s="1160"/>
      <c r="BP76" s="1160"/>
      <c r="BQ76" s="1160"/>
      <c r="BR76" s="1160"/>
      <c r="BS76" s="1160"/>
      <c r="BT76" s="1160"/>
      <c r="BU76" s="1160"/>
      <c r="BV76" s="1160"/>
      <c r="BW76" s="1160"/>
      <c r="BX76" s="1160"/>
      <c r="BY76" s="1160"/>
      <c r="BZ76" s="1160"/>
      <c r="CA76" s="1160"/>
      <c r="CB76" s="1160"/>
      <c r="CC76" s="1160"/>
      <c r="CD76" s="1160"/>
      <c r="CE76" s="1160"/>
      <c r="CF76" s="1160"/>
      <c r="CG76" s="1160"/>
      <c r="CH76" s="1160"/>
      <c r="CI76" s="1160"/>
    </row>
    <row r="77" spans="1:87" s="66" customFormat="1" ht="15" customHeight="1" x14ac:dyDescent="0.2">
      <c r="A77" s="1968"/>
      <c r="B77" s="1947" t="s">
        <v>1747</v>
      </c>
      <c r="C77" s="1948"/>
      <c r="D77" s="1948"/>
      <c r="E77" s="1948"/>
      <c r="F77" s="1160"/>
      <c r="G77" s="1158"/>
      <c r="H77" s="1160"/>
      <c r="I77" s="1160"/>
      <c r="J77" s="1160"/>
      <c r="K77" s="1160"/>
      <c r="L77" s="1160"/>
      <c r="M77" s="1160"/>
      <c r="N77" s="1160"/>
      <c r="O77" s="1160"/>
      <c r="P77" s="1160"/>
      <c r="Q77" s="1160"/>
      <c r="R77" s="1160"/>
      <c r="S77" s="1160"/>
      <c r="T77" s="1160"/>
      <c r="U77" s="1160"/>
      <c r="V77" s="1160"/>
      <c r="W77" s="1160"/>
      <c r="X77" s="1160"/>
      <c r="Y77" s="1160"/>
      <c r="Z77" s="1160"/>
      <c r="AA77" s="1160"/>
      <c r="AB77" s="1160"/>
      <c r="AC77" s="1160"/>
      <c r="AD77" s="1160"/>
      <c r="AE77" s="1160"/>
      <c r="AF77" s="1160"/>
      <c r="AG77" s="1160"/>
      <c r="AH77" s="1160"/>
      <c r="AI77" s="1160"/>
      <c r="AJ77" s="1160"/>
      <c r="AK77" s="1160"/>
      <c r="AL77" s="1160"/>
      <c r="AM77" s="1160"/>
      <c r="AN77" s="1160"/>
      <c r="AO77" s="1160"/>
      <c r="AP77" s="1160"/>
      <c r="AQ77" s="1160"/>
      <c r="AR77" s="1160"/>
      <c r="AS77" s="1160"/>
      <c r="AT77" s="1160"/>
      <c r="AU77" s="1160"/>
      <c r="AV77" s="1160"/>
      <c r="AW77" s="1160"/>
      <c r="AX77" s="1160"/>
      <c r="AY77" s="1160"/>
      <c r="AZ77" s="1160"/>
      <c r="BA77" s="1160"/>
      <c r="BB77" s="1160"/>
      <c r="BC77" s="1160"/>
      <c r="BD77" s="1160"/>
      <c r="BE77" s="1160"/>
      <c r="BF77" s="1160"/>
      <c r="BG77" s="1160"/>
      <c r="BH77" s="1160"/>
      <c r="BI77" s="1160"/>
      <c r="BJ77" s="1160"/>
      <c r="BK77" s="1160"/>
      <c r="BL77" s="1160"/>
      <c r="BM77" s="1160"/>
      <c r="BN77" s="1160"/>
      <c r="BO77" s="1160"/>
      <c r="BP77" s="1160"/>
      <c r="BQ77" s="1160"/>
      <c r="BR77" s="1160"/>
      <c r="BS77" s="1160"/>
      <c r="BT77" s="1160"/>
      <c r="BU77" s="1160"/>
      <c r="BV77" s="1160"/>
      <c r="BW77" s="1160"/>
      <c r="BX77" s="1160"/>
      <c r="BY77" s="1160"/>
      <c r="BZ77" s="1160"/>
      <c r="CA77" s="1160"/>
      <c r="CB77" s="1160"/>
      <c r="CC77" s="1160"/>
      <c r="CD77" s="1160"/>
      <c r="CE77" s="1160"/>
      <c r="CF77" s="1160"/>
      <c r="CG77" s="1160"/>
      <c r="CH77" s="1160"/>
      <c r="CI77" s="1160"/>
    </row>
    <row r="78" spans="1:87" s="66" customFormat="1" ht="15" customHeight="1" x14ac:dyDescent="0.2">
      <c r="A78" s="1968"/>
      <c r="B78" s="1960" t="s">
        <v>1748</v>
      </c>
      <c r="C78" s="1961"/>
      <c r="D78" s="1961"/>
      <c r="E78" s="1961"/>
      <c r="F78" s="1160"/>
      <c r="G78" s="1158"/>
      <c r="H78" s="1160"/>
      <c r="I78" s="1160"/>
      <c r="J78" s="1160"/>
      <c r="K78" s="1160"/>
      <c r="L78" s="1160"/>
      <c r="M78" s="1160"/>
      <c r="N78" s="1160"/>
      <c r="O78" s="1160"/>
      <c r="P78" s="1160"/>
      <c r="Q78" s="1160"/>
      <c r="R78" s="1160"/>
      <c r="S78" s="1160"/>
      <c r="T78" s="1160"/>
      <c r="U78" s="1160"/>
      <c r="V78" s="1160"/>
      <c r="W78" s="1160"/>
      <c r="X78" s="1160"/>
      <c r="Y78" s="1160"/>
      <c r="Z78" s="1160"/>
      <c r="AA78" s="1160"/>
      <c r="AB78" s="1160"/>
      <c r="AC78" s="1160"/>
      <c r="AD78" s="1160"/>
      <c r="AE78" s="1160"/>
      <c r="AF78" s="1160"/>
      <c r="AG78" s="1160"/>
      <c r="AH78" s="1160"/>
      <c r="AI78" s="1160"/>
      <c r="AJ78" s="1160"/>
      <c r="AK78" s="1160"/>
      <c r="AL78" s="1160"/>
      <c r="AM78" s="1160"/>
      <c r="AN78" s="1160"/>
      <c r="AO78" s="1160"/>
      <c r="AP78" s="1160"/>
      <c r="AQ78" s="1160"/>
      <c r="AR78" s="1160"/>
      <c r="AS78" s="1160"/>
      <c r="AT78" s="1160"/>
      <c r="AU78" s="1160"/>
      <c r="AV78" s="1160"/>
      <c r="AW78" s="1160"/>
      <c r="AX78" s="1160"/>
      <c r="AY78" s="1160"/>
      <c r="AZ78" s="1160"/>
      <c r="BA78" s="1160"/>
      <c r="BB78" s="1160"/>
      <c r="BC78" s="1160"/>
      <c r="BD78" s="1160"/>
      <c r="BE78" s="1160"/>
      <c r="BF78" s="1160"/>
      <c r="BG78" s="1160"/>
      <c r="BH78" s="1160"/>
      <c r="BI78" s="1160"/>
      <c r="BJ78" s="1160"/>
      <c r="BK78" s="1160"/>
      <c r="BL78" s="1160"/>
      <c r="BM78" s="1160"/>
      <c r="BN78" s="1160"/>
      <c r="BO78" s="1160"/>
      <c r="BP78" s="1160"/>
      <c r="BQ78" s="1160"/>
      <c r="BR78" s="1160"/>
      <c r="BS78" s="1160"/>
      <c r="BT78" s="1160"/>
      <c r="BU78" s="1160"/>
      <c r="BV78" s="1160"/>
      <c r="BW78" s="1160"/>
      <c r="BX78" s="1160"/>
      <c r="BY78" s="1160"/>
      <c r="BZ78" s="1160"/>
      <c r="CA78" s="1160"/>
      <c r="CB78" s="1160"/>
      <c r="CC78" s="1160"/>
      <c r="CD78" s="1160"/>
      <c r="CE78" s="1160"/>
      <c r="CF78" s="1160"/>
      <c r="CG78" s="1160"/>
      <c r="CH78" s="1160"/>
      <c r="CI78" s="1160"/>
    </row>
    <row r="79" spans="1:87" s="66" customFormat="1" ht="15" customHeight="1" x14ac:dyDescent="0.2">
      <c r="A79" s="1968"/>
      <c r="B79" s="1947" t="s">
        <v>1749</v>
      </c>
      <c r="C79" s="1948"/>
      <c r="D79" s="1948"/>
      <c r="E79" s="1948"/>
      <c r="F79" s="1160"/>
      <c r="G79" s="1158"/>
      <c r="H79" s="1160"/>
      <c r="I79" s="1160"/>
      <c r="J79" s="1160"/>
      <c r="K79" s="1160"/>
      <c r="L79" s="1160"/>
      <c r="M79" s="1160"/>
      <c r="N79" s="1160"/>
      <c r="O79" s="1160"/>
      <c r="P79" s="1160"/>
      <c r="Q79" s="1160"/>
      <c r="R79" s="1160"/>
      <c r="S79" s="1160"/>
      <c r="T79" s="1160"/>
      <c r="U79" s="1160"/>
      <c r="V79" s="1160"/>
      <c r="W79" s="1160"/>
      <c r="X79" s="1160"/>
      <c r="Y79" s="1160"/>
      <c r="Z79" s="1160"/>
      <c r="AA79" s="1160"/>
      <c r="AB79" s="1160"/>
      <c r="AC79" s="1160"/>
      <c r="AD79" s="1160"/>
      <c r="AE79" s="1160"/>
      <c r="AF79" s="1160"/>
      <c r="AG79" s="1160"/>
      <c r="AH79" s="1160"/>
      <c r="AI79" s="1160"/>
      <c r="AJ79" s="1160"/>
      <c r="AK79" s="1160"/>
      <c r="AL79" s="1160"/>
      <c r="AM79" s="1160"/>
      <c r="AN79" s="1160"/>
      <c r="AO79" s="1160"/>
      <c r="AP79" s="1160"/>
      <c r="AQ79" s="1160"/>
      <c r="AR79" s="1160"/>
      <c r="AS79" s="1160"/>
      <c r="AT79" s="1160"/>
      <c r="AU79" s="1160"/>
      <c r="AV79" s="1160"/>
      <c r="AW79" s="1160"/>
      <c r="AX79" s="1160"/>
      <c r="AY79" s="1160"/>
      <c r="AZ79" s="1160"/>
      <c r="BA79" s="1160"/>
      <c r="BB79" s="1160"/>
      <c r="BC79" s="1160"/>
      <c r="BD79" s="1160"/>
      <c r="BE79" s="1160"/>
      <c r="BF79" s="1160"/>
      <c r="BG79" s="1160"/>
      <c r="BH79" s="1160"/>
      <c r="BI79" s="1160"/>
      <c r="BJ79" s="1160"/>
      <c r="BK79" s="1160"/>
      <c r="BL79" s="1160"/>
      <c r="BM79" s="1160"/>
      <c r="BN79" s="1160"/>
      <c r="BO79" s="1160"/>
      <c r="BP79" s="1160"/>
      <c r="BQ79" s="1160"/>
      <c r="BR79" s="1160"/>
      <c r="BS79" s="1160"/>
      <c r="BT79" s="1160"/>
      <c r="BU79" s="1160"/>
      <c r="BV79" s="1160"/>
      <c r="BW79" s="1160"/>
      <c r="BX79" s="1160"/>
      <c r="BY79" s="1160"/>
      <c r="BZ79" s="1160"/>
      <c r="CA79" s="1160"/>
      <c r="CB79" s="1160"/>
      <c r="CC79" s="1160"/>
      <c r="CD79" s="1160"/>
      <c r="CE79" s="1160"/>
      <c r="CF79" s="1160"/>
      <c r="CG79" s="1160"/>
      <c r="CH79" s="1160"/>
      <c r="CI79" s="1160"/>
    </row>
    <row r="80" spans="1:87" s="66" customFormat="1" ht="15" customHeight="1" thickBot="1" x14ac:dyDescent="0.25">
      <c r="A80" s="1968"/>
      <c r="B80" s="1947" t="s">
        <v>1750</v>
      </c>
      <c r="C80" s="1948"/>
      <c r="D80" s="1948"/>
      <c r="E80" s="1948"/>
      <c r="F80" s="1160"/>
      <c r="G80" s="1158"/>
      <c r="H80" s="1160"/>
      <c r="I80" s="1160"/>
      <c r="J80" s="1160"/>
      <c r="K80" s="1160"/>
      <c r="L80" s="1160"/>
      <c r="M80" s="1160"/>
      <c r="N80" s="1160"/>
      <c r="O80" s="1160"/>
      <c r="P80" s="1160"/>
      <c r="Q80" s="1160"/>
      <c r="R80" s="1160"/>
      <c r="S80" s="1160"/>
      <c r="T80" s="1160"/>
      <c r="U80" s="1160"/>
      <c r="V80" s="1160"/>
      <c r="W80" s="1160"/>
      <c r="X80" s="1160"/>
      <c r="Y80" s="1160"/>
      <c r="Z80" s="1160"/>
      <c r="AA80" s="1160"/>
      <c r="AB80" s="1160"/>
      <c r="AC80" s="1160"/>
      <c r="AD80" s="1160"/>
      <c r="AE80" s="1160"/>
      <c r="AF80" s="1160"/>
      <c r="AG80" s="1160"/>
      <c r="AH80" s="1160"/>
      <c r="AI80" s="1160"/>
      <c r="AJ80" s="1160"/>
      <c r="AK80" s="1160"/>
      <c r="AL80" s="1160"/>
      <c r="AM80" s="1160"/>
      <c r="AN80" s="1160"/>
      <c r="AO80" s="1160"/>
      <c r="AP80" s="1160"/>
      <c r="AQ80" s="1160"/>
      <c r="AR80" s="1160"/>
      <c r="AS80" s="1160"/>
      <c r="AT80" s="1160"/>
      <c r="AU80" s="1160"/>
      <c r="AV80" s="1160"/>
      <c r="AW80" s="1160"/>
      <c r="AX80" s="1160"/>
      <c r="AY80" s="1160"/>
      <c r="AZ80" s="1160"/>
      <c r="BA80" s="1160"/>
      <c r="BB80" s="1160"/>
      <c r="BC80" s="1160"/>
      <c r="BD80" s="1160"/>
      <c r="BE80" s="1160"/>
      <c r="BF80" s="1160"/>
      <c r="BG80" s="1160"/>
      <c r="BH80" s="1160"/>
      <c r="BI80" s="1160"/>
      <c r="BJ80" s="1160"/>
      <c r="BK80" s="1160"/>
      <c r="BL80" s="1160"/>
      <c r="BM80" s="1160"/>
      <c r="BN80" s="1160"/>
      <c r="BO80" s="1160"/>
      <c r="BP80" s="1160"/>
      <c r="BQ80" s="1160"/>
      <c r="BR80" s="1160"/>
      <c r="BS80" s="1160"/>
      <c r="BT80" s="1160"/>
      <c r="BU80" s="1160"/>
      <c r="BV80" s="1160"/>
      <c r="BW80" s="1160"/>
      <c r="BX80" s="1160"/>
      <c r="BY80" s="1160"/>
      <c r="BZ80" s="1160"/>
      <c r="CA80" s="1160"/>
      <c r="CB80" s="1160"/>
      <c r="CC80" s="1160"/>
      <c r="CD80" s="1160"/>
      <c r="CE80" s="1160"/>
      <c r="CF80" s="1160"/>
      <c r="CG80" s="1160"/>
      <c r="CH80" s="1160"/>
      <c r="CI80" s="1160"/>
    </row>
    <row r="81" spans="1:87" s="66" customFormat="1" ht="30" customHeight="1" thickBot="1" x14ac:dyDescent="0.25">
      <c r="A81" s="1968"/>
      <c r="B81" s="1951" t="s">
        <v>1324</v>
      </c>
      <c r="C81" s="1952"/>
      <c r="D81" s="1952"/>
      <c r="E81" s="1953"/>
      <c r="F81" s="1161"/>
      <c r="G81" s="1156"/>
      <c r="H81" s="1161"/>
      <c r="I81" s="1161"/>
      <c r="J81" s="1161"/>
      <c r="K81" s="1161"/>
      <c r="L81" s="1161"/>
      <c r="M81" s="1161"/>
      <c r="N81" s="1161"/>
      <c r="O81" s="1161"/>
      <c r="P81" s="1161"/>
      <c r="Q81" s="1161"/>
      <c r="R81" s="1161"/>
      <c r="S81" s="1161"/>
      <c r="T81" s="1161"/>
      <c r="U81" s="1161"/>
      <c r="V81" s="1161"/>
      <c r="W81" s="1161"/>
      <c r="X81" s="1161"/>
      <c r="Y81" s="1161"/>
      <c r="Z81" s="1161"/>
      <c r="AA81" s="1161"/>
      <c r="AB81" s="1161"/>
      <c r="AC81" s="1161"/>
      <c r="AD81" s="1161"/>
      <c r="AE81" s="1161"/>
      <c r="AF81" s="1161"/>
      <c r="AG81" s="1161"/>
      <c r="AH81" s="1161"/>
      <c r="AI81" s="1161"/>
      <c r="AJ81" s="1161"/>
      <c r="AK81" s="1161"/>
      <c r="AL81" s="1161"/>
      <c r="AM81" s="1161"/>
      <c r="AN81" s="1161"/>
      <c r="AO81" s="1161"/>
      <c r="AP81" s="1161"/>
      <c r="AQ81" s="1161"/>
      <c r="AR81" s="1161"/>
      <c r="AS81" s="1161"/>
      <c r="AT81" s="1161"/>
      <c r="AU81" s="1161"/>
      <c r="AV81" s="1161"/>
      <c r="AW81" s="1161"/>
      <c r="AX81" s="1161"/>
      <c r="AY81" s="1161"/>
      <c r="AZ81" s="1161"/>
      <c r="BA81" s="1161"/>
      <c r="BB81" s="1161"/>
      <c r="BC81" s="1161"/>
      <c r="BD81" s="1161"/>
      <c r="BE81" s="1161"/>
      <c r="BF81" s="1161"/>
      <c r="BG81" s="1161"/>
      <c r="BH81" s="1161"/>
      <c r="BI81" s="1161"/>
      <c r="BJ81" s="1161"/>
      <c r="BK81" s="1161"/>
      <c r="BL81" s="1161"/>
      <c r="BM81" s="1161"/>
      <c r="BN81" s="1161"/>
      <c r="BO81" s="1161"/>
      <c r="BP81" s="1161"/>
      <c r="BQ81" s="1161"/>
      <c r="BR81" s="1161"/>
      <c r="BS81" s="1161"/>
      <c r="BT81" s="1161"/>
      <c r="BU81" s="1161"/>
      <c r="BV81" s="1161"/>
      <c r="BW81" s="1161"/>
      <c r="BX81" s="1161"/>
      <c r="BY81" s="1161"/>
      <c r="BZ81" s="1161"/>
      <c r="CA81" s="1161"/>
      <c r="CB81" s="1161"/>
      <c r="CC81" s="1161"/>
      <c r="CD81" s="1161"/>
      <c r="CE81" s="1161"/>
      <c r="CF81" s="1161"/>
      <c r="CG81" s="1161"/>
      <c r="CH81" s="1161"/>
      <c r="CI81" s="1161"/>
    </row>
    <row r="82" spans="1:87" s="66" customFormat="1" ht="18" customHeight="1" thickBot="1" x14ac:dyDescent="0.25">
      <c r="A82" s="1968"/>
      <c r="B82" s="98"/>
      <c r="C82" s="67" t="s">
        <v>10</v>
      </c>
      <c r="D82" s="67" t="s">
        <v>11</v>
      </c>
      <c r="E82" s="67" t="s">
        <v>12</v>
      </c>
      <c r="F82" s="1161"/>
      <c r="G82" s="1156"/>
      <c r="H82" s="1161"/>
      <c r="I82" s="1161"/>
      <c r="J82" s="1161"/>
      <c r="K82" s="1161"/>
      <c r="L82" s="1161"/>
      <c r="M82" s="1161"/>
      <c r="N82" s="1161"/>
      <c r="O82" s="1161"/>
      <c r="P82" s="1161"/>
      <c r="Q82" s="1161"/>
      <c r="R82" s="1161"/>
      <c r="S82" s="1161"/>
      <c r="T82" s="1161"/>
      <c r="U82" s="1161"/>
      <c r="V82" s="1161"/>
      <c r="W82" s="1161"/>
      <c r="X82" s="1161"/>
      <c r="Y82" s="1161"/>
      <c r="Z82" s="1161"/>
      <c r="AA82" s="1161"/>
      <c r="AB82" s="1161"/>
      <c r="AC82" s="1161"/>
      <c r="AD82" s="1161"/>
      <c r="AE82" s="1161"/>
      <c r="AF82" s="1161"/>
      <c r="AG82" s="1161"/>
      <c r="AH82" s="1161"/>
      <c r="AI82" s="1161"/>
      <c r="AJ82" s="1161"/>
      <c r="AK82" s="1161"/>
      <c r="AL82" s="1161"/>
      <c r="AM82" s="1161"/>
      <c r="AN82" s="1161"/>
      <c r="AO82" s="1161"/>
      <c r="AP82" s="1161"/>
      <c r="AQ82" s="1161"/>
      <c r="AR82" s="1161"/>
      <c r="AS82" s="1161"/>
      <c r="AT82" s="1161"/>
      <c r="AU82" s="1161"/>
      <c r="AV82" s="1161"/>
      <c r="AW82" s="1161"/>
      <c r="AX82" s="1161"/>
      <c r="AY82" s="1161"/>
      <c r="AZ82" s="1161"/>
      <c r="BA82" s="1161"/>
      <c r="BB82" s="1161"/>
      <c r="BC82" s="1161"/>
      <c r="BD82" s="1161"/>
      <c r="BE82" s="1161"/>
      <c r="BF82" s="1161"/>
      <c r="BG82" s="1161"/>
      <c r="BH82" s="1161"/>
      <c r="BI82" s="1161"/>
      <c r="BJ82" s="1161"/>
      <c r="BK82" s="1161"/>
      <c r="BL82" s="1161"/>
      <c r="BM82" s="1161"/>
      <c r="BN82" s="1161"/>
      <c r="BO82" s="1161"/>
      <c r="BP82" s="1161"/>
      <c r="BQ82" s="1161"/>
      <c r="BR82" s="1161"/>
      <c r="BS82" s="1161"/>
      <c r="BT82" s="1161"/>
      <c r="BU82" s="1161"/>
      <c r="BV82" s="1161"/>
      <c r="BW82" s="1161"/>
      <c r="BX82" s="1161"/>
      <c r="BY82" s="1161"/>
      <c r="BZ82" s="1161"/>
      <c r="CA82" s="1161"/>
      <c r="CB82" s="1161"/>
      <c r="CC82" s="1161"/>
      <c r="CD82" s="1161"/>
      <c r="CE82" s="1161"/>
      <c r="CF82" s="1161"/>
      <c r="CG82" s="1161"/>
      <c r="CH82" s="1161"/>
      <c r="CI82" s="1161"/>
    </row>
    <row r="83" spans="1:87" s="66" customFormat="1" ht="25.5" x14ac:dyDescent="0.2">
      <c r="A83" s="1968"/>
      <c r="B83" s="619" t="s">
        <v>167</v>
      </c>
      <c r="C83" s="95" t="s">
        <v>434</v>
      </c>
      <c r="D83" s="95" t="s">
        <v>435</v>
      </c>
      <c r="E83" s="620" t="s">
        <v>436</v>
      </c>
      <c r="F83" s="1141">
        <v>0</v>
      </c>
      <c r="G83" s="1163"/>
      <c r="H83" s="1141">
        <v>0</v>
      </c>
      <c r="I83" s="1141">
        <v>0</v>
      </c>
      <c r="J83" s="1141">
        <v>0</v>
      </c>
      <c r="K83" s="1141">
        <v>0</v>
      </c>
      <c r="L83" s="1141">
        <v>0</v>
      </c>
      <c r="M83" s="1141">
        <v>0</v>
      </c>
      <c r="N83" s="1141">
        <v>0</v>
      </c>
      <c r="O83" s="1141">
        <v>0</v>
      </c>
      <c r="P83" s="1141">
        <v>0</v>
      </c>
      <c r="Q83" s="1141">
        <v>0</v>
      </c>
      <c r="R83" s="1141">
        <v>0</v>
      </c>
      <c r="S83" s="1141">
        <v>0</v>
      </c>
      <c r="T83" s="1141">
        <v>0</v>
      </c>
      <c r="U83" s="1141">
        <v>0</v>
      </c>
      <c r="V83" s="1141">
        <v>0</v>
      </c>
      <c r="W83" s="1141">
        <v>0</v>
      </c>
      <c r="X83" s="1141">
        <v>0</v>
      </c>
      <c r="Y83" s="1141">
        <v>0</v>
      </c>
      <c r="Z83" s="1141">
        <v>0</v>
      </c>
      <c r="AA83" s="1141">
        <v>0</v>
      </c>
      <c r="AB83" s="1141">
        <v>0</v>
      </c>
      <c r="AC83" s="1141">
        <v>0</v>
      </c>
      <c r="AD83" s="1141">
        <v>0</v>
      </c>
      <c r="AE83" s="1141">
        <v>0</v>
      </c>
      <c r="AF83" s="1141">
        <v>0</v>
      </c>
      <c r="AG83" s="1141">
        <v>0</v>
      </c>
      <c r="AH83" s="1141">
        <v>0</v>
      </c>
      <c r="AI83" s="1141">
        <v>0</v>
      </c>
      <c r="AJ83" s="1141">
        <v>0</v>
      </c>
      <c r="AK83" s="1141">
        <v>0</v>
      </c>
      <c r="AL83" s="1141">
        <v>0</v>
      </c>
      <c r="AM83" s="1141">
        <v>0</v>
      </c>
      <c r="AN83" s="1141">
        <v>0</v>
      </c>
      <c r="AO83" s="1141">
        <v>0</v>
      </c>
      <c r="AP83" s="1141">
        <v>0</v>
      </c>
      <c r="AQ83" s="1141">
        <v>0</v>
      </c>
      <c r="AR83" s="1141">
        <v>0</v>
      </c>
      <c r="AS83" s="1141">
        <v>0</v>
      </c>
      <c r="AT83" s="1141">
        <v>0</v>
      </c>
      <c r="AU83" s="1141">
        <v>0</v>
      </c>
      <c r="AV83" s="1141">
        <v>0</v>
      </c>
      <c r="AW83" s="1141">
        <v>0</v>
      </c>
      <c r="AX83" s="1141">
        <v>0</v>
      </c>
      <c r="AY83" s="1141">
        <v>0</v>
      </c>
      <c r="AZ83" s="1141">
        <v>0</v>
      </c>
      <c r="BA83" s="1141">
        <v>0</v>
      </c>
      <c r="BB83" s="1141">
        <v>0</v>
      </c>
      <c r="BC83" s="1141">
        <v>0</v>
      </c>
      <c r="BD83" s="1141">
        <v>0</v>
      </c>
      <c r="BE83" s="1141">
        <v>0</v>
      </c>
      <c r="BF83" s="1141">
        <v>0</v>
      </c>
      <c r="BG83" s="1141">
        <v>0</v>
      </c>
      <c r="BH83" s="1141">
        <v>0</v>
      </c>
      <c r="BI83" s="1141">
        <v>0</v>
      </c>
      <c r="BJ83" s="1141">
        <v>0</v>
      </c>
      <c r="BK83" s="1141">
        <v>0</v>
      </c>
      <c r="BL83" s="1141">
        <v>0</v>
      </c>
      <c r="BM83" s="1141">
        <v>0</v>
      </c>
      <c r="BN83" s="1141">
        <v>0</v>
      </c>
      <c r="BO83" s="1141">
        <v>0</v>
      </c>
      <c r="BP83" s="1141">
        <v>0</v>
      </c>
      <c r="BQ83" s="1141">
        <v>0</v>
      </c>
      <c r="BR83" s="1141">
        <v>0</v>
      </c>
      <c r="BS83" s="1141">
        <v>0</v>
      </c>
      <c r="BT83" s="1141">
        <v>0</v>
      </c>
      <c r="BU83" s="1141">
        <v>0</v>
      </c>
      <c r="BV83" s="1141">
        <v>0</v>
      </c>
      <c r="BW83" s="1141">
        <v>0</v>
      </c>
      <c r="BX83" s="1141">
        <v>0</v>
      </c>
      <c r="BY83" s="1141">
        <v>0</v>
      </c>
      <c r="BZ83" s="1141">
        <v>0</v>
      </c>
      <c r="CA83" s="1141">
        <v>0</v>
      </c>
      <c r="CB83" s="1141">
        <v>0</v>
      </c>
      <c r="CC83" s="1141">
        <v>0</v>
      </c>
      <c r="CD83" s="1141">
        <v>0</v>
      </c>
      <c r="CE83" s="1141">
        <v>0</v>
      </c>
      <c r="CF83" s="1141">
        <v>0</v>
      </c>
      <c r="CG83" s="1141">
        <v>0</v>
      </c>
      <c r="CH83" s="1141">
        <v>0</v>
      </c>
      <c r="CI83" s="1141">
        <v>0</v>
      </c>
    </row>
    <row r="84" spans="1:87" s="66" customFormat="1" ht="15" customHeight="1" x14ac:dyDescent="0.2">
      <c r="A84" s="1968"/>
      <c r="B84" s="619" t="s">
        <v>442</v>
      </c>
      <c r="C84" s="95" t="s">
        <v>44</v>
      </c>
      <c r="D84" s="95" t="s">
        <v>45</v>
      </c>
      <c r="E84" s="621" t="s">
        <v>46</v>
      </c>
      <c r="F84" s="1141">
        <v>0</v>
      </c>
      <c r="G84" s="1163"/>
      <c r="H84" s="1141">
        <v>0</v>
      </c>
      <c r="I84" s="1141">
        <v>0</v>
      </c>
      <c r="J84" s="1141">
        <v>0</v>
      </c>
      <c r="K84" s="1141">
        <v>0</v>
      </c>
      <c r="L84" s="1141">
        <v>0</v>
      </c>
      <c r="M84" s="1141">
        <v>0</v>
      </c>
      <c r="N84" s="1141">
        <v>0</v>
      </c>
      <c r="O84" s="1141">
        <v>0</v>
      </c>
      <c r="P84" s="1141">
        <v>0</v>
      </c>
      <c r="Q84" s="1141">
        <v>0</v>
      </c>
      <c r="R84" s="1141">
        <v>0</v>
      </c>
      <c r="S84" s="1141">
        <v>0</v>
      </c>
      <c r="T84" s="1141">
        <v>0</v>
      </c>
      <c r="U84" s="1141">
        <v>0</v>
      </c>
      <c r="V84" s="1141">
        <v>0</v>
      </c>
      <c r="W84" s="1141">
        <v>0</v>
      </c>
      <c r="X84" s="1141">
        <v>0</v>
      </c>
      <c r="Y84" s="1141">
        <v>0</v>
      </c>
      <c r="Z84" s="1141">
        <v>0</v>
      </c>
      <c r="AA84" s="1141">
        <v>0</v>
      </c>
      <c r="AB84" s="1141">
        <v>0</v>
      </c>
      <c r="AC84" s="1141">
        <v>0</v>
      </c>
      <c r="AD84" s="1141">
        <v>0</v>
      </c>
      <c r="AE84" s="1141">
        <v>0</v>
      </c>
      <c r="AF84" s="1141">
        <v>0</v>
      </c>
      <c r="AG84" s="1141">
        <v>0</v>
      </c>
      <c r="AH84" s="1141">
        <v>0</v>
      </c>
      <c r="AI84" s="1141">
        <v>0</v>
      </c>
      <c r="AJ84" s="1141">
        <v>0</v>
      </c>
      <c r="AK84" s="1141">
        <v>0</v>
      </c>
      <c r="AL84" s="1141">
        <v>0</v>
      </c>
      <c r="AM84" s="1141">
        <v>0</v>
      </c>
      <c r="AN84" s="1141">
        <v>0</v>
      </c>
      <c r="AO84" s="1141">
        <v>0</v>
      </c>
      <c r="AP84" s="1141">
        <v>0</v>
      </c>
      <c r="AQ84" s="1141">
        <v>0</v>
      </c>
      <c r="AR84" s="1141">
        <v>0</v>
      </c>
      <c r="AS84" s="1141">
        <v>0</v>
      </c>
      <c r="AT84" s="1141">
        <v>0</v>
      </c>
      <c r="AU84" s="1141">
        <v>0</v>
      </c>
      <c r="AV84" s="1141">
        <v>0</v>
      </c>
      <c r="AW84" s="1141">
        <v>0</v>
      </c>
      <c r="AX84" s="1141">
        <v>0</v>
      </c>
      <c r="AY84" s="1141">
        <v>0</v>
      </c>
      <c r="AZ84" s="1141">
        <v>0</v>
      </c>
      <c r="BA84" s="1141">
        <v>0</v>
      </c>
      <c r="BB84" s="1141">
        <v>0</v>
      </c>
      <c r="BC84" s="1141">
        <v>0</v>
      </c>
      <c r="BD84" s="1141">
        <v>0</v>
      </c>
      <c r="BE84" s="1141">
        <v>0</v>
      </c>
      <c r="BF84" s="1141">
        <v>0</v>
      </c>
      <c r="BG84" s="1141">
        <v>0</v>
      </c>
      <c r="BH84" s="1141">
        <v>0</v>
      </c>
      <c r="BI84" s="1141">
        <v>0</v>
      </c>
      <c r="BJ84" s="1141">
        <v>0</v>
      </c>
      <c r="BK84" s="1141">
        <v>0</v>
      </c>
      <c r="BL84" s="1141">
        <v>0</v>
      </c>
      <c r="BM84" s="1141">
        <v>0</v>
      </c>
      <c r="BN84" s="1141">
        <v>0</v>
      </c>
      <c r="BO84" s="1141">
        <v>0</v>
      </c>
      <c r="BP84" s="1141">
        <v>0</v>
      </c>
      <c r="BQ84" s="1141">
        <v>0</v>
      </c>
      <c r="BR84" s="1141">
        <v>0</v>
      </c>
      <c r="BS84" s="1141">
        <v>0</v>
      </c>
      <c r="BT84" s="1141">
        <v>0</v>
      </c>
      <c r="BU84" s="1141">
        <v>0</v>
      </c>
      <c r="BV84" s="1141">
        <v>0</v>
      </c>
      <c r="BW84" s="1141">
        <v>0</v>
      </c>
      <c r="BX84" s="1141">
        <v>0</v>
      </c>
      <c r="BY84" s="1141">
        <v>0</v>
      </c>
      <c r="BZ84" s="1141">
        <v>0</v>
      </c>
      <c r="CA84" s="1141">
        <v>0</v>
      </c>
      <c r="CB84" s="1141">
        <v>0</v>
      </c>
      <c r="CC84" s="1141">
        <v>0</v>
      </c>
      <c r="CD84" s="1141">
        <v>0</v>
      </c>
      <c r="CE84" s="1141">
        <v>0</v>
      </c>
      <c r="CF84" s="1141">
        <v>0</v>
      </c>
      <c r="CG84" s="1141">
        <v>0</v>
      </c>
      <c r="CH84" s="1141">
        <v>0</v>
      </c>
      <c r="CI84" s="1141">
        <v>0</v>
      </c>
    </row>
    <row r="85" spans="1:87" s="66" customFormat="1" ht="15.75" customHeight="1" x14ac:dyDescent="0.2">
      <c r="A85" s="1968"/>
      <c r="B85" s="619" t="s">
        <v>73</v>
      </c>
      <c r="C85" s="95" t="s">
        <v>251</v>
      </c>
      <c r="D85" s="95" t="s">
        <v>252</v>
      </c>
      <c r="E85" s="621" t="s">
        <v>253</v>
      </c>
      <c r="F85" s="1141">
        <v>0</v>
      </c>
      <c r="G85" s="1163"/>
      <c r="H85" s="1141">
        <v>0</v>
      </c>
      <c r="I85" s="1141">
        <v>0</v>
      </c>
      <c r="J85" s="1141">
        <v>0</v>
      </c>
      <c r="K85" s="1141">
        <v>0</v>
      </c>
      <c r="L85" s="1141">
        <v>0</v>
      </c>
      <c r="M85" s="1141">
        <v>0</v>
      </c>
      <c r="N85" s="1141">
        <v>0</v>
      </c>
      <c r="O85" s="1141">
        <v>0</v>
      </c>
      <c r="P85" s="1141">
        <v>0</v>
      </c>
      <c r="Q85" s="1141">
        <v>0</v>
      </c>
      <c r="R85" s="1141">
        <v>0</v>
      </c>
      <c r="S85" s="1141">
        <v>0</v>
      </c>
      <c r="T85" s="1141">
        <v>0</v>
      </c>
      <c r="U85" s="1141">
        <v>0</v>
      </c>
      <c r="V85" s="1141">
        <v>0</v>
      </c>
      <c r="W85" s="1141">
        <v>0</v>
      </c>
      <c r="X85" s="1141">
        <v>0</v>
      </c>
      <c r="Y85" s="1141">
        <v>0</v>
      </c>
      <c r="Z85" s="1141">
        <v>0</v>
      </c>
      <c r="AA85" s="1141">
        <v>0</v>
      </c>
      <c r="AB85" s="1141">
        <v>0</v>
      </c>
      <c r="AC85" s="1141">
        <v>0</v>
      </c>
      <c r="AD85" s="1141">
        <v>0</v>
      </c>
      <c r="AE85" s="1141">
        <v>0</v>
      </c>
      <c r="AF85" s="1141">
        <v>0</v>
      </c>
      <c r="AG85" s="1141">
        <v>0</v>
      </c>
      <c r="AH85" s="1141">
        <v>0</v>
      </c>
      <c r="AI85" s="1141">
        <v>0</v>
      </c>
      <c r="AJ85" s="1141">
        <v>0</v>
      </c>
      <c r="AK85" s="1141">
        <v>0</v>
      </c>
      <c r="AL85" s="1141">
        <v>0</v>
      </c>
      <c r="AM85" s="1141">
        <v>0</v>
      </c>
      <c r="AN85" s="1141">
        <v>0</v>
      </c>
      <c r="AO85" s="1141">
        <v>0</v>
      </c>
      <c r="AP85" s="1141">
        <v>0</v>
      </c>
      <c r="AQ85" s="1141">
        <v>0</v>
      </c>
      <c r="AR85" s="1141">
        <v>0</v>
      </c>
      <c r="AS85" s="1141">
        <v>0</v>
      </c>
      <c r="AT85" s="1141">
        <v>0</v>
      </c>
      <c r="AU85" s="1141">
        <v>0</v>
      </c>
      <c r="AV85" s="1141">
        <v>0</v>
      </c>
      <c r="AW85" s="1141">
        <v>0</v>
      </c>
      <c r="AX85" s="1141">
        <v>0</v>
      </c>
      <c r="AY85" s="1141">
        <v>0</v>
      </c>
      <c r="AZ85" s="1141">
        <v>0</v>
      </c>
      <c r="BA85" s="1141">
        <v>0</v>
      </c>
      <c r="BB85" s="1141">
        <v>0</v>
      </c>
      <c r="BC85" s="1141">
        <v>0</v>
      </c>
      <c r="BD85" s="1141">
        <v>0</v>
      </c>
      <c r="BE85" s="1141">
        <v>0</v>
      </c>
      <c r="BF85" s="1141">
        <v>0</v>
      </c>
      <c r="BG85" s="1141">
        <v>0</v>
      </c>
      <c r="BH85" s="1141">
        <v>0</v>
      </c>
      <c r="BI85" s="1141">
        <v>0</v>
      </c>
      <c r="BJ85" s="1141">
        <v>0</v>
      </c>
      <c r="BK85" s="1141">
        <v>0</v>
      </c>
      <c r="BL85" s="1141">
        <v>0</v>
      </c>
      <c r="BM85" s="1141">
        <v>0</v>
      </c>
      <c r="BN85" s="1141">
        <v>0</v>
      </c>
      <c r="BO85" s="1141">
        <v>0</v>
      </c>
      <c r="BP85" s="1141">
        <v>0</v>
      </c>
      <c r="BQ85" s="1141">
        <v>0</v>
      </c>
      <c r="BR85" s="1141">
        <v>0</v>
      </c>
      <c r="BS85" s="1141">
        <v>0</v>
      </c>
      <c r="BT85" s="1141">
        <v>0</v>
      </c>
      <c r="BU85" s="1141">
        <v>0</v>
      </c>
      <c r="BV85" s="1141">
        <v>0</v>
      </c>
      <c r="BW85" s="1141">
        <v>0</v>
      </c>
      <c r="BX85" s="1141">
        <v>0</v>
      </c>
      <c r="BY85" s="1141">
        <v>0</v>
      </c>
      <c r="BZ85" s="1141">
        <v>0</v>
      </c>
      <c r="CA85" s="1141">
        <v>0</v>
      </c>
      <c r="CB85" s="1141">
        <v>0</v>
      </c>
      <c r="CC85" s="1141">
        <v>0</v>
      </c>
      <c r="CD85" s="1141">
        <v>0</v>
      </c>
      <c r="CE85" s="1141">
        <v>0</v>
      </c>
      <c r="CF85" s="1141">
        <v>0</v>
      </c>
      <c r="CG85" s="1141">
        <v>0</v>
      </c>
      <c r="CH85" s="1141">
        <v>0</v>
      </c>
      <c r="CI85" s="1141">
        <v>0</v>
      </c>
    </row>
    <row r="86" spans="1:87" s="66" customFormat="1" ht="26.25" thickBot="1" x14ac:dyDescent="0.25">
      <c r="A86" s="1968"/>
      <c r="B86" s="309" t="s">
        <v>74</v>
      </c>
      <c r="C86" s="97" t="s">
        <v>69</v>
      </c>
      <c r="D86" s="97" t="s">
        <v>68</v>
      </c>
      <c r="E86" s="622" t="s">
        <v>608</v>
      </c>
      <c r="F86" s="1164">
        <v>0</v>
      </c>
      <c r="G86" s="1163"/>
      <c r="H86" s="1758">
        <v>0</v>
      </c>
      <c r="I86" s="1758">
        <v>0</v>
      </c>
      <c r="J86" s="1758">
        <v>0</v>
      </c>
      <c r="K86" s="1758">
        <v>0</v>
      </c>
      <c r="L86" s="1758">
        <v>0</v>
      </c>
      <c r="M86" s="1758">
        <v>0</v>
      </c>
      <c r="N86" s="1758">
        <v>0</v>
      </c>
      <c r="O86" s="1758">
        <v>0</v>
      </c>
      <c r="P86" s="1758">
        <v>0</v>
      </c>
      <c r="Q86" s="1758">
        <v>0</v>
      </c>
      <c r="R86" s="1758">
        <v>0</v>
      </c>
      <c r="S86" s="1758">
        <v>0</v>
      </c>
      <c r="T86" s="1758">
        <v>0</v>
      </c>
      <c r="U86" s="1758">
        <v>0</v>
      </c>
      <c r="V86" s="1758">
        <v>0</v>
      </c>
      <c r="W86" s="1758">
        <v>0</v>
      </c>
      <c r="X86" s="1758">
        <v>0</v>
      </c>
      <c r="Y86" s="1758">
        <v>0</v>
      </c>
      <c r="Z86" s="1758">
        <v>0</v>
      </c>
      <c r="AA86" s="1758">
        <v>0</v>
      </c>
      <c r="AB86" s="1758">
        <v>0</v>
      </c>
      <c r="AC86" s="1758">
        <v>0</v>
      </c>
      <c r="AD86" s="1758">
        <v>0</v>
      </c>
      <c r="AE86" s="1758">
        <v>0</v>
      </c>
      <c r="AF86" s="1758">
        <v>0</v>
      </c>
      <c r="AG86" s="1758">
        <v>0</v>
      </c>
      <c r="AH86" s="1758">
        <v>0</v>
      </c>
      <c r="AI86" s="1758">
        <v>0</v>
      </c>
      <c r="AJ86" s="1758">
        <v>0</v>
      </c>
      <c r="AK86" s="1758">
        <v>0</v>
      </c>
      <c r="AL86" s="1758">
        <v>0</v>
      </c>
      <c r="AM86" s="1758">
        <v>0</v>
      </c>
      <c r="AN86" s="1758">
        <v>0</v>
      </c>
      <c r="AO86" s="1758">
        <v>0</v>
      </c>
      <c r="AP86" s="1758">
        <v>0</v>
      </c>
      <c r="AQ86" s="1758">
        <v>0</v>
      </c>
      <c r="AR86" s="1758">
        <v>0</v>
      </c>
      <c r="AS86" s="1758">
        <v>0</v>
      </c>
      <c r="AT86" s="1758">
        <v>0</v>
      </c>
      <c r="AU86" s="1758">
        <v>0</v>
      </c>
      <c r="AV86" s="1758">
        <v>0</v>
      </c>
      <c r="AW86" s="1758">
        <v>0</v>
      </c>
      <c r="AX86" s="1758">
        <v>0</v>
      </c>
      <c r="AY86" s="1758">
        <v>0</v>
      </c>
      <c r="AZ86" s="1758">
        <v>0</v>
      </c>
      <c r="BA86" s="1758">
        <v>0</v>
      </c>
      <c r="BB86" s="1758">
        <v>0</v>
      </c>
      <c r="BC86" s="1758">
        <v>0</v>
      </c>
      <c r="BD86" s="1758">
        <v>0</v>
      </c>
      <c r="BE86" s="1758">
        <v>0</v>
      </c>
      <c r="BF86" s="1758">
        <v>0</v>
      </c>
      <c r="BG86" s="1758">
        <v>0</v>
      </c>
      <c r="BH86" s="1758">
        <v>0</v>
      </c>
      <c r="BI86" s="1758">
        <v>0</v>
      </c>
      <c r="BJ86" s="1758">
        <v>0</v>
      </c>
      <c r="BK86" s="1758">
        <v>0</v>
      </c>
      <c r="BL86" s="1758">
        <v>0</v>
      </c>
      <c r="BM86" s="1758">
        <v>0</v>
      </c>
      <c r="BN86" s="1758">
        <v>0</v>
      </c>
      <c r="BO86" s="1758">
        <v>0</v>
      </c>
      <c r="BP86" s="1758">
        <v>0</v>
      </c>
      <c r="BQ86" s="1758">
        <v>0</v>
      </c>
      <c r="BR86" s="1758">
        <v>0</v>
      </c>
      <c r="BS86" s="1758">
        <v>0</v>
      </c>
      <c r="BT86" s="1758">
        <v>0</v>
      </c>
      <c r="BU86" s="1758">
        <v>0</v>
      </c>
      <c r="BV86" s="1758">
        <v>0</v>
      </c>
      <c r="BW86" s="1758">
        <v>0</v>
      </c>
      <c r="BX86" s="1758">
        <v>0</v>
      </c>
      <c r="BY86" s="1758">
        <v>0</v>
      </c>
      <c r="BZ86" s="1758">
        <v>0</v>
      </c>
      <c r="CA86" s="1758">
        <v>0</v>
      </c>
      <c r="CB86" s="1758">
        <v>0</v>
      </c>
      <c r="CC86" s="1758">
        <v>0</v>
      </c>
      <c r="CD86" s="1758">
        <v>0</v>
      </c>
      <c r="CE86" s="1758">
        <v>0</v>
      </c>
      <c r="CF86" s="1758">
        <v>0</v>
      </c>
      <c r="CG86" s="1758">
        <v>0</v>
      </c>
      <c r="CH86" s="1758">
        <v>0</v>
      </c>
      <c r="CI86" s="1758">
        <v>0</v>
      </c>
    </row>
    <row r="87" spans="1:87" s="66" customFormat="1" ht="21" customHeight="1" thickBot="1" x14ac:dyDescent="0.25">
      <c r="A87" s="1968"/>
      <c r="B87" s="1944" t="s">
        <v>1320</v>
      </c>
      <c r="C87" s="1945"/>
      <c r="D87" s="1945"/>
      <c r="E87" s="1946"/>
      <c r="F87" s="96">
        <f>SUM(F83:F86)</f>
        <v>0</v>
      </c>
      <c r="G87" s="700"/>
      <c r="H87" s="96">
        <f t="shared" ref="H87:Q87" si="24">SUM(H83:H86)</f>
        <v>0</v>
      </c>
      <c r="I87" s="96">
        <f t="shared" si="24"/>
        <v>0</v>
      </c>
      <c r="J87" s="96">
        <f t="shared" si="24"/>
        <v>0</v>
      </c>
      <c r="K87" s="96">
        <f t="shared" si="24"/>
        <v>0</v>
      </c>
      <c r="L87" s="96">
        <f t="shared" si="24"/>
        <v>0</v>
      </c>
      <c r="M87" s="96">
        <f t="shared" si="24"/>
        <v>0</v>
      </c>
      <c r="N87" s="96">
        <f t="shared" si="24"/>
        <v>0</v>
      </c>
      <c r="O87" s="96">
        <f t="shared" si="24"/>
        <v>0</v>
      </c>
      <c r="P87" s="96">
        <f t="shared" si="24"/>
        <v>0</v>
      </c>
      <c r="Q87" s="96">
        <f t="shared" si="24"/>
        <v>0</v>
      </c>
      <c r="R87" s="96">
        <f t="shared" ref="R87:CC87" si="25">SUM(R83:R86)</f>
        <v>0</v>
      </c>
      <c r="S87" s="96">
        <f t="shared" si="25"/>
        <v>0</v>
      </c>
      <c r="T87" s="96">
        <f t="shared" si="25"/>
        <v>0</v>
      </c>
      <c r="U87" s="96">
        <f t="shared" si="25"/>
        <v>0</v>
      </c>
      <c r="V87" s="96">
        <f t="shared" si="25"/>
        <v>0</v>
      </c>
      <c r="W87" s="96">
        <f t="shared" si="25"/>
        <v>0</v>
      </c>
      <c r="X87" s="96">
        <f t="shared" si="25"/>
        <v>0</v>
      </c>
      <c r="Y87" s="96">
        <f t="shared" si="25"/>
        <v>0</v>
      </c>
      <c r="Z87" s="96">
        <f t="shared" si="25"/>
        <v>0</v>
      </c>
      <c r="AA87" s="96">
        <f t="shared" si="25"/>
        <v>0</v>
      </c>
      <c r="AB87" s="96">
        <f t="shared" si="25"/>
        <v>0</v>
      </c>
      <c r="AC87" s="96">
        <f t="shared" si="25"/>
        <v>0</v>
      </c>
      <c r="AD87" s="96">
        <f t="shared" si="25"/>
        <v>0</v>
      </c>
      <c r="AE87" s="96">
        <f t="shared" si="25"/>
        <v>0</v>
      </c>
      <c r="AF87" s="96">
        <f t="shared" si="25"/>
        <v>0</v>
      </c>
      <c r="AG87" s="96">
        <f t="shared" si="25"/>
        <v>0</v>
      </c>
      <c r="AH87" s="96">
        <f t="shared" si="25"/>
        <v>0</v>
      </c>
      <c r="AI87" s="96">
        <f t="shared" si="25"/>
        <v>0</v>
      </c>
      <c r="AJ87" s="96">
        <f t="shared" si="25"/>
        <v>0</v>
      </c>
      <c r="AK87" s="96">
        <f t="shared" si="25"/>
        <v>0</v>
      </c>
      <c r="AL87" s="96">
        <f t="shared" si="25"/>
        <v>0</v>
      </c>
      <c r="AM87" s="96">
        <f t="shared" si="25"/>
        <v>0</v>
      </c>
      <c r="AN87" s="96">
        <f t="shared" si="25"/>
        <v>0</v>
      </c>
      <c r="AO87" s="96">
        <f t="shared" si="25"/>
        <v>0</v>
      </c>
      <c r="AP87" s="96">
        <f t="shared" si="25"/>
        <v>0</v>
      </c>
      <c r="AQ87" s="96">
        <f t="shared" si="25"/>
        <v>0</v>
      </c>
      <c r="AR87" s="96">
        <f t="shared" si="25"/>
        <v>0</v>
      </c>
      <c r="AS87" s="96">
        <f t="shared" si="25"/>
        <v>0</v>
      </c>
      <c r="AT87" s="96">
        <f t="shared" si="25"/>
        <v>0</v>
      </c>
      <c r="AU87" s="96">
        <f t="shared" si="25"/>
        <v>0</v>
      </c>
      <c r="AV87" s="96">
        <f t="shared" si="25"/>
        <v>0</v>
      </c>
      <c r="AW87" s="96">
        <f t="shared" si="25"/>
        <v>0</v>
      </c>
      <c r="AX87" s="96">
        <f t="shared" si="25"/>
        <v>0</v>
      </c>
      <c r="AY87" s="96">
        <f t="shared" si="25"/>
        <v>0</v>
      </c>
      <c r="AZ87" s="96">
        <f t="shared" si="25"/>
        <v>0</v>
      </c>
      <c r="BA87" s="96">
        <f t="shared" si="25"/>
        <v>0</v>
      </c>
      <c r="BB87" s="96">
        <f t="shared" si="25"/>
        <v>0</v>
      </c>
      <c r="BC87" s="96">
        <f t="shared" si="25"/>
        <v>0</v>
      </c>
      <c r="BD87" s="96">
        <f t="shared" si="25"/>
        <v>0</v>
      </c>
      <c r="BE87" s="96">
        <f t="shared" si="25"/>
        <v>0</v>
      </c>
      <c r="BF87" s="96">
        <f t="shared" si="25"/>
        <v>0</v>
      </c>
      <c r="BG87" s="96">
        <f t="shared" si="25"/>
        <v>0</v>
      </c>
      <c r="BH87" s="96">
        <f t="shared" si="25"/>
        <v>0</v>
      </c>
      <c r="BI87" s="96">
        <f t="shared" si="25"/>
        <v>0</v>
      </c>
      <c r="BJ87" s="96">
        <f t="shared" si="25"/>
        <v>0</v>
      </c>
      <c r="BK87" s="96">
        <f t="shared" si="25"/>
        <v>0</v>
      </c>
      <c r="BL87" s="96">
        <f t="shared" si="25"/>
        <v>0</v>
      </c>
      <c r="BM87" s="96">
        <f t="shared" si="25"/>
        <v>0</v>
      </c>
      <c r="BN87" s="96">
        <f t="shared" si="25"/>
        <v>0</v>
      </c>
      <c r="BO87" s="96">
        <f t="shared" si="25"/>
        <v>0</v>
      </c>
      <c r="BP87" s="96">
        <f t="shared" si="25"/>
        <v>0</v>
      </c>
      <c r="BQ87" s="96">
        <f t="shared" si="25"/>
        <v>0</v>
      </c>
      <c r="BR87" s="96">
        <f t="shared" si="25"/>
        <v>0</v>
      </c>
      <c r="BS87" s="96">
        <f t="shared" si="25"/>
        <v>0</v>
      </c>
      <c r="BT87" s="96">
        <f t="shared" si="25"/>
        <v>0</v>
      </c>
      <c r="BU87" s="96">
        <f t="shared" si="25"/>
        <v>0</v>
      </c>
      <c r="BV87" s="96">
        <f t="shared" si="25"/>
        <v>0</v>
      </c>
      <c r="BW87" s="96">
        <f t="shared" si="25"/>
        <v>0</v>
      </c>
      <c r="BX87" s="96">
        <f t="shared" si="25"/>
        <v>0</v>
      </c>
      <c r="BY87" s="96">
        <f t="shared" si="25"/>
        <v>0</v>
      </c>
      <c r="BZ87" s="96">
        <f t="shared" si="25"/>
        <v>0</v>
      </c>
      <c r="CA87" s="96">
        <f t="shared" si="25"/>
        <v>0</v>
      </c>
      <c r="CB87" s="96">
        <f t="shared" si="25"/>
        <v>0</v>
      </c>
      <c r="CC87" s="96">
        <f t="shared" si="25"/>
        <v>0</v>
      </c>
      <c r="CD87" s="96">
        <f t="shared" ref="CD87:CI87" si="26">SUM(CD83:CD86)</f>
        <v>0</v>
      </c>
      <c r="CE87" s="96">
        <f t="shared" si="26"/>
        <v>0</v>
      </c>
      <c r="CF87" s="96">
        <f t="shared" si="26"/>
        <v>0</v>
      </c>
      <c r="CG87" s="96">
        <f t="shared" si="26"/>
        <v>0</v>
      </c>
      <c r="CH87" s="96">
        <f t="shared" si="26"/>
        <v>0</v>
      </c>
      <c r="CI87" s="96">
        <f t="shared" si="26"/>
        <v>0</v>
      </c>
    </row>
    <row r="88" spans="1:87" s="66" customFormat="1" ht="21" customHeight="1" thickBot="1" x14ac:dyDescent="0.25">
      <c r="A88" s="1969"/>
      <c r="B88" s="1942"/>
      <c r="C88" s="1943"/>
      <c r="D88" s="1943"/>
      <c r="E88" s="93" t="s">
        <v>469</v>
      </c>
      <c r="F88" s="994">
        <f>F87/12</f>
        <v>0</v>
      </c>
      <c r="G88" s="701"/>
      <c r="H88" s="994">
        <f t="shared" ref="H88:Q88" si="27">H87/12</f>
        <v>0</v>
      </c>
      <c r="I88" s="994">
        <f t="shared" si="27"/>
        <v>0</v>
      </c>
      <c r="J88" s="994">
        <f t="shared" si="27"/>
        <v>0</v>
      </c>
      <c r="K88" s="994">
        <f t="shared" si="27"/>
        <v>0</v>
      </c>
      <c r="L88" s="994">
        <f t="shared" si="27"/>
        <v>0</v>
      </c>
      <c r="M88" s="994">
        <f t="shared" si="27"/>
        <v>0</v>
      </c>
      <c r="N88" s="994">
        <f t="shared" si="27"/>
        <v>0</v>
      </c>
      <c r="O88" s="994">
        <f t="shared" si="27"/>
        <v>0</v>
      </c>
      <c r="P88" s="994">
        <f t="shared" si="27"/>
        <v>0</v>
      </c>
      <c r="Q88" s="994">
        <f t="shared" si="27"/>
        <v>0</v>
      </c>
      <c r="R88" s="994">
        <f t="shared" ref="R88:CC88" si="28">R87/12</f>
        <v>0</v>
      </c>
      <c r="S88" s="994">
        <f t="shared" si="28"/>
        <v>0</v>
      </c>
      <c r="T88" s="994">
        <f t="shared" si="28"/>
        <v>0</v>
      </c>
      <c r="U88" s="994">
        <f t="shared" si="28"/>
        <v>0</v>
      </c>
      <c r="V88" s="994">
        <f t="shared" si="28"/>
        <v>0</v>
      </c>
      <c r="W88" s="994">
        <f t="shared" si="28"/>
        <v>0</v>
      </c>
      <c r="X88" s="994">
        <f t="shared" si="28"/>
        <v>0</v>
      </c>
      <c r="Y88" s="994">
        <f t="shared" si="28"/>
        <v>0</v>
      </c>
      <c r="Z88" s="994">
        <f t="shared" si="28"/>
        <v>0</v>
      </c>
      <c r="AA88" s="994">
        <f t="shared" si="28"/>
        <v>0</v>
      </c>
      <c r="AB88" s="994">
        <f t="shared" si="28"/>
        <v>0</v>
      </c>
      <c r="AC88" s="994">
        <f t="shared" si="28"/>
        <v>0</v>
      </c>
      <c r="AD88" s="994">
        <f t="shared" si="28"/>
        <v>0</v>
      </c>
      <c r="AE88" s="994">
        <f t="shared" si="28"/>
        <v>0</v>
      </c>
      <c r="AF88" s="994">
        <f t="shared" si="28"/>
        <v>0</v>
      </c>
      <c r="AG88" s="994">
        <f t="shared" si="28"/>
        <v>0</v>
      </c>
      <c r="AH88" s="994">
        <f t="shared" si="28"/>
        <v>0</v>
      </c>
      <c r="AI88" s="994">
        <f t="shared" si="28"/>
        <v>0</v>
      </c>
      <c r="AJ88" s="994">
        <f t="shared" si="28"/>
        <v>0</v>
      </c>
      <c r="AK88" s="994">
        <f t="shared" si="28"/>
        <v>0</v>
      </c>
      <c r="AL88" s="994">
        <f t="shared" si="28"/>
        <v>0</v>
      </c>
      <c r="AM88" s="994">
        <f t="shared" si="28"/>
        <v>0</v>
      </c>
      <c r="AN88" s="994">
        <f t="shared" si="28"/>
        <v>0</v>
      </c>
      <c r="AO88" s="994">
        <f t="shared" si="28"/>
        <v>0</v>
      </c>
      <c r="AP88" s="994">
        <f t="shared" si="28"/>
        <v>0</v>
      </c>
      <c r="AQ88" s="994">
        <f t="shared" si="28"/>
        <v>0</v>
      </c>
      <c r="AR88" s="994">
        <f t="shared" si="28"/>
        <v>0</v>
      </c>
      <c r="AS88" s="994">
        <f t="shared" si="28"/>
        <v>0</v>
      </c>
      <c r="AT88" s="994">
        <f t="shared" si="28"/>
        <v>0</v>
      </c>
      <c r="AU88" s="994">
        <f t="shared" si="28"/>
        <v>0</v>
      </c>
      <c r="AV88" s="994">
        <f t="shared" si="28"/>
        <v>0</v>
      </c>
      <c r="AW88" s="994">
        <f t="shared" si="28"/>
        <v>0</v>
      </c>
      <c r="AX88" s="994">
        <f t="shared" si="28"/>
        <v>0</v>
      </c>
      <c r="AY88" s="994">
        <f t="shared" si="28"/>
        <v>0</v>
      </c>
      <c r="AZ88" s="994">
        <f t="shared" si="28"/>
        <v>0</v>
      </c>
      <c r="BA88" s="994">
        <f t="shared" si="28"/>
        <v>0</v>
      </c>
      <c r="BB88" s="994">
        <f t="shared" si="28"/>
        <v>0</v>
      </c>
      <c r="BC88" s="994">
        <f t="shared" si="28"/>
        <v>0</v>
      </c>
      <c r="BD88" s="994">
        <f t="shared" si="28"/>
        <v>0</v>
      </c>
      <c r="BE88" s="994">
        <f t="shared" si="28"/>
        <v>0</v>
      </c>
      <c r="BF88" s="994">
        <f t="shared" si="28"/>
        <v>0</v>
      </c>
      <c r="BG88" s="994">
        <f t="shared" si="28"/>
        <v>0</v>
      </c>
      <c r="BH88" s="994">
        <f t="shared" si="28"/>
        <v>0</v>
      </c>
      <c r="BI88" s="994">
        <f t="shared" si="28"/>
        <v>0</v>
      </c>
      <c r="BJ88" s="994">
        <f t="shared" si="28"/>
        <v>0</v>
      </c>
      <c r="BK88" s="994">
        <f t="shared" si="28"/>
        <v>0</v>
      </c>
      <c r="BL88" s="994">
        <f t="shared" si="28"/>
        <v>0</v>
      </c>
      <c r="BM88" s="994">
        <f t="shared" si="28"/>
        <v>0</v>
      </c>
      <c r="BN88" s="994">
        <f t="shared" si="28"/>
        <v>0</v>
      </c>
      <c r="BO88" s="994">
        <f t="shared" si="28"/>
        <v>0</v>
      </c>
      <c r="BP88" s="994">
        <f t="shared" si="28"/>
        <v>0</v>
      </c>
      <c r="BQ88" s="994">
        <f t="shared" si="28"/>
        <v>0</v>
      </c>
      <c r="BR88" s="994">
        <f t="shared" si="28"/>
        <v>0</v>
      </c>
      <c r="BS88" s="994">
        <f t="shared" si="28"/>
        <v>0</v>
      </c>
      <c r="BT88" s="994">
        <f t="shared" si="28"/>
        <v>0</v>
      </c>
      <c r="BU88" s="994">
        <f t="shared" si="28"/>
        <v>0</v>
      </c>
      <c r="BV88" s="994">
        <f t="shared" si="28"/>
        <v>0</v>
      </c>
      <c r="BW88" s="994">
        <f t="shared" si="28"/>
        <v>0</v>
      </c>
      <c r="BX88" s="994">
        <f t="shared" si="28"/>
        <v>0</v>
      </c>
      <c r="BY88" s="994">
        <f t="shared" si="28"/>
        <v>0</v>
      </c>
      <c r="BZ88" s="994">
        <f t="shared" si="28"/>
        <v>0</v>
      </c>
      <c r="CA88" s="994">
        <f t="shared" si="28"/>
        <v>0</v>
      </c>
      <c r="CB88" s="994">
        <f t="shared" si="28"/>
        <v>0</v>
      </c>
      <c r="CC88" s="994">
        <f t="shared" si="28"/>
        <v>0</v>
      </c>
      <c r="CD88" s="994">
        <f t="shared" ref="CD88:CI88" si="29">CD87/12</f>
        <v>0</v>
      </c>
      <c r="CE88" s="994">
        <f t="shared" si="29"/>
        <v>0</v>
      </c>
      <c r="CF88" s="994">
        <f t="shared" si="29"/>
        <v>0</v>
      </c>
      <c r="CG88" s="994">
        <f t="shared" si="29"/>
        <v>0</v>
      </c>
      <c r="CH88" s="994">
        <f t="shared" si="29"/>
        <v>0</v>
      </c>
      <c r="CI88" s="994">
        <f t="shared" si="29"/>
        <v>0</v>
      </c>
    </row>
    <row r="89" spans="1:87" ht="12.75" hidden="1" customHeight="1" x14ac:dyDescent="0.2">
      <c r="H89" s="27"/>
      <c r="I89" s="27"/>
      <c r="J89" s="27"/>
      <c r="K89" s="27"/>
      <c r="L89" s="27"/>
      <c r="R89" s="27"/>
      <c r="S89" s="27"/>
      <c r="T89" s="27"/>
      <c r="U89" s="27"/>
      <c r="V89" s="27"/>
      <c r="AB89" s="27"/>
      <c r="AC89" s="27"/>
      <c r="AD89" s="27"/>
      <c r="AE89" s="27"/>
      <c r="AF89" s="27"/>
      <c r="AL89" s="27"/>
      <c r="AM89" s="27"/>
      <c r="AN89" s="27"/>
      <c r="AO89" s="27"/>
      <c r="AP89" s="27"/>
      <c r="AV89" s="27"/>
      <c r="AW89" s="27"/>
      <c r="AX89" s="27"/>
      <c r="AY89" s="27"/>
      <c r="AZ89" s="27"/>
      <c r="BF89" s="27"/>
      <c r="BG89" s="27"/>
      <c r="BH89" s="27"/>
      <c r="BI89" s="27"/>
      <c r="BJ89" s="27"/>
      <c r="BP89" s="27"/>
      <c r="BQ89" s="27"/>
      <c r="BR89" s="27"/>
      <c r="BS89" s="27"/>
      <c r="BT89" s="27"/>
      <c r="BZ89" s="27"/>
      <c r="CA89" s="27"/>
      <c r="CB89" s="27"/>
      <c r="CC89" s="27"/>
      <c r="CD89" s="27"/>
    </row>
  </sheetData>
  <sheetProtection password="C4B9" sheet="1" objects="1" scenarios="1" formatCells="0" formatColumns="0" formatRows="0"/>
  <customSheetViews>
    <customSheetView guid="{B8E02330-2419-4DE6-AD01-7ACC7A5D18DD}" topLeftCell="A2">
      <selection activeCell="B157" sqref="B157:E157"/>
      <rowBreaks count="4" manualBreakCount="4">
        <brk id="36" max="5" man="1"/>
        <brk id="70" max="5" man="1"/>
        <brk id="109" max="16383" man="1"/>
        <brk id="148" max="16383" man="1"/>
      </rowBreaks>
      <pageMargins left="0.25" right="0.25" top="0.75" bottom="0.75" header="0.3" footer="0.3"/>
      <printOptions horizontalCentered="1"/>
      <pageSetup scale="75" orientation="portrait" r:id="rId1"/>
      <headerFooter alignWithMargins="0">
        <oddFooter>&amp;CWESPUS betaV1, by Dr. Paul Adamus</oddFooter>
      </headerFooter>
    </customSheetView>
  </customSheetViews>
  <mergeCells count="72">
    <mergeCell ref="A71:A88"/>
    <mergeCell ref="B11:E11"/>
    <mergeCell ref="B13:E13"/>
    <mergeCell ref="B38:E38"/>
    <mergeCell ref="B51:E51"/>
    <mergeCell ref="B14:E14"/>
    <mergeCell ref="B12:E12"/>
    <mergeCell ref="A3:A24"/>
    <mergeCell ref="B4:E4"/>
    <mergeCell ref="B23:E23"/>
    <mergeCell ref="B8:E8"/>
    <mergeCell ref="B6:E6"/>
    <mergeCell ref="B25:E25"/>
    <mergeCell ref="B7:E7"/>
    <mergeCell ref="B9:E9"/>
    <mergeCell ref="A53:A70"/>
    <mergeCell ref="B26:E26"/>
    <mergeCell ref="B63:E63"/>
    <mergeCell ref="B39:D39"/>
    <mergeCell ref="B29:E29"/>
    <mergeCell ref="B30:E30"/>
    <mergeCell ref="B53:E53"/>
    <mergeCell ref="B32:E32"/>
    <mergeCell ref="B27:E27"/>
    <mergeCell ref="B31:E31"/>
    <mergeCell ref="B28:E28"/>
    <mergeCell ref="B72:E72"/>
    <mergeCell ref="B79:E79"/>
    <mergeCell ref="B40:E40"/>
    <mergeCell ref="B60:E60"/>
    <mergeCell ref="B54:E54"/>
    <mergeCell ref="B57:E57"/>
    <mergeCell ref="B56:E56"/>
    <mergeCell ref="B78:E78"/>
    <mergeCell ref="B55:E55"/>
    <mergeCell ref="B44:E44"/>
    <mergeCell ref="B74:E74"/>
    <mergeCell ref="B70:D70"/>
    <mergeCell ref="B41:E41"/>
    <mergeCell ref="B52:D52"/>
    <mergeCell ref="B10:E10"/>
    <mergeCell ref="G25:G39"/>
    <mergeCell ref="G40:G52"/>
    <mergeCell ref="A40:A52"/>
    <mergeCell ref="B88:D88"/>
    <mergeCell ref="A25:A39"/>
    <mergeCell ref="B33:E33"/>
    <mergeCell ref="B87:E87"/>
    <mergeCell ref="B77:E77"/>
    <mergeCell ref="B73:E73"/>
    <mergeCell ref="B76:E76"/>
    <mergeCell ref="B61:E61"/>
    <mergeCell ref="B80:E80"/>
    <mergeCell ref="B81:E81"/>
    <mergeCell ref="B75:E75"/>
    <mergeCell ref="B71:E71"/>
    <mergeCell ref="A1:C1"/>
    <mergeCell ref="A2:E2"/>
    <mergeCell ref="B69:D69"/>
    <mergeCell ref="B24:D24"/>
    <mergeCell ref="B20:E20"/>
    <mergeCell ref="B3:E3"/>
    <mergeCell ref="B5:E5"/>
    <mergeCell ref="B15:E15"/>
    <mergeCell ref="B16:E16"/>
    <mergeCell ref="B58:E58"/>
    <mergeCell ref="B59:E59"/>
    <mergeCell ref="B42:E42"/>
    <mergeCell ref="B45:E45"/>
    <mergeCell ref="B62:E62"/>
    <mergeCell ref="B46:E46"/>
    <mergeCell ref="B43:E43"/>
  </mergeCells>
  <phoneticPr fontId="29" type="noConversion"/>
  <dataValidations count="1">
    <dataValidation type="whole" allowBlank="1" showErrorMessage="1" sqref="F83:F86 F48:F50 F65:F68 F35:F37 F18:F22 H83:CI86 H48:CI50 H65:CI68 H35:CI37 H18:CI22">
      <formula1>0</formula1>
      <formula2>3</formula2>
    </dataValidation>
  </dataValidations>
  <printOptions horizontalCentered="1"/>
  <pageMargins left="0.25" right="0.25" top="0.75" bottom="0.75" header="0.3" footer="0.3"/>
  <pageSetup scale="75" orientation="portrait" r:id="rId2"/>
  <headerFooter alignWithMargins="0">
    <oddFooter>&amp;LFieldS form Non-tidal&amp;R&amp;P</oddFooter>
  </headerFooter>
  <rowBreaks count="2" manualBreakCount="2">
    <brk id="2" max="5"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2A2DC"/>
  </sheetPr>
  <dimension ref="A1:HK58"/>
  <sheetViews>
    <sheetView zoomScaleNormal="100" workbookViewId="0">
      <selection activeCell="I39" sqref="I39"/>
    </sheetView>
  </sheetViews>
  <sheetFormatPr defaultColWidth="9.33203125" defaultRowHeight="30" customHeight="1" x14ac:dyDescent="0.2"/>
  <cols>
    <col min="1" max="1" width="7.6640625" style="569" bestFit="1" customWidth="1"/>
    <col min="2" max="2" width="25.83203125" style="916" customWidth="1"/>
    <col min="3" max="3" width="55.83203125" style="113" customWidth="1"/>
    <col min="4" max="4" width="10.83203125" style="570" customWidth="1"/>
    <col min="5" max="5" width="10.83203125" style="1193" customWidth="1"/>
    <col min="6" max="6" width="86.83203125" style="126" customWidth="1"/>
    <col min="7" max="7" width="13.33203125" style="601" customWidth="1"/>
    <col min="8" max="8" width="11.83203125" style="601" bestFit="1" customWidth="1"/>
    <col min="9" max="9" width="12.6640625" style="601" bestFit="1" customWidth="1"/>
    <col min="10" max="11" width="10.6640625" style="601" bestFit="1" customWidth="1"/>
    <col min="12" max="12" width="11.6640625" style="601" bestFit="1" customWidth="1"/>
    <col min="13" max="13" width="12.6640625" style="601" bestFit="1" customWidth="1"/>
    <col min="14" max="14" width="10.83203125" style="601" bestFit="1" customWidth="1"/>
    <col min="15" max="15" width="13.83203125" style="601" bestFit="1" customWidth="1"/>
    <col min="16" max="17" width="11.6640625" style="601" bestFit="1" customWidth="1"/>
    <col min="18" max="18" width="10.83203125" style="601" bestFit="1" customWidth="1"/>
    <col min="19" max="19" width="11.6640625" style="601" bestFit="1" customWidth="1"/>
    <col min="20" max="20" width="13.83203125" style="601" bestFit="1" customWidth="1"/>
    <col min="21" max="21" width="10.6640625" style="601" bestFit="1" customWidth="1"/>
    <col min="22" max="22" width="11.6640625" style="601" bestFit="1" customWidth="1"/>
    <col min="23" max="23" width="9.5" style="601" bestFit="1" customWidth="1"/>
    <col min="24" max="24" width="11.6640625" style="601" bestFit="1" customWidth="1"/>
    <col min="25" max="25" width="10.6640625" style="601" bestFit="1" customWidth="1"/>
    <col min="26" max="26" width="11.6640625" style="601" bestFit="1" customWidth="1"/>
    <col min="27" max="27" width="13.83203125" style="601" bestFit="1" customWidth="1"/>
    <col min="28" max="28" width="12.6640625" style="601" bestFit="1" customWidth="1"/>
    <col min="29" max="29" width="9.5" style="601" bestFit="1" customWidth="1"/>
    <col min="30" max="30" width="10.83203125" style="601" bestFit="1" customWidth="1"/>
    <col min="31" max="31" width="14.83203125" style="601" bestFit="1" customWidth="1"/>
    <col min="32" max="32" width="11.6640625" style="601" bestFit="1" customWidth="1"/>
    <col min="33" max="33" width="14.83203125" style="601" bestFit="1" customWidth="1"/>
    <col min="34" max="35" width="11.6640625" style="601" bestFit="1" customWidth="1"/>
    <col min="36" max="36" width="10.83203125" style="601" bestFit="1" customWidth="1"/>
    <col min="37" max="37" width="12.6640625" style="601" bestFit="1" customWidth="1"/>
    <col min="38" max="38" width="10.83203125" style="601" bestFit="1" customWidth="1"/>
    <col min="39" max="39" width="14.83203125" style="601" bestFit="1" customWidth="1"/>
    <col min="40" max="41" width="10.6640625" style="601" bestFit="1" customWidth="1"/>
    <col min="42" max="42" width="12.6640625" style="601" bestFit="1" customWidth="1"/>
    <col min="43" max="43" width="9.5" style="601" bestFit="1" customWidth="1"/>
    <col min="44" max="45" width="11.6640625" style="601" bestFit="1" customWidth="1"/>
    <col min="46" max="46" width="13.83203125" style="601" bestFit="1" customWidth="1"/>
    <col min="47" max="47" width="12.6640625" style="601" bestFit="1" customWidth="1"/>
    <col min="48" max="48" width="10.83203125" style="601" bestFit="1" customWidth="1"/>
    <col min="49" max="50" width="11.6640625" style="601" bestFit="1" customWidth="1"/>
    <col min="51" max="51" width="10.6640625" style="601" bestFit="1" customWidth="1"/>
    <col min="52" max="53" width="11.6640625" style="601" bestFit="1" customWidth="1"/>
    <col min="54" max="54" width="10.83203125" style="601" bestFit="1" customWidth="1"/>
    <col min="55" max="55" width="13.83203125" style="601" bestFit="1" customWidth="1"/>
    <col min="56" max="56" width="12.6640625" style="601" bestFit="1" customWidth="1"/>
    <col min="57" max="57" width="9.5" style="601" bestFit="1" customWidth="1"/>
    <col min="58" max="58" width="11.6640625" style="601" bestFit="1" customWidth="1"/>
    <col min="59" max="59" width="10.6640625" style="601" bestFit="1" customWidth="1"/>
    <col min="60" max="60" width="11.6640625" style="601" bestFit="1" customWidth="1"/>
    <col min="61" max="61" width="13.83203125" style="601" bestFit="1" customWidth="1"/>
    <col min="62" max="63" width="9.5" style="601" customWidth="1"/>
    <col min="64" max="65" width="12.6640625" style="601" bestFit="1" customWidth="1"/>
    <col min="66" max="66" width="11.6640625" style="601" bestFit="1" customWidth="1"/>
    <col min="67" max="69" width="12.6640625" style="601" bestFit="1" customWidth="1"/>
    <col min="70" max="70" width="10.6640625" style="601" bestFit="1" customWidth="1"/>
    <col min="71" max="71" width="13.83203125" style="601" bestFit="1" customWidth="1"/>
    <col min="72" max="72" width="10.6640625" style="601" bestFit="1" customWidth="1"/>
    <col min="73" max="73" width="11.6640625" style="601" bestFit="1" customWidth="1"/>
    <col min="74" max="75" width="10.6640625" style="601" bestFit="1" customWidth="1"/>
    <col min="76" max="76" width="11.6640625" style="601" bestFit="1" customWidth="1"/>
    <col min="77" max="77" width="10.6640625" style="601" bestFit="1" customWidth="1"/>
    <col min="78" max="78" width="10.83203125" style="601" bestFit="1" customWidth="1"/>
    <col min="79" max="79" width="12.6640625" style="601" bestFit="1" customWidth="1"/>
    <col min="80" max="81" width="11.6640625" style="601" bestFit="1" customWidth="1"/>
    <col min="82" max="82" width="12.83203125" style="601" bestFit="1" customWidth="1"/>
    <col min="83" max="83" width="13.83203125" style="601" bestFit="1" customWidth="1"/>
    <col min="84" max="84" width="11.6640625" style="601" bestFit="1" customWidth="1"/>
    <col min="85" max="85" width="10.6640625" style="601" bestFit="1" customWidth="1"/>
    <col min="86" max="87" width="11.6640625" style="601" bestFit="1" customWidth="1"/>
    <col min="88" max="88" width="13.83203125" style="601" bestFit="1" customWidth="1"/>
    <col min="89" max="89" width="9.5" style="601" bestFit="1" customWidth="1"/>
    <col min="90" max="90" width="11.6640625" style="601" bestFit="1" customWidth="1"/>
    <col min="91" max="91" width="9.5" style="601" bestFit="1" customWidth="1"/>
    <col min="92" max="92" width="13.83203125" style="601" bestFit="1" customWidth="1"/>
    <col min="93" max="93" width="11.6640625" style="601" bestFit="1" customWidth="1"/>
    <col min="94" max="94" width="11.83203125" style="602" bestFit="1" customWidth="1"/>
    <col min="95" max="95" width="12.6640625" style="602" bestFit="1" customWidth="1"/>
    <col min="96" max="96" width="10.83203125" style="603" bestFit="1" customWidth="1"/>
    <col min="97" max="97" width="11.6640625" style="603" bestFit="1" customWidth="1"/>
    <col min="98" max="98" width="11.83203125" style="603" bestFit="1" customWidth="1"/>
    <col min="99" max="99" width="12.6640625" style="603" bestFit="1" customWidth="1"/>
    <col min="100" max="101" width="11.6640625" style="603" bestFit="1" customWidth="1"/>
    <col min="102" max="102" width="11.83203125" style="603" bestFit="1" customWidth="1"/>
    <col min="103" max="103" width="12.6640625" style="603" bestFit="1" customWidth="1"/>
    <col min="104" max="104" width="11.83203125" style="603" bestFit="1" customWidth="1"/>
    <col min="105" max="105" width="12.6640625" style="603" bestFit="1" customWidth="1"/>
    <col min="106" max="106" width="11.6640625" style="603" bestFit="1" customWidth="1"/>
    <col min="107" max="107" width="12.6640625" style="603" bestFit="1" customWidth="1"/>
    <col min="108" max="109" width="11.6640625" style="603" bestFit="1" customWidth="1"/>
    <col min="110" max="110" width="12.6640625" style="603" bestFit="1" customWidth="1"/>
    <col min="111" max="111" width="10.6640625" style="603" bestFit="1" customWidth="1"/>
    <col min="112" max="112" width="14" style="603" bestFit="1" customWidth="1"/>
    <col min="113" max="113" width="10.6640625" style="603" bestFit="1" customWidth="1"/>
    <col min="114" max="114" width="11.6640625" style="603" bestFit="1" customWidth="1"/>
    <col min="115" max="115" width="9.5" style="603" bestFit="1" customWidth="1"/>
    <col min="116" max="116" width="12.83203125" style="603" bestFit="1" customWidth="1"/>
    <col min="117" max="117" width="10.6640625" style="603" bestFit="1" customWidth="1"/>
    <col min="118" max="118" width="11.83203125" style="603" bestFit="1" customWidth="1"/>
    <col min="119" max="119" width="14.83203125" style="603" bestFit="1" customWidth="1"/>
    <col min="120" max="120" width="13.83203125" style="603" bestFit="1" customWidth="1"/>
    <col min="121" max="121" width="12.6640625" style="603" bestFit="1" customWidth="1"/>
    <col min="122" max="122" width="11.83203125" style="603" bestFit="1" customWidth="1"/>
    <col min="123" max="123" width="10.6640625" style="603" bestFit="1" customWidth="1"/>
    <col min="124" max="124" width="12.6640625" style="603" bestFit="1" customWidth="1"/>
    <col min="125" max="125" width="14.83203125" style="603" bestFit="1" customWidth="1"/>
    <col min="126" max="127" width="11.6640625" style="603" bestFit="1" customWidth="1"/>
    <col min="128" max="128" width="12.6640625" style="603" bestFit="1" customWidth="1"/>
    <col min="129" max="129" width="9.5" style="603" bestFit="1" customWidth="1"/>
    <col min="130" max="130" width="10.83203125" style="603" bestFit="1" customWidth="1"/>
    <col min="131" max="131" width="13.83203125" style="603" bestFit="1" customWidth="1"/>
    <col min="132" max="132" width="11.6640625" style="603" bestFit="1" customWidth="1"/>
    <col min="133" max="133" width="13.83203125" style="603" bestFit="1" customWidth="1"/>
    <col min="134" max="134" width="11.83203125" style="603" bestFit="1" customWidth="1"/>
    <col min="135" max="135" width="12.6640625" style="603" bestFit="1" customWidth="1"/>
    <col min="136" max="136" width="11.6640625" style="603" bestFit="1" customWidth="1"/>
    <col min="137" max="137" width="10.6640625" style="603" bestFit="1" customWidth="1"/>
    <col min="138" max="138" width="12.83203125" style="603" bestFit="1" customWidth="1"/>
    <col min="139" max="139" width="13.83203125" style="603" bestFit="1" customWidth="1"/>
    <col min="140" max="140" width="11.83203125" style="603" bestFit="1" customWidth="1"/>
    <col min="141" max="141" width="13.83203125" style="603" bestFit="1" customWidth="1"/>
    <col min="142" max="142" width="12.6640625" style="603" bestFit="1" customWidth="1"/>
    <col min="143" max="143" width="9.6640625" style="603" bestFit="1" customWidth="1"/>
    <col min="144" max="144" width="11.6640625" style="603" bestFit="1" customWidth="1"/>
    <col min="145" max="145" width="9.5" style="603" bestFit="1" customWidth="1"/>
    <col min="146" max="146" width="11.6640625" style="603" bestFit="1" customWidth="1"/>
    <col min="147" max="147" width="9.6640625" style="603" bestFit="1" customWidth="1"/>
    <col min="148" max="148" width="11.6640625" style="603" bestFit="1" customWidth="1"/>
    <col min="149" max="149" width="14.83203125" style="603" bestFit="1" customWidth="1"/>
    <col min="150" max="150" width="11.83203125" style="603" bestFit="1" customWidth="1"/>
    <col min="151" max="151" width="13.83203125" style="603" bestFit="1" customWidth="1"/>
    <col min="152" max="153" width="11.6640625" style="603" bestFit="1" customWidth="1"/>
    <col min="154" max="154" width="12.83203125" style="603" bestFit="1" customWidth="1"/>
    <col min="155" max="155" width="13.83203125" style="603" bestFit="1" customWidth="1"/>
    <col min="156" max="156" width="11.6640625" style="603" bestFit="1" customWidth="1"/>
    <col min="157" max="157" width="13.83203125" style="603" bestFit="1" customWidth="1"/>
    <col min="158" max="158" width="11.83203125" style="603" bestFit="1" customWidth="1"/>
    <col min="159" max="159" width="13.83203125" style="603" bestFit="1" customWidth="1"/>
    <col min="160" max="160" width="11.83203125" style="603" bestFit="1" customWidth="1"/>
    <col min="161" max="162" width="12.6640625" style="603" bestFit="1" customWidth="1"/>
    <col min="163" max="163" width="9.5" style="603" bestFit="1" customWidth="1"/>
    <col min="164" max="164" width="11.6640625" style="603" bestFit="1" customWidth="1"/>
    <col min="165" max="165" width="12.6640625" style="603" bestFit="1" customWidth="1"/>
    <col min="166" max="166" width="11.6640625" style="603" bestFit="1" customWidth="1"/>
    <col min="167" max="167" width="9.5" style="603" bestFit="1" customWidth="1"/>
    <col min="168" max="168" width="11.6640625" style="603" bestFit="1" customWidth="1"/>
    <col min="169" max="169" width="12.6640625" style="603" bestFit="1" customWidth="1"/>
    <col min="170" max="170" width="10.6640625" style="603" bestFit="1" customWidth="1"/>
    <col min="171" max="171" width="12.6640625" style="603" bestFit="1" customWidth="1"/>
    <col min="172" max="172" width="11.6640625" style="603" bestFit="1" customWidth="1"/>
    <col min="173" max="173" width="13.83203125" style="603" bestFit="1" customWidth="1"/>
    <col min="174" max="174" width="11.83203125" style="603" bestFit="1" customWidth="1"/>
    <col min="175" max="175" width="13.83203125" style="603" bestFit="1" customWidth="1"/>
    <col min="176" max="176" width="10.83203125" style="603" bestFit="1" customWidth="1"/>
    <col min="177" max="177" width="12.6640625" style="603" bestFit="1" customWidth="1"/>
    <col min="178" max="178" width="10.6640625" style="603" bestFit="1" customWidth="1"/>
    <col min="179" max="179" width="13.83203125" style="603" bestFit="1" customWidth="1"/>
    <col min="180" max="180" width="12.83203125" style="603" bestFit="1" customWidth="1"/>
    <col min="181" max="181" width="9.5" style="603" bestFit="1" customWidth="1"/>
    <col min="182" max="182" width="11.6640625" style="603" bestFit="1" customWidth="1"/>
    <col min="183" max="183" width="13.83203125" style="603" bestFit="1" customWidth="1"/>
    <col min="184" max="186" width="11.6640625" style="603" bestFit="1" customWidth="1"/>
    <col min="187" max="187" width="12.6640625" style="603" bestFit="1" customWidth="1"/>
    <col min="188" max="188" width="12.83203125" style="603" bestFit="1" customWidth="1"/>
    <col min="189" max="189" width="14.83203125" style="603" bestFit="1" customWidth="1"/>
    <col min="190" max="190" width="12.6640625" style="603" bestFit="1" customWidth="1"/>
    <col min="191" max="191" width="10.6640625" style="603" bestFit="1" customWidth="1"/>
    <col min="192" max="193" width="11.6640625" style="603" bestFit="1" customWidth="1"/>
    <col min="194" max="195" width="12.6640625" style="603" bestFit="1" customWidth="1"/>
    <col min="196" max="200" width="11.6640625" style="603" bestFit="1" customWidth="1"/>
    <col min="201" max="201" width="12.6640625" style="603" bestFit="1" customWidth="1"/>
    <col min="202" max="202" width="11.6640625" style="603" bestFit="1" customWidth="1"/>
    <col min="203" max="203" width="10.6640625" style="603" bestFit="1" customWidth="1"/>
    <col min="204" max="204" width="12.6640625" style="603" bestFit="1" customWidth="1"/>
    <col min="205" max="205" width="11.6640625" style="603" bestFit="1" customWidth="1"/>
    <col min="206" max="206" width="10.83203125" style="603" bestFit="1" customWidth="1"/>
    <col min="207" max="207" width="11.6640625" style="603" bestFit="1" customWidth="1"/>
    <col min="208" max="208" width="12.6640625" style="603" bestFit="1" customWidth="1"/>
    <col min="209" max="210" width="11.6640625" style="603" bestFit="1" customWidth="1"/>
    <col min="211" max="211" width="9.6640625" style="603" bestFit="1" customWidth="1"/>
    <col min="212" max="212" width="10.83203125" style="603" bestFit="1" customWidth="1"/>
    <col min="213" max="213" width="9.6640625" style="603" bestFit="1" customWidth="1"/>
    <col min="214" max="214" width="11.6640625" style="603" bestFit="1" customWidth="1"/>
    <col min="215" max="215" width="9.6640625" style="603" bestFit="1" customWidth="1"/>
    <col min="216" max="216" width="11.6640625" style="603" bestFit="1" customWidth="1"/>
    <col min="217" max="217" width="9.6640625" style="603" bestFit="1" customWidth="1"/>
    <col min="218" max="218" width="10.6640625" style="603" bestFit="1" customWidth="1"/>
    <col min="219" max="219" width="9.6640625" style="603" bestFit="1" customWidth="1"/>
    <col min="220" max="220" width="10.6640625" style="568" bestFit="1" customWidth="1"/>
    <col min="221" max="221" width="9.33203125" style="568"/>
    <col min="222" max="222" width="10.6640625" style="568" bestFit="1" customWidth="1"/>
    <col min="223" max="223" width="9.33203125" style="568"/>
    <col min="224" max="224" width="12.6640625" style="568" bestFit="1" customWidth="1"/>
    <col min="225" max="225" width="9.33203125" style="568"/>
    <col min="226" max="226" width="10.6640625" style="568" bestFit="1" customWidth="1"/>
    <col min="227" max="227" width="9.33203125" style="568"/>
    <col min="228" max="228" width="12.6640625" style="568" bestFit="1" customWidth="1"/>
    <col min="229" max="229" width="9.33203125" style="568"/>
    <col min="230" max="230" width="9.6640625" style="568" bestFit="1" customWidth="1"/>
    <col min="231" max="231" width="9.33203125" style="568"/>
    <col min="232" max="232" width="12.6640625" style="568" bestFit="1" customWidth="1"/>
    <col min="233" max="233" width="9.33203125" style="568"/>
    <col min="234" max="234" width="10.6640625" style="568" bestFit="1" customWidth="1"/>
    <col min="235" max="235" width="9.33203125" style="568"/>
    <col min="236" max="236" width="10.6640625" style="568" bestFit="1" customWidth="1"/>
    <col min="237" max="237" width="9.33203125" style="568"/>
    <col min="238" max="238" width="11.6640625" style="568" bestFit="1" customWidth="1"/>
    <col min="239" max="239" width="9.33203125" style="568"/>
    <col min="240" max="240" width="12.6640625" style="568" bestFit="1" customWidth="1"/>
    <col min="241" max="241" width="9.33203125" style="568"/>
    <col min="242" max="242" width="11.6640625" style="568" bestFit="1" customWidth="1"/>
    <col min="243" max="243" width="9.33203125" style="568"/>
    <col min="244" max="244" width="11.6640625" style="568" bestFit="1" customWidth="1"/>
    <col min="245" max="245" width="9.33203125" style="568"/>
    <col min="246" max="246" width="11.6640625" style="568" bestFit="1" customWidth="1"/>
    <col min="247" max="247" width="9.33203125" style="568"/>
    <col min="248" max="248" width="9.6640625" style="568" bestFit="1" customWidth="1"/>
    <col min="249" max="249" width="9.33203125" style="568"/>
    <col min="250" max="250" width="9.6640625" style="568" bestFit="1" customWidth="1"/>
    <col min="251" max="251" width="9.33203125" style="568"/>
    <col min="252" max="252" width="10.6640625" style="568" bestFit="1" customWidth="1"/>
    <col min="253" max="253" width="9.33203125" style="568"/>
    <col min="254" max="254" width="10.6640625" style="568" bestFit="1" customWidth="1"/>
    <col min="255" max="255" width="9.33203125" style="568"/>
    <col min="256" max="256" width="9.6640625" style="568" bestFit="1" customWidth="1"/>
    <col min="257" max="257" width="9.33203125" style="568"/>
    <col min="258" max="258" width="10.6640625" style="568" bestFit="1" customWidth="1"/>
    <col min="259" max="259" width="9.33203125" style="568"/>
    <col min="260" max="260" width="10.6640625" style="568" bestFit="1" customWidth="1"/>
    <col min="261" max="261" width="9.33203125" style="568"/>
    <col min="262" max="262" width="10.6640625" style="568" bestFit="1" customWidth="1"/>
    <col min="263" max="263" width="9.33203125" style="568"/>
    <col min="264" max="264" width="9.6640625" style="568" bestFit="1" customWidth="1"/>
    <col min="265" max="265" width="9.33203125" style="568"/>
    <col min="266" max="266" width="11.6640625" style="568" bestFit="1" customWidth="1"/>
    <col min="267" max="267" width="9.33203125" style="568"/>
    <col min="268" max="268" width="10.6640625" style="568" bestFit="1" customWidth="1"/>
    <col min="269" max="269" width="9.33203125" style="568"/>
    <col min="270" max="270" width="10.6640625" style="568" bestFit="1" customWidth="1"/>
    <col min="271" max="271" width="9.33203125" style="568"/>
    <col min="272" max="272" width="10.6640625" style="568" bestFit="1" customWidth="1"/>
    <col min="273" max="273" width="9.33203125" style="568"/>
    <col min="274" max="274" width="11.6640625" style="568" bestFit="1" customWidth="1"/>
    <col min="275" max="275" width="9.33203125" style="568"/>
    <col min="276" max="276" width="10.6640625" style="568" bestFit="1" customWidth="1"/>
    <col min="277" max="277" width="9.33203125" style="568"/>
    <col min="278" max="278" width="9.6640625" style="568" bestFit="1" customWidth="1"/>
    <col min="279" max="279" width="9.33203125" style="568"/>
    <col min="280" max="280" width="12.6640625" style="568" bestFit="1" customWidth="1"/>
    <col min="281" max="281" width="9.33203125" style="568"/>
    <col min="282" max="282" width="10.6640625" style="568" bestFit="1" customWidth="1"/>
    <col min="283" max="283" width="9.33203125" style="568"/>
    <col min="284" max="284" width="11.6640625" style="568" bestFit="1" customWidth="1"/>
    <col min="285" max="285" width="9.33203125" style="568"/>
    <col min="286" max="286" width="11.6640625" style="568" bestFit="1" customWidth="1"/>
    <col min="287" max="287" width="9.33203125" style="568"/>
    <col min="288" max="288" width="9.6640625" style="568" bestFit="1" customWidth="1"/>
    <col min="289" max="289" width="9.33203125" style="568"/>
    <col min="290" max="290" width="9.6640625" style="568" bestFit="1" customWidth="1"/>
    <col min="291" max="291" width="9.33203125" style="568"/>
    <col min="292" max="292" width="10.6640625" style="568" bestFit="1" customWidth="1"/>
    <col min="293" max="293" width="9.33203125" style="568"/>
    <col min="294" max="294" width="11.6640625" style="568" bestFit="1" customWidth="1"/>
    <col min="295" max="295" width="9.33203125" style="568"/>
    <col min="296" max="296" width="11.6640625" style="568" bestFit="1" customWidth="1"/>
    <col min="297" max="297" width="9.33203125" style="568"/>
    <col min="298" max="298" width="11.6640625" style="568" bestFit="1" customWidth="1"/>
    <col min="299" max="299" width="9.33203125" style="568"/>
    <col min="300" max="300" width="9.6640625" style="568" bestFit="1" customWidth="1"/>
    <col min="301" max="301" width="9.33203125" style="568"/>
    <col min="302" max="302" width="9.6640625" style="568" bestFit="1" customWidth="1"/>
    <col min="303" max="303" width="9.33203125" style="568"/>
    <col min="304" max="304" width="11.6640625" style="568" bestFit="1" customWidth="1"/>
    <col min="305" max="305" width="9.33203125" style="568"/>
    <col min="306" max="306" width="10.6640625" style="568" bestFit="1" customWidth="1"/>
    <col min="307" max="307" width="9.33203125" style="568"/>
    <col min="308" max="308" width="10.6640625" style="568" bestFit="1" customWidth="1"/>
    <col min="309" max="309" width="9.33203125" style="568"/>
    <col min="310" max="310" width="11.6640625" style="568" bestFit="1" customWidth="1"/>
    <col min="311" max="311" width="9.33203125" style="568"/>
    <col min="312" max="312" width="11.6640625" style="568" bestFit="1" customWidth="1"/>
    <col min="313" max="313" width="9.33203125" style="568"/>
    <col min="314" max="314" width="10.6640625" style="568" bestFit="1" customWidth="1"/>
    <col min="315" max="315" width="9.33203125" style="568"/>
    <col min="316" max="316" width="9.6640625" style="568" bestFit="1" customWidth="1"/>
    <col min="317" max="317" width="9.33203125" style="568"/>
    <col min="318" max="318" width="10.6640625" style="568" bestFit="1" customWidth="1"/>
    <col min="319" max="319" width="9.33203125" style="568"/>
    <col min="320" max="320" width="11.6640625" style="568" bestFit="1" customWidth="1"/>
    <col min="321" max="321" width="9.33203125" style="568"/>
    <col min="322" max="322" width="10.6640625" style="568" bestFit="1" customWidth="1"/>
    <col min="323" max="323" width="9.33203125" style="568"/>
    <col min="324" max="324" width="10.6640625" style="568" bestFit="1" customWidth="1"/>
    <col min="325" max="325" width="9.33203125" style="568"/>
    <col min="326" max="326" width="10.6640625" style="568" bestFit="1" customWidth="1"/>
    <col min="327" max="327" width="9.33203125" style="568"/>
    <col min="328" max="328" width="10.6640625" style="568" bestFit="1" customWidth="1"/>
    <col min="329" max="329" width="9.33203125" style="568"/>
    <col min="330" max="330" width="12.6640625" style="568" bestFit="1" customWidth="1"/>
    <col min="331" max="331" width="9.33203125" style="568"/>
    <col min="332" max="332" width="10.6640625" style="568" bestFit="1" customWidth="1"/>
    <col min="333" max="333" width="9.33203125" style="568"/>
    <col min="334" max="334" width="12.6640625" style="568" bestFit="1" customWidth="1"/>
    <col min="335" max="337" width="9.33203125" style="568"/>
    <col min="338" max="338" width="10.6640625" style="568" bestFit="1" customWidth="1"/>
    <col min="339" max="339" width="9.33203125" style="568"/>
    <col min="340" max="340" width="11.6640625" style="568" bestFit="1" customWidth="1"/>
    <col min="341" max="341" width="9.33203125" style="568"/>
    <col min="342" max="342" width="10.6640625" style="568" bestFit="1" customWidth="1"/>
    <col min="343" max="343" width="9.33203125" style="568"/>
    <col min="344" max="344" width="10.6640625" style="568" bestFit="1" customWidth="1"/>
    <col min="345" max="345" width="9.33203125" style="568"/>
    <col min="346" max="346" width="9.6640625" style="568" bestFit="1" customWidth="1"/>
    <col min="347" max="347" width="9.33203125" style="568"/>
    <col min="348" max="348" width="10.6640625" style="568" bestFit="1" customWidth="1"/>
    <col min="349" max="349" width="9.33203125" style="568"/>
    <col min="350" max="350" width="9.6640625" style="568" bestFit="1" customWidth="1"/>
    <col min="351" max="351" width="9.33203125" style="568"/>
    <col min="352" max="352" width="10.6640625" style="568" bestFit="1" customWidth="1"/>
    <col min="353" max="16384" width="9.33203125" style="568"/>
  </cols>
  <sheetData>
    <row r="1" spans="1:219" s="1187" customFormat="1" ht="16.5" thickBot="1" x14ac:dyDescent="0.3">
      <c r="A1" s="1184" t="s">
        <v>78</v>
      </c>
      <c r="B1" s="1185" t="s">
        <v>890</v>
      </c>
      <c r="C1" s="1186" t="s">
        <v>77</v>
      </c>
      <c r="D1" s="1220"/>
      <c r="E1" s="1221"/>
      <c r="F1" s="1718" t="s">
        <v>889</v>
      </c>
    </row>
    <row r="2" spans="1:219" s="1189" customFormat="1" ht="30" customHeight="1" thickBot="1" x14ac:dyDescent="0.25">
      <c r="A2" s="539" t="s">
        <v>922</v>
      </c>
      <c r="B2" s="331" t="s">
        <v>827</v>
      </c>
      <c r="C2" s="464" t="s">
        <v>898</v>
      </c>
      <c r="D2" s="645"/>
      <c r="E2" s="1188"/>
      <c r="F2" s="1719" t="s">
        <v>1271</v>
      </c>
    </row>
    <row r="3" spans="1:219" s="1191" customFormat="1" ht="30" customHeight="1" thickBot="1" x14ac:dyDescent="0.25">
      <c r="A3" s="567" t="s">
        <v>923</v>
      </c>
      <c r="B3" s="351" t="s">
        <v>690</v>
      </c>
      <c r="C3" s="1180" t="s">
        <v>676</v>
      </c>
      <c r="D3" s="646"/>
      <c r="E3" s="1190"/>
      <c r="F3" s="1719" t="s">
        <v>2013</v>
      </c>
    </row>
    <row r="4" spans="1:219" ht="30" customHeight="1" thickBot="1" x14ac:dyDescent="0.25">
      <c r="A4" s="539" t="s">
        <v>924</v>
      </c>
      <c r="B4" s="331" t="s">
        <v>843</v>
      </c>
      <c r="C4" s="464" t="s">
        <v>844</v>
      </c>
      <c r="D4" s="645"/>
      <c r="E4" s="1188"/>
      <c r="F4" s="1719" t="s">
        <v>888</v>
      </c>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c r="AY4" s="568"/>
      <c r="AZ4" s="568"/>
      <c r="BA4" s="568"/>
      <c r="BB4" s="568"/>
      <c r="BC4" s="568"/>
      <c r="BD4" s="568"/>
      <c r="BE4" s="568"/>
      <c r="BF4" s="568"/>
      <c r="BG4" s="568"/>
      <c r="BH4" s="568"/>
      <c r="BI4" s="568"/>
      <c r="BJ4" s="568"/>
      <c r="BK4" s="568"/>
      <c r="BL4" s="568"/>
      <c r="BM4" s="568"/>
      <c r="BN4" s="568"/>
      <c r="BO4" s="568"/>
      <c r="BP4" s="568"/>
      <c r="BQ4" s="568"/>
      <c r="BR4" s="568"/>
      <c r="BS4" s="568"/>
      <c r="BT4" s="568"/>
      <c r="BU4" s="568"/>
      <c r="BV4" s="568"/>
      <c r="BW4" s="568"/>
      <c r="BX4" s="568"/>
      <c r="BY4" s="568"/>
      <c r="BZ4" s="568"/>
      <c r="CA4" s="568"/>
      <c r="CB4" s="568"/>
      <c r="CC4" s="568"/>
      <c r="CD4" s="568"/>
      <c r="CE4" s="568"/>
      <c r="CF4" s="568"/>
      <c r="CG4" s="568"/>
      <c r="CH4" s="568"/>
      <c r="CI4" s="568"/>
      <c r="CJ4" s="568"/>
      <c r="CK4" s="568"/>
      <c r="CL4" s="568"/>
      <c r="CM4" s="568"/>
      <c r="CN4" s="568"/>
      <c r="CO4" s="568"/>
      <c r="CP4" s="568"/>
      <c r="CQ4" s="568"/>
      <c r="CR4" s="568"/>
      <c r="CS4" s="568"/>
      <c r="CT4" s="568"/>
      <c r="CU4" s="568"/>
      <c r="CV4" s="568"/>
      <c r="CW4" s="568"/>
      <c r="CX4" s="568"/>
      <c r="CY4" s="568"/>
      <c r="CZ4" s="568"/>
      <c r="DA4" s="568"/>
      <c r="DB4" s="568"/>
      <c r="DC4" s="568"/>
      <c r="DD4" s="568"/>
      <c r="DE4" s="568"/>
      <c r="DF4" s="568"/>
      <c r="DG4" s="568"/>
      <c r="DH4" s="568"/>
      <c r="DI4" s="568"/>
      <c r="DJ4" s="568"/>
      <c r="DK4" s="568"/>
      <c r="DL4" s="568"/>
      <c r="DM4" s="568"/>
      <c r="DN4" s="568"/>
      <c r="DO4" s="568"/>
      <c r="DP4" s="568"/>
      <c r="DQ4" s="568"/>
      <c r="DR4" s="568"/>
      <c r="DS4" s="568"/>
      <c r="DT4" s="568"/>
      <c r="DU4" s="568"/>
      <c r="DV4" s="568"/>
      <c r="DW4" s="568"/>
      <c r="DX4" s="568"/>
      <c r="DY4" s="568"/>
      <c r="DZ4" s="568"/>
      <c r="EA4" s="568"/>
      <c r="EB4" s="568"/>
      <c r="EC4" s="568"/>
      <c r="ED4" s="568"/>
      <c r="EE4" s="568"/>
      <c r="EF4" s="568"/>
      <c r="EG4" s="568"/>
      <c r="EH4" s="568"/>
      <c r="EI4" s="568"/>
      <c r="EJ4" s="568"/>
      <c r="EK4" s="568"/>
      <c r="EL4" s="568"/>
      <c r="EM4" s="568"/>
      <c r="EN4" s="568"/>
      <c r="EO4" s="568"/>
      <c r="EP4" s="568"/>
      <c r="EQ4" s="568"/>
      <c r="ER4" s="568"/>
      <c r="ES4" s="568"/>
      <c r="ET4" s="568"/>
      <c r="EU4" s="568"/>
      <c r="EV4" s="568"/>
      <c r="EW4" s="568"/>
      <c r="EX4" s="568"/>
      <c r="EY4" s="568"/>
      <c r="EZ4" s="568"/>
      <c r="FA4" s="568"/>
      <c r="FB4" s="568"/>
      <c r="FC4" s="568"/>
      <c r="FD4" s="568"/>
      <c r="FE4" s="568"/>
      <c r="FF4" s="568"/>
      <c r="FG4" s="568"/>
      <c r="FH4" s="568"/>
      <c r="FI4" s="568"/>
      <c r="FJ4" s="568"/>
      <c r="FK4" s="568"/>
      <c r="FL4" s="568"/>
      <c r="FM4" s="568"/>
      <c r="FN4" s="568"/>
      <c r="FO4" s="568"/>
      <c r="FP4" s="568"/>
      <c r="FQ4" s="568"/>
      <c r="FR4" s="568"/>
      <c r="FS4" s="568"/>
      <c r="FT4" s="568"/>
      <c r="FU4" s="568"/>
      <c r="FV4" s="568"/>
      <c r="FW4" s="568"/>
      <c r="FX4" s="568"/>
      <c r="FY4" s="568"/>
      <c r="FZ4" s="568"/>
      <c r="GA4" s="568"/>
      <c r="GB4" s="568"/>
      <c r="GC4" s="568"/>
      <c r="GD4" s="568"/>
      <c r="GE4" s="568"/>
      <c r="GF4" s="568"/>
      <c r="GG4" s="568"/>
      <c r="GH4" s="568"/>
      <c r="GI4" s="568"/>
      <c r="GJ4" s="568"/>
      <c r="GK4" s="568"/>
      <c r="GL4" s="568"/>
      <c r="GM4" s="568"/>
      <c r="GN4" s="568"/>
      <c r="GO4" s="568"/>
      <c r="GP4" s="568"/>
      <c r="GQ4" s="568"/>
      <c r="GR4" s="568"/>
      <c r="GS4" s="568"/>
      <c r="GT4" s="568"/>
      <c r="GU4" s="568"/>
      <c r="GV4" s="568"/>
      <c r="GW4" s="568"/>
      <c r="GX4" s="568"/>
      <c r="GY4" s="568"/>
      <c r="GZ4" s="568"/>
      <c r="HA4" s="568"/>
      <c r="HB4" s="568"/>
      <c r="HC4" s="568"/>
      <c r="HD4" s="568"/>
      <c r="HE4" s="568"/>
      <c r="HF4" s="568"/>
      <c r="HG4" s="568"/>
      <c r="HH4" s="568"/>
      <c r="HI4" s="568"/>
      <c r="HJ4" s="568"/>
      <c r="HK4" s="568"/>
    </row>
    <row r="5" spans="1:219" ht="30" customHeight="1" thickBot="1" x14ac:dyDescent="0.25">
      <c r="A5" s="539" t="s">
        <v>925</v>
      </c>
      <c r="B5" s="351" t="s">
        <v>806</v>
      </c>
      <c r="C5" s="1180" t="s">
        <v>684</v>
      </c>
      <c r="D5" s="646"/>
      <c r="E5" s="1190"/>
      <c r="F5" s="1720" t="s">
        <v>1971</v>
      </c>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c r="BU5" s="568"/>
      <c r="BV5" s="568"/>
      <c r="BW5" s="568"/>
      <c r="BX5" s="568"/>
      <c r="BY5" s="568"/>
      <c r="BZ5" s="568"/>
      <c r="CA5" s="568"/>
      <c r="CB5" s="568"/>
      <c r="CC5" s="568"/>
      <c r="CD5" s="568"/>
      <c r="CE5" s="568"/>
      <c r="CF5" s="568"/>
      <c r="CG5" s="568"/>
      <c r="CH5" s="568"/>
      <c r="CI5" s="568"/>
      <c r="CJ5" s="568"/>
      <c r="CK5" s="568"/>
      <c r="CL5" s="568"/>
      <c r="CM5" s="568"/>
      <c r="CN5" s="568"/>
      <c r="CO5" s="568"/>
      <c r="CP5" s="568"/>
      <c r="CQ5" s="568"/>
      <c r="CR5" s="568"/>
      <c r="CS5" s="568"/>
      <c r="CT5" s="568"/>
      <c r="CU5" s="568"/>
      <c r="CV5" s="568"/>
      <c r="CW5" s="568"/>
      <c r="CX5" s="568"/>
      <c r="CY5" s="568"/>
      <c r="CZ5" s="568"/>
      <c r="DA5" s="568"/>
      <c r="DB5" s="568"/>
      <c r="DC5" s="568"/>
      <c r="DD5" s="568"/>
      <c r="DE5" s="568"/>
      <c r="DF5" s="568"/>
      <c r="DG5" s="568"/>
      <c r="DH5" s="568"/>
      <c r="DI5" s="568"/>
      <c r="DJ5" s="568"/>
      <c r="DK5" s="568"/>
      <c r="DL5" s="568"/>
      <c r="DM5" s="568"/>
      <c r="DN5" s="568"/>
      <c r="DO5" s="568"/>
      <c r="DP5" s="568"/>
      <c r="DQ5" s="568"/>
      <c r="DR5" s="568"/>
      <c r="DS5" s="568"/>
      <c r="DT5" s="568"/>
      <c r="DU5" s="568"/>
      <c r="DV5" s="568"/>
      <c r="DW5" s="568"/>
      <c r="DX5" s="568"/>
      <c r="DY5" s="568"/>
      <c r="DZ5" s="568"/>
      <c r="EA5" s="568"/>
      <c r="EB5" s="568"/>
      <c r="EC5" s="568"/>
      <c r="ED5" s="568"/>
      <c r="EE5" s="568"/>
      <c r="EF5" s="568"/>
      <c r="EG5" s="568"/>
      <c r="EH5" s="568"/>
      <c r="EI5" s="568"/>
      <c r="EJ5" s="568"/>
      <c r="EK5" s="568"/>
      <c r="EL5" s="568"/>
      <c r="EM5" s="568"/>
      <c r="EN5" s="568"/>
      <c r="EO5" s="568"/>
      <c r="EP5" s="568"/>
      <c r="EQ5" s="568"/>
      <c r="ER5" s="568"/>
      <c r="ES5" s="568"/>
      <c r="ET5" s="568"/>
      <c r="EU5" s="568"/>
      <c r="EV5" s="568"/>
      <c r="EW5" s="568"/>
      <c r="EX5" s="568"/>
      <c r="EY5" s="568"/>
      <c r="EZ5" s="568"/>
      <c r="FA5" s="568"/>
      <c r="FB5" s="568"/>
      <c r="FC5" s="568"/>
      <c r="FD5" s="568"/>
      <c r="FE5" s="568"/>
      <c r="FF5" s="568"/>
      <c r="FG5" s="568"/>
      <c r="FH5" s="568"/>
      <c r="FI5" s="568"/>
      <c r="FJ5" s="568"/>
      <c r="FK5" s="568"/>
      <c r="FL5" s="568"/>
      <c r="FM5" s="568"/>
      <c r="FN5" s="568"/>
      <c r="FO5" s="568"/>
      <c r="FP5" s="568"/>
      <c r="FQ5" s="568"/>
      <c r="FR5" s="568"/>
      <c r="FS5" s="568"/>
      <c r="FT5" s="568"/>
      <c r="FU5" s="568"/>
      <c r="FV5" s="568"/>
      <c r="FW5" s="568"/>
      <c r="FX5" s="568"/>
      <c r="FY5" s="568"/>
      <c r="FZ5" s="568"/>
      <c r="GA5" s="568"/>
      <c r="GB5" s="568"/>
      <c r="GC5" s="568"/>
      <c r="GD5" s="568"/>
      <c r="GE5" s="568"/>
      <c r="GF5" s="568"/>
      <c r="GG5" s="568"/>
      <c r="GH5" s="568"/>
      <c r="GI5" s="568"/>
      <c r="GJ5" s="568"/>
      <c r="GK5" s="568"/>
      <c r="GL5" s="568"/>
      <c r="GM5" s="568"/>
      <c r="GN5" s="568"/>
      <c r="GO5" s="568"/>
      <c r="GP5" s="568"/>
      <c r="GQ5" s="568"/>
      <c r="GR5" s="568"/>
      <c r="GS5" s="568"/>
      <c r="GT5" s="568"/>
      <c r="GU5" s="568"/>
      <c r="GV5" s="568"/>
      <c r="GW5" s="568"/>
      <c r="GX5" s="568"/>
      <c r="GY5" s="568"/>
      <c r="GZ5" s="568"/>
      <c r="HA5" s="568"/>
      <c r="HB5" s="568"/>
      <c r="HC5" s="568"/>
      <c r="HD5" s="568"/>
      <c r="HE5" s="568"/>
      <c r="HF5" s="568"/>
      <c r="HG5" s="568"/>
      <c r="HH5" s="568"/>
      <c r="HI5" s="568"/>
      <c r="HJ5" s="568"/>
      <c r="HK5" s="568"/>
    </row>
    <row r="6" spans="1:219" ht="30" customHeight="1" thickBot="1" x14ac:dyDescent="0.25">
      <c r="A6" s="567" t="s">
        <v>926</v>
      </c>
      <c r="B6" s="331" t="s">
        <v>685</v>
      </c>
      <c r="C6" s="464" t="s">
        <v>826</v>
      </c>
      <c r="D6" s="645"/>
      <c r="E6" s="1188"/>
      <c r="F6" s="1721" t="s">
        <v>1970</v>
      </c>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568"/>
      <c r="BO6" s="568"/>
      <c r="BP6" s="568"/>
      <c r="BQ6" s="568"/>
      <c r="BR6" s="568"/>
      <c r="BS6" s="568"/>
      <c r="BT6" s="568"/>
      <c r="BU6" s="568"/>
      <c r="BV6" s="568"/>
      <c r="BW6" s="568"/>
      <c r="BX6" s="568"/>
      <c r="BY6" s="568"/>
      <c r="BZ6" s="568"/>
      <c r="CA6" s="568"/>
      <c r="CB6" s="568"/>
      <c r="CC6" s="568"/>
      <c r="CD6" s="568"/>
      <c r="CE6" s="568"/>
      <c r="CF6" s="568"/>
      <c r="CG6" s="568"/>
      <c r="CH6" s="568"/>
      <c r="CI6" s="568"/>
      <c r="CJ6" s="568"/>
      <c r="CK6" s="568"/>
      <c r="CL6" s="568"/>
      <c r="CM6" s="568"/>
      <c r="CN6" s="568"/>
      <c r="CO6" s="568"/>
      <c r="CP6" s="568"/>
      <c r="CQ6" s="568"/>
      <c r="CR6" s="568"/>
      <c r="CS6" s="568"/>
      <c r="CT6" s="568"/>
      <c r="CU6" s="568"/>
      <c r="CV6" s="568"/>
      <c r="CW6" s="568"/>
      <c r="CX6" s="568"/>
      <c r="CY6" s="568"/>
      <c r="CZ6" s="568"/>
      <c r="DA6" s="568"/>
      <c r="DB6" s="568"/>
      <c r="DC6" s="568"/>
      <c r="DD6" s="568"/>
      <c r="DE6" s="568"/>
      <c r="DF6" s="568"/>
      <c r="DG6" s="568"/>
      <c r="DH6" s="568"/>
      <c r="DI6" s="568"/>
      <c r="DJ6" s="568"/>
      <c r="DK6" s="568"/>
      <c r="DL6" s="568"/>
      <c r="DM6" s="568"/>
      <c r="DN6" s="568"/>
      <c r="DO6" s="568"/>
      <c r="DP6" s="568"/>
      <c r="DQ6" s="568"/>
      <c r="DR6" s="568"/>
      <c r="DS6" s="568"/>
      <c r="DT6" s="568"/>
      <c r="DU6" s="568"/>
      <c r="DV6" s="568"/>
      <c r="DW6" s="568"/>
      <c r="DX6" s="568"/>
      <c r="DY6" s="568"/>
      <c r="DZ6" s="568"/>
      <c r="EA6" s="568"/>
      <c r="EB6" s="568"/>
      <c r="EC6" s="568"/>
      <c r="ED6" s="568"/>
      <c r="EE6" s="568"/>
      <c r="EF6" s="568"/>
      <c r="EG6" s="568"/>
      <c r="EH6" s="568"/>
      <c r="EI6" s="568"/>
      <c r="EJ6" s="568"/>
      <c r="EK6" s="568"/>
      <c r="EL6" s="568"/>
      <c r="EM6" s="568"/>
      <c r="EN6" s="568"/>
      <c r="EO6" s="568"/>
      <c r="EP6" s="568"/>
      <c r="EQ6" s="568"/>
      <c r="ER6" s="568"/>
      <c r="ES6" s="568"/>
      <c r="ET6" s="568"/>
      <c r="EU6" s="568"/>
      <c r="EV6" s="568"/>
      <c r="EW6" s="568"/>
      <c r="EX6" s="568"/>
      <c r="EY6" s="568"/>
      <c r="EZ6" s="568"/>
      <c r="FA6" s="568"/>
      <c r="FB6" s="568"/>
      <c r="FC6" s="568"/>
      <c r="FD6" s="568"/>
      <c r="FE6" s="568"/>
      <c r="FF6" s="568"/>
      <c r="FG6" s="568"/>
      <c r="FH6" s="568"/>
      <c r="FI6" s="568"/>
      <c r="FJ6" s="568"/>
      <c r="FK6" s="568"/>
      <c r="FL6" s="568"/>
      <c r="FM6" s="568"/>
      <c r="FN6" s="568"/>
      <c r="FO6" s="568"/>
      <c r="FP6" s="568"/>
      <c r="FQ6" s="568"/>
      <c r="FR6" s="568"/>
      <c r="FS6" s="568"/>
      <c r="FT6" s="568"/>
      <c r="FU6" s="568"/>
      <c r="FV6" s="568"/>
      <c r="FW6" s="568"/>
      <c r="FX6" s="568"/>
      <c r="FY6" s="568"/>
      <c r="FZ6" s="568"/>
      <c r="GA6" s="568"/>
      <c r="GB6" s="568"/>
      <c r="GC6" s="568"/>
      <c r="GD6" s="568"/>
      <c r="GE6" s="568"/>
      <c r="GF6" s="568"/>
      <c r="GG6" s="568"/>
      <c r="GH6" s="568"/>
      <c r="GI6" s="568"/>
      <c r="GJ6" s="568"/>
      <c r="GK6" s="568"/>
      <c r="GL6" s="568"/>
      <c r="GM6" s="568"/>
      <c r="GN6" s="568"/>
      <c r="GO6" s="568"/>
      <c r="GP6" s="568"/>
      <c r="GQ6" s="568"/>
      <c r="GR6" s="568"/>
      <c r="GS6" s="568"/>
      <c r="GT6" s="568"/>
      <c r="GU6" s="568"/>
      <c r="GV6" s="568"/>
      <c r="GW6" s="568"/>
      <c r="GX6" s="568"/>
      <c r="GY6" s="568"/>
      <c r="GZ6" s="568"/>
      <c r="HA6" s="568"/>
      <c r="HB6" s="568"/>
      <c r="HC6" s="568"/>
      <c r="HD6" s="568"/>
      <c r="HE6" s="568"/>
      <c r="HF6" s="568"/>
      <c r="HG6" s="568"/>
      <c r="HH6" s="568"/>
      <c r="HI6" s="568"/>
      <c r="HJ6" s="568"/>
      <c r="HK6" s="568"/>
    </row>
    <row r="7" spans="1:219" s="158" customFormat="1" ht="30" customHeight="1" thickBot="1" x14ac:dyDescent="0.25">
      <c r="A7" s="539" t="s">
        <v>927</v>
      </c>
      <c r="B7" s="351" t="s">
        <v>802</v>
      </c>
      <c r="C7" s="1180" t="s">
        <v>825</v>
      </c>
      <c r="D7" s="646"/>
      <c r="E7" s="1190"/>
      <c r="F7" s="1721" t="s">
        <v>2150</v>
      </c>
    </row>
    <row r="8" spans="1:219" s="158" customFormat="1" ht="30" customHeight="1" thickBot="1" x14ac:dyDescent="0.25">
      <c r="A8" s="539" t="s">
        <v>928</v>
      </c>
      <c r="B8" s="331" t="s">
        <v>812</v>
      </c>
      <c r="C8" s="464" t="s">
        <v>674</v>
      </c>
      <c r="D8" s="645"/>
      <c r="E8" s="1188"/>
      <c r="F8" s="1721" t="s">
        <v>2151</v>
      </c>
    </row>
    <row r="9" spans="1:219" s="158" customFormat="1" ht="30" customHeight="1" thickBot="1" x14ac:dyDescent="0.25">
      <c r="A9" s="866" t="s">
        <v>929</v>
      </c>
      <c r="B9" s="867" t="s">
        <v>673</v>
      </c>
      <c r="C9" s="839" t="s">
        <v>672</v>
      </c>
      <c r="D9" s="868"/>
      <c r="E9" s="1188"/>
      <c r="F9" s="1721" t="s">
        <v>2151</v>
      </c>
    </row>
    <row r="10" spans="1:219" s="158" customFormat="1" ht="30" customHeight="1" thickBot="1" x14ac:dyDescent="0.25">
      <c r="A10" s="869" t="s">
        <v>930</v>
      </c>
      <c r="B10" s="351" t="s">
        <v>670</v>
      </c>
      <c r="C10" s="1180" t="s">
        <v>899</v>
      </c>
      <c r="D10" s="646"/>
      <c r="E10" s="1190"/>
      <c r="F10" s="1719" t="s">
        <v>900</v>
      </c>
    </row>
    <row r="11" spans="1:219" s="158" customFormat="1" ht="30" customHeight="1" thickBot="1" x14ac:dyDescent="0.25">
      <c r="A11" s="539" t="s">
        <v>931</v>
      </c>
      <c r="B11" s="331" t="s">
        <v>796</v>
      </c>
      <c r="C11" s="331" t="s">
        <v>2159</v>
      </c>
      <c r="D11" s="645"/>
      <c r="E11" s="1188"/>
      <c r="F11" s="1719" t="s">
        <v>1963</v>
      </c>
    </row>
    <row r="12" spans="1:219" s="158" customFormat="1" ht="30" customHeight="1" thickBot="1" x14ac:dyDescent="0.25">
      <c r="A12" s="567" t="s">
        <v>932</v>
      </c>
      <c r="B12" s="351" t="s">
        <v>828</v>
      </c>
      <c r="C12" s="351" t="s">
        <v>2160</v>
      </c>
      <c r="D12" s="646"/>
      <c r="E12" s="1190"/>
      <c r="F12" s="1719" t="s">
        <v>1964</v>
      </c>
    </row>
    <row r="13" spans="1:219" s="158" customFormat="1" ht="30" customHeight="1" thickBot="1" x14ac:dyDescent="0.25">
      <c r="A13" s="539" t="s">
        <v>933</v>
      </c>
      <c r="B13" s="867" t="s">
        <v>1961</v>
      </c>
      <c r="C13" s="874" t="s">
        <v>1961</v>
      </c>
      <c r="D13" s="868"/>
      <c r="E13" s="1188"/>
      <c r="F13" s="1719" t="s">
        <v>1962</v>
      </c>
    </row>
    <row r="14" spans="1:219" s="158" customFormat="1" ht="30" customHeight="1" thickBot="1" x14ac:dyDescent="0.25">
      <c r="A14" s="869" t="s">
        <v>934</v>
      </c>
      <c r="B14" s="351" t="s">
        <v>675</v>
      </c>
      <c r="C14" s="1180" t="s">
        <v>887</v>
      </c>
      <c r="D14" s="646"/>
      <c r="E14" s="1190"/>
      <c r="F14" s="1719" t="s">
        <v>906</v>
      </c>
    </row>
    <row r="15" spans="1:219" s="158" customFormat="1" ht="30" customHeight="1" thickBot="1" x14ac:dyDescent="0.25">
      <c r="A15" s="567" t="s">
        <v>935</v>
      </c>
      <c r="B15" s="331" t="s">
        <v>671</v>
      </c>
      <c r="C15" s="464" t="s">
        <v>281</v>
      </c>
      <c r="D15" s="645"/>
      <c r="E15" s="1188"/>
      <c r="F15" s="1721" t="s">
        <v>1972</v>
      </c>
    </row>
    <row r="16" spans="1:219" s="158" customFormat="1" ht="30" customHeight="1" thickBot="1" x14ac:dyDescent="0.25">
      <c r="A16" s="539" t="s">
        <v>936</v>
      </c>
      <c r="B16" s="351" t="s">
        <v>698</v>
      </c>
      <c r="C16" s="1180" t="s">
        <v>663</v>
      </c>
      <c r="D16" s="646"/>
      <c r="E16" s="1190"/>
      <c r="F16" s="1719" t="s">
        <v>903</v>
      </c>
    </row>
    <row r="17" spans="1:6" s="158" customFormat="1" ht="30" customHeight="1" thickBot="1" x14ac:dyDescent="0.25">
      <c r="A17" s="539" t="s">
        <v>937</v>
      </c>
      <c r="B17" s="331" t="s">
        <v>668</v>
      </c>
      <c r="C17" s="464" t="s">
        <v>667</v>
      </c>
      <c r="D17" s="645"/>
      <c r="E17" s="1188"/>
      <c r="F17" s="1719" t="s">
        <v>1973</v>
      </c>
    </row>
    <row r="18" spans="1:6" s="158" customFormat="1" ht="30" customHeight="1" thickBot="1" x14ac:dyDescent="0.25">
      <c r="A18" s="567" t="s">
        <v>938</v>
      </c>
      <c r="B18" s="331" t="s">
        <v>699</v>
      </c>
      <c r="C18" s="464" t="s">
        <v>677</v>
      </c>
      <c r="D18" s="645"/>
      <c r="E18" s="1188"/>
      <c r="F18" s="1719" t="s">
        <v>1270</v>
      </c>
    </row>
    <row r="19" spans="1:6" s="158" customFormat="1" ht="30" customHeight="1" thickBot="1" x14ac:dyDescent="0.25">
      <c r="A19" s="539" t="s">
        <v>939</v>
      </c>
      <c r="B19" s="867" t="s">
        <v>696</v>
      </c>
      <c r="C19" s="839" t="s">
        <v>282</v>
      </c>
      <c r="D19" s="868"/>
      <c r="E19" s="1188"/>
      <c r="F19" s="1721" t="s">
        <v>1974</v>
      </c>
    </row>
    <row r="20" spans="1:6" s="158" customFormat="1" ht="30" customHeight="1" thickBot="1" x14ac:dyDescent="0.25">
      <c r="A20" s="869" t="s">
        <v>940</v>
      </c>
      <c r="B20" s="351" t="s">
        <v>1965</v>
      </c>
      <c r="C20" s="351" t="s">
        <v>1965</v>
      </c>
      <c r="D20" s="646"/>
      <c r="E20" s="1190"/>
      <c r="F20" s="1719" t="s">
        <v>1966</v>
      </c>
    </row>
    <row r="21" spans="1:6" s="158" customFormat="1" ht="30" customHeight="1" thickBot="1" x14ac:dyDescent="0.25">
      <c r="A21" s="567" t="s">
        <v>941</v>
      </c>
      <c r="B21" s="331" t="s">
        <v>810</v>
      </c>
      <c r="C21" s="464" t="s">
        <v>2164</v>
      </c>
      <c r="D21" s="645"/>
      <c r="E21" s="1188"/>
      <c r="F21" s="1721" t="s">
        <v>1975</v>
      </c>
    </row>
    <row r="22" spans="1:6" s="158" customFormat="1" ht="30" customHeight="1" thickBot="1" x14ac:dyDescent="0.25">
      <c r="A22" s="539" t="s">
        <v>942</v>
      </c>
      <c r="B22" s="331" t="s">
        <v>687</v>
      </c>
      <c r="C22" s="464" t="s">
        <v>2165</v>
      </c>
      <c r="D22" s="645"/>
      <c r="E22" s="1188"/>
      <c r="F22" s="1721" t="s">
        <v>2152</v>
      </c>
    </row>
    <row r="23" spans="1:6" s="158" customFormat="1" ht="30" customHeight="1" thickBot="1" x14ac:dyDescent="0.25">
      <c r="A23" s="539" t="s">
        <v>943</v>
      </c>
      <c r="B23" s="351" t="s">
        <v>852</v>
      </c>
      <c r="C23" s="1180" t="s">
        <v>865</v>
      </c>
      <c r="D23" s="646"/>
      <c r="E23" s="1190"/>
      <c r="F23" s="1721" t="s">
        <v>2223</v>
      </c>
    </row>
    <row r="24" spans="1:6" s="158" customFormat="1" ht="30" customHeight="1" thickBot="1" x14ac:dyDescent="0.25">
      <c r="A24" s="567" t="s">
        <v>944</v>
      </c>
      <c r="B24" s="331" t="s">
        <v>853</v>
      </c>
      <c r="C24" s="464" t="s">
        <v>873</v>
      </c>
      <c r="D24" s="645"/>
      <c r="E24" s="1188"/>
      <c r="F24" s="1721" t="s">
        <v>1977</v>
      </c>
    </row>
    <row r="25" spans="1:6" s="158" customFormat="1" ht="30" customHeight="1" thickBot="1" x14ac:dyDescent="0.25">
      <c r="A25" s="539" t="s">
        <v>945</v>
      </c>
      <c r="B25" s="351" t="s">
        <v>868</v>
      </c>
      <c r="C25" s="1180" t="s">
        <v>877</v>
      </c>
      <c r="D25" s="646"/>
      <c r="E25" s="1190"/>
      <c r="F25" s="1719" t="s">
        <v>1978</v>
      </c>
    </row>
    <row r="26" spans="1:6" s="158" customFormat="1" ht="30" customHeight="1" thickBot="1" x14ac:dyDescent="0.25">
      <c r="A26" s="539" t="s">
        <v>946</v>
      </c>
      <c r="B26" s="331" t="s">
        <v>869</v>
      </c>
      <c r="C26" s="464" t="s">
        <v>878</v>
      </c>
      <c r="D26" s="645"/>
      <c r="E26" s="1188"/>
      <c r="F26" s="1719" t="s">
        <v>2232</v>
      </c>
    </row>
    <row r="27" spans="1:6" s="158" customFormat="1" ht="30" customHeight="1" thickBot="1" x14ac:dyDescent="0.25">
      <c r="A27" s="866" t="s">
        <v>947</v>
      </c>
      <c r="B27" s="867" t="s">
        <v>870</v>
      </c>
      <c r="C27" s="839" t="s">
        <v>879</v>
      </c>
      <c r="D27" s="868"/>
      <c r="E27" s="1188"/>
      <c r="F27" s="1719" t="s">
        <v>1979</v>
      </c>
    </row>
    <row r="28" spans="1:6" s="158" customFormat="1" ht="30" customHeight="1" thickBot="1" x14ac:dyDescent="0.25">
      <c r="A28" s="869" t="s">
        <v>948</v>
      </c>
      <c r="B28" s="351" t="s">
        <v>664</v>
      </c>
      <c r="C28" s="1180" t="s">
        <v>700</v>
      </c>
      <c r="D28" s="646"/>
      <c r="E28" s="1190"/>
      <c r="F28" s="1719" t="s">
        <v>2148</v>
      </c>
    </row>
    <row r="29" spans="1:6" s="158" customFormat="1" ht="30" customHeight="1" thickBot="1" x14ac:dyDescent="0.25">
      <c r="A29" s="539" t="s">
        <v>949</v>
      </c>
      <c r="B29" s="331" t="s">
        <v>848</v>
      </c>
      <c r="C29" s="464" t="s">
        <v>849</v>
      </c>
      <c r="D29" s="645"/>
      <c r="E29" s="1188"/>
      <c r="F29" s="1719" t="s">
        <v>2153</v>
      </c>
    </row>
    <row r="30" spans="1:6" s="158" customFormat="1" ht="30" customHeight="1" thickBot="1" x14ac:dyDescent="0.25">
      <c r="A30" s="567" t="s">
        <v>950</v>
      </c>
      <c r="B30" s="351" t="s">
        <v>692</v>
      </c>
      <c r="C30" s="1180" t="s">
        <v>680</v>
      </c>
      <c r="D30" s="646"/>
      <c r="E30" s="1190"/>
      <c r="F30" s="1719" t="s">
        <v>1273</v>
      </c>
    </row>
    <row r="31" spans="1:6" s="158" customFormat="1" ht="30" customHeight="1" thickBot="1" x14ac:dyDescent="0.25">
      <c r="A31" s="539" t="s">
        <v>951</v>
      </c>
      <c r="B31" s="331" t="s">
        <v>693</v>
      </c>
      <c r="C31" s="464" t="s">
        <v>822</v>
      </c>
      <c r="D31" s="645"/>
      <c r="E31" s="1188"/>
      <c r="F31" s="1719" t="s">
        <v>905</v>
      </c>
    </row>
    <row r="32" spans="1:6" s="158" customFormat="1" ht="30" customHeight="1" thickBot="1" x14ac:dyDescent="0.25">
      <c r="A32" s="539" t="s">
        <v>952</v>
      </c>
      <c r="B32" s="331" t="s">
        <v>688</v>
      </c>
      <c r="C32" s="464" t="s">
        <v>2166</v>
      </c>
      <c r="D32" s="645"/>
      <c r="E32" s="1188"/>
      <c r="F32" s="1719" t="s">
        <v>2154</v>
      </c>
    </row>
    <row r="33" spans="1:219" s="158" customFormat="1" ht="30" customHeight="1" thickBot="1" x14ac:dyDescent="0.25">
      <c r="A33" s="567" t="s">
        <v>953</v>
      </c>
      <c r="B33" s="351" t="s">
        <v>691</v>
      </c>
      <c r="C33" s="1180" t="s">
        <v>678</v>
      </c>
      <c r="D33" s="646"/>
      <c r="E33" s="1190"/>
      <c r="F33" s="1719" t="s">
        <v>2153</v>
      </c>
    </row>
    <row r="34" spans="1:219" s="158" customFormat="1" ht="30" customHeight="1" thickBot="1" x14ac:dyDescent="0.25">
      <c r="A34" s="539" t="s">
        <v>954</v>
      </c>
      <c r="B34" s="331" t="s">
        <v>697</v>
      </c>
      <c r="C34" s="464" t="s">
        <v>669</v>
      </c>
      <c r="D34" s="645"/>
      <c r="E34" s="1188"/>
      <c r="F34" s="1719" t="s">
        <v>2014</v>
      </c>
    </row>
    <row r="35" spans="1:219" s="158" customFormat="1" ht="30" customHeight="1" thickBot="1" x14ac:dyDescent="0.25">
      <c r="A35" s="539" t="s">
        <v>955</v>
      </c>
      <c r="B35" s="331" t="s">
        <v>695</v>
      </c>
      <c r="C35" s="464" t="s">
        <v>682</v>
      </c>
      <c r="D35" s="645"/>
      <c r="E35" s="1188"/>
      <c r="F35" s="1719" t="s">
        <v>1274</v>
      </c>
    </row>
    <row r="36" spans="1:219" ht="30" customHeight="1" thickBot="1" x14ac:dyDescent="0.25">
      <c r="A36" s="567" t="s">
        <v>956</v>
      </c>
      <c r="B36" s="867" t="s">
        <v>793</v>
      </c>
      <c r="C36" s="839" t="s">
        <v>907</v>
      </c>
      <c r="D36" s="868"/>
      <c r="E36" s="1188"/>
      <c r="F36" s="1719" t="s">
        <v>2155</v>
      </c>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568"/>
      <c r="AW36" s="568"/>
      <c r="AX36" s="568"/>
      <c r="AY36" s="568"/>
      <c r="AZ36" s="568"/>
      <c r="BA36" s="568"/>
      <c r="BB36" s="568"/>
      <c r="BC36" s="568"/>
      <c r="BD36" s="568"/>
      <c r="BE36" s="568"/>
      <c r="BF36" s="568"/>
      <c r="BG36" s="568"/>
      <c r="BH36" s="568"/>
      <c r="BI36" s="568"/>
      <c r="BJ36" s="568"/>
      <c r="BK36" s="568"/>
      <c r="BL36" s="568"/>
      <c r="BM36" s="568"/>
      <c r="BN36" s="568"/>
      <c r="BO36" s="568"/>
      <c r="BP36" s="568"/>
      <c r="BQ36" s="568"/>
      <c r="BR36" s="568"/>
      <c r="BS36" s="568"/>
      <c r="BT36" s="568"/>
      <c r="BU36" s="568"/>
      <c r="BV36" s="568"/>
      <c r="BW36" s="568"/>
      <c r="BX36" s="568"/>
      <c r="BY36" s="568"/>
      <c r="BZ36" s="568"/>
      <c r="CA36" s="568"/>
      <c r="CB36" s="568"/>
      <c r="CC36" s="568"/>
      <c r="CD36" s="568"/>
      <c r="CE36" s="568"/>
      <c r="CF36" s="568"/>
      <c r="CG36" s="568"/>
      <c r="CH36" s="568"/>
      <c r="CI36" s="568"/>
      <c r="CJ36" s="568"/>
      <c r="CK36" s="568"/>
      <c r="CL36" s="568"/>
      <c r="CM36" s="568"/>
      <c r="CN36" s="568"/>
      <c r="CO36" s="568"/>
      <c r="CP36" s="568"/>
      <c r="CQ36" s="568"/>
      <c r="CR36" s="568"/>
      <c r="CS36" s="568"/>
      <c r="CT36" s="568"/>
      <c r="CU36" s="568"/>
      <c r="CV36" s="568"/>
      <c r="CW36" s="568"/>
      <c r="CX36" s="568"/>
      <c r="CY36" s="568"/>
      <c r="CZ36" s="568"/>
      <c r="DA36" s="568"/>
      <c r="DB36" s="568"/>
      <c r="DC36" s="568"/>
      <c r="DD36" s="568"/>
      <c r="DE36" s="568"/>
      <c r="DF36" s="568"/>
      <c r="DG36" s="568"/>
      <c r="DH36" s="568"/>
      <c r="DI36" s="568"/>
      <c r="DJ36" s="568"/>
      <c r="DK36" s="568"/>
      <c r="DL36" s="568"/>
      <c r="DM36" s="568"/>
      <c r="DN36" s="568"/>
      <c r="DO36" s="568"/>
      <c r="DP36" s="568"/>
      <c r="DQ36" s="568"/>
      <c r="DR36" s="568"/>
      <c r="DS36" s="568"/>
      <c r="DT36" s="568"/>
      <c r="DU36" s="568"/>
      <c r="DV36" s="568"/>
      <c r="DW36" s="568"/>
      <c r="DX36" s="568"/>
      <c r="DY36" s="568"/>
      <c r="DZ36" s="568"/>
      <c r="EA36" s="568"/>
      <c r="EB36" s="568"/>
      <c r="EC36" s="568"/>
      <c r="ED36" s="568"/>
      <c r="EE36" s="568"/>
      <c r="EF36" s="568"/>
      <c r="EG36" s="568"/>
      <c r="EH36" s="568"/>
      <c r="EI36" s="568"/>
      <c r="EJ36" s="568"/>
      <c r="EK36" s="568"/>
      <c r="EL36" s="568"/>
      <c r="EM36" s="568"/>
      <c r="EN36" s="568"/>
      <c r="EO36" s="568"/>
      <c r="EP36" s="568"/>
      <c r="EQ36" s="568"/>
      <c r="ER36" s="568"/>
      <c r="ES36" s="568"/>
      <c r="ET36" s="568"/>
      <c r="EU36" s="568"/>
      <c r="EV36" s="568"/>
      <c r="EW36" s="568"/>
      <c r="EX36" s="568"/>
      <c r="EY36" s="568"/>
      <c r="EZ36" s="568"/>
      <c r="FA36" s="568"/>
      <c r="FB36" s="568"/>
      <c r="FC36" s="568"/>
      <c r="FD36" s="568"/>
      <c r="FE36" s="568"/>
      <c r="FF36" s="568"/>
      <c r="FG36" s="568"/>
      <c r="FH36" s="568"/>
      <c r="FI36" s="568"/>
      <c r="FJ36" s="568"/>
      <c r="FK36" s="568"/>
      <c r="FL36" s="568"/>
      <c r="FM36" s="568"/>
      <c r="FN36" s="568"/>
      <c r="FO36" s="568"/>
      <c r="FP36" s="568"/>
      <c r="FQ36" s="568"/>
      <c r="FR36" s="568"/>
      <c r="FS36" s="568"/>
      <c r="FT36" s="568"/>
      <c r="FU36" s="568"/>
      <c r="FV36" s="568"/>
      <c r="FW36" s="568"/>
      <c r="FX36" s="568"/>
      <c r="FY36" s="568"/>
      <c r="FZ36" s="568"/>
      <c r="GA36" s="568"/>
      <c r="GB36" s="568"/>
      <c r="GC36" s="568"/>
      <c r="GD36" s="568"/>
      <c r="GE36" s="568"/>
      <c r="GF36" s="568"/>
      <c r="GG36" s="568"/>
      <c r="GH36" s="568"/>
      <c r="GI36" s="568"/>
      <c r="GJ36" s="568"/>
      <c r="GK36" s="568"/>
      <c r="GL36" s="568"/>
      <c r="GM36" s="568"/>
      <c r="GN36" s="568"/>
      <c r="GO36" s="568"/>
      <c r="GP36" s="568"/>
      <c r="GQ36" s="568"/>
      <c r="GR36" s="568"/>
      <c r="GS36" s="568"/>
      <c r="GT36" s="568"/>
      <c r="GU36" s="568"/>
      <c r="GV36" s="568"/>
      <c r="GW36" s="568"/>
      <c r="GX36" s="568"/>
      <c r="GY36" s="568"/>
      <c r="GZ36" s="568"/>
      <c r="HA36" s="568"/>
      <c r="HB36" s="568"/>
      <c r="HC36" s="568"/>
      <c r="HD36" s="568"/>
      <c r="HE36" s="568"/>
      <c r="HF36" s="568"/>
      <c r="HG36" s="568"/>
      <c r="HH36" s="568"/>
      <c r="HI36" s="568"/>
      <c r="HJ36" s="568"/>
      <c r="HK36" s="568"/>
    </row>
    <row r="37" spans="1:219" ht="30" customHeight="1" thickBot="1" x14ac:dyDescent="0.25">
      <c r="A37" s="875" t="s">
        <v>957</v>
      </c>
      <c r="B37" s="351" t="s">
        <v>689</v>
      </c>
      <c r="C37" s="1180" t="s">
        <v>665</v>
      </c>
      <c r="D37" s="646"/>
      <c r="E37" s="1190"/>
      <c r="F37" s="1719"/>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c r="AO37" s="568"/>
      <c r="AP37" s="568"/>
      <c r="AQ37" s="568"/>
      <c r="AR37" s="568"/>
      <c r="AS37" s="568"/>
      <c r="AT37" s="568"/>
      <c r="AU37" s="568"/>
      <c r="AV37" s="568"/>
      <c r="AW37" s="568"/>
      <c r="AX37" s="568"/>
      <c r="AY37" s="568"/>
      <c r="AZ37" s="568"/>
      <c r="BA37" s="568"/>
      <c r="BB37" s="568"/>
      <c r="BC37" s="568"/>
      <c r="BD37" s="568"/>
      <c r="BE37" s="568"/>
      <c r="BF37" s="568"/>
      <c r="BG37" s="568"/>
      <c r="BH37" s="568"/>
      <c r="BI37" s="568"/>
      <c r="BJ37" s="568"/>
      <c r="BK37" s="568"/>
      <c r="BL37" s="568"/>
      <c r="BM37" s="568"/>
      <c r="BN37" s="568"/>
      <c r="BO37" s="568"/>
      <c r="BP37" s="568"/>
      <c r="BQ37" s="568"/>
      <c r="BR37" s="568"/>
      <c r="BS37" s="568"/>
      <c r="BT37" s="568"/>
      <c r="BU37" s="568"/>
      <c r="BV37" s="568"/>
      <c r="BW37" s="568"/>
      <c r="BX37" s="568"/>
      <c r="BY37" s="568"/>
      <c r="BZ37" s="568"/>
      <c r="CA37" s="568"/>
      <c r="CB37" s="568"/>
      <c r="CC37" s="568"/>
      <c r="CD37" s="568"/>
      <c r="CE37" s="568"/>
      <c r="CF37" s="568"/>
      <c r="CG37" s="568"/>
      <c r="CH37" s="568"/>
      <c r="CI37" s="568"/>
      <c r="CJ37" s="568"/>
      <c r="CK37" s="568"/>
      <c r="CL37" s="568"/>
      <c r="CM37" s="568"/>
      <c r="CN37" s="568"/>
      <c r="CO37" s="568"/>
      <c r="CP37" s="568"/>
      <c r="CQ37" s="568"/>
      <c r="CR37" s="568"/>
      <c r="CS37" s="568"/>
      <c r="CT37" s="568"/>
      <c r="CU37" s="568"/>
      <c r="CV37" s="568"/>
      <c r="CW37" s="568"/>
      <c r="CX37" s="568"/>
      <c r="CY37" s="568"/>
      <c r="CZ37" s="568"/>
      <c r="DA37" s="568"/>
      <c r="DB37" s="568"/>
      <c r="DC37" s="568"/>
      <c r="DD37" s="568"/>
      <c r="DE37" s="568"/>
      <c r="DF37" s="568"/>
      <c r="DG37" s="568"/>
      <c r="DH37" s="568"/>
      <c r="DI37" s="568"/>
      <c r="DJ37" s="568"/>
      <c r="DK37" s="568"/>
      <c r="DL37" s="568"/>
      <c r="DM37" s="568"/>
      <c r="DN37" s="568"/>
      <c r="DO37" s="568"/>
      <c r="DP37" s="568"/>
      <c r="DQ37" s="568"/>
      <c r="DR37" s="568"/>
      <c r="DS37" s="568"/>
      <c r="DT37" s="568"/>
      <c r="DU37" s="568"/>
      <c r="DV37" s="568"/>
      <c r="DW37" s="568"/>
      <c r="DX37" s="568"/>
      <c r="DY37" s="568"/>
      <c r="DZ37" s="568"/>
      <c r="EA37" s="568"/>
      <c r="EB37" s="568"/>
      <c r="EC37" s="568"/>
      <c r="ED37" s="568"/>
      <c r="EE37" s="568"/>
      <c r="EF37" s="568"/>
      <c r="EG37" s="568"/>
      <c r="EH37" s="568"/>
      <c r="EI37" s="568"/>
      <c r="EJ37" s="568"/>
      <c r="EK37" s="568"/>
      <c r="EL37" s="568"/>
      <c r="EM37" s="568"/>
      <c r="EN37" s="568"/>
      <c r="EO37" s="568"/>
      <c r="EP37" s="568"/>
      <c r="EQ37" s="568"/>
      <c r="ER37" s="568"/>
      <c r="ES37" s="568"/>
      <c r="ET37" s="568"/>
      <c r="EU37" s="568"/>
      <c r="EV37" s="568"/>
      <c r="EW37" s="568"/>
      <c r="EX37" s="568"/>
      <c r="EY37" s="568"/>
      <c r="EZ37" s="568"/>
      <c r="FA37" s="568"/>
      <c r="FB37" s="568"/>
      <c r="FC37" s="568"/>
      <c r="FD37" s="568"/>
      <c r="FE37" s="568"/>
      <c r="FF37" s="568"/>
      <c r="FG37" s="568"/>
      <c r="FH37" s="568"/>
      <c r="FI37" s="568"/>
      <c r="FJ37" s="568"/>
      <c r="FK37" s="568"/>
      <c r="FL37" s="568"/>
      <c r="FM37" s="568"/>
      <c r="FN37" s="568"/>
      <c r="FO37" s="568"/>
      <c r="FP37" s="568"/>
      <c r="FQ37" s="568"/>
      <c r="FR37" s="568"/>
      <c r="FS37" s="568"/>
      <c r="FT37" s="568"/>
      <c r="FU37" s="568"/>
      <c r="FV37" s="568"/>
      <c r="FW37" s="568"/>
      <c r="FX37" s="568"/>
      <c r="FY37" s="568"/>
      <c r="FZ37" s="568"/>
      <c r="GA37" s="568"/>
      <c r="GB37" s="568"/>
      <c r="GC37" s="568"/>
      <c r="GD37" s="568"/>
      <c r="GE37" s="568"/>
      <c r="GF37" s="568"/>
      <c r="GG37" s="568"/>
      <c r="GH37" s="568"/>
      <c r="GI37" s="568"/>
      <c r="GJ37" s="568"/>
      <c r="GK37" s="568"/>
      <c r="GL37" s="568"/>
      <c r="GM37" s="568"/>
      <c r="GN37" s="568"/>
      <c r="GO37" s="568"/>
      <c r="GP37" s="568"/>
      <c r="GQ37" s="568"/>
      <c r="GR37" s="568"/>
      <c r="GS37" s="568"/>
      <c r="GT37" s="568"/>
      <c r="GU37" s="568"/>
      <c r="GV37" s="568"/>
      <c r="GW37" s="568"/>
      <c r="GX37" s="568"/>
      <c r="GY37" s="568"/>
      <c r="GZ37" s="568"/>
      <c r="HA37" s="568"/>
      <c r="HB37" s="568"/>
      <c r="HC37" s="568"/>
      <c r="HD37" s="568"/>
      <c r="HE37" s="568"/>
      <c r="HF37" s="568"/>
      <c r="HG37" s="568"/>
      <c r="HH37" s="568"/>
      <c r="HI37" s="568"/>
      <c r="HJ37" s="568"/>
      <c r="HK37" s="568"/>
    </row>
    <row r="38" spans="1:219" s="158" customFormat="1" ht="30" customHeight="1" thickBot="1" x14ac:dyDescent="0.25">
      <c r="A38" s="539" t="s">
        <v>958</v>
      </c>
      <c r="B38" s="867" t="s">
        <v>1967</v>
      </c>
      <c r="C38" s="867" t="s">
        <v>1967</v>
      </c>
      <c r="D38" s="645"/>
      <c r="E38" s="1188"/>
      <c r="F38" s="1719" t="s">
        <v>1966</v>
      </c>
    </row>
    <row r="39" spans="1:219" ht="30" customHeight="1" thickBot="1" x14ac:dyDescent="0.25">
      <c r="A39" s="567" t="s">
        <v>959</v>
      </c>
      <c r="B39" s="331" t="s">
        <v>694</v>
      </c>
      <c r="C39" s="464" t="s">
        <v>681</v>
      </c>
      <c r="D39" s="645"/>
      <c r="E39" s="1188"/>
      <c r="F39" s="1719" t="s">
        <v>904</v>
      </c>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c r="BB39" s="568"/>
      <c r="BC39" s="568"/>
      <c r="BD39" s="568"/>
      <c r="BE39" s="568"/>
      <c r="BF39" s="568"/>
      <c r="BG39" s="568"/>
      <c r="BH39" s="568"/>
      <c r="BI39" s="568"/>
      <c r="BJ39" s="568"/>
      <c r="BK39" s="568"/>
      <c r="BL39" s="568"/>
      <c r="BM39" s="568"/>
      <c r="BN39" s="568"/>
      <c r="BO39" s="568"/>
      <c r="BP39" s="568"/>
      <c r="BQ39" s="568"/>
      <c r="BR39" s="568"/>
      <c r="BS39" s="568"/>
      <c r="BT39" s="568"/>
      <c r="BU39" s="568"/>
      <c r="BV39" s="568"/>
      <c r="BW39" s="568"/>
      <c r="BX39" s="568"/>
      <c r="BY39" s="568"/>
      <c r="BZ39" s="568"/>
      <c r="CA39" s="568"/>
      <c r="CB39" s="568"/>
      <c r="CC39" s="568"/>
      <c r="CD39" s="568"/>
      <c r="CE39" s="568"/>
      <c r="CF39" s="568"/>
      <c r="CG39" s="568"/>
      <c r="CH39" s="568"/>
      <c r="CI39" s="568"/>
      <c r="CJ39" s="568"/>
      <c r="CK39" s="568"/>
      <c r="CL39" s="568"/>
      <c r="CM39" s="568"/>
      <c r="CN39" s="568"/>
      <c r="CO39" s="568"/>
      <c r="CP39" s="568"/>
      <c r="CQ39" s="568"/>
      <c r="CR39" s="568"/>
      <c r="CS39" s="568"/>
      <c r="CT39" s="568"/>
      <c r="CU39" s="568"/>
      <c r="CV39" s="568"/>
      <c r="CW39" s="568"/>
      <c r="CX39" s="568"/>
      <c r="CY39" s="568"/>
      <c r="CZ39" s="568"/>
      <c r="DA39" s="568"/>
      <c r="DB39" s="568"/>
      <c r="DC39" s="568"/>
      <c r="DD39" s="568"/>
      <c r="DE39" s="568"/>
      <c r="DF39" s="568"/>
      <c r="DG39" s="568"/>
      <c r="DH39" s="568"/>
      <c r="DI39" s="568"/>
      <c r="DJ39" s="568"/>
      <c r="DK39" s="568"/>
      <c r="DL39" s="568"/>
      <c r="DM39" s="568"/>
      <c r="DN39" s="568"/>
      <c r="DO39" s="568"/>
      <c r="DP39" s="568"/>
      <c r="DQ39" s="568"/>
      <c r="DR39" s="568"/>
      <c r="DS39" s="568"/>
      <c r="DT39" s="568"/>
      <c r="DU39" s="568"/>
      <c r="DV39" s="568"/>
      <c r="DW39" s="568"/>
      <c r="DX39" s="568"/>
      <c r="DY39" s="568"/>
      <c r="DZ39" s="568"/>
      <c r="EA39" s="568"/>
      <c r="EB39" s="568"/>
      <c r="EC39" s="568"/>
      <c r="ED39" s="568"/>
      <c r="EE39" s="568"/>
      <c r="EF39" s="568"/>
      <c r="EG39" s="568"/>
      <c r="EH39" s="568"/>
      <c r="EI39" s="568"/>
      <c r="EJ39" s="568"/>
      <c r="EK39" s="568"/>
      <c r="EL39" s="568"/>
      <c r="EM39" s="568"/>
      <c r="EN39" s="568"/>
      <c r="EO39" s="568"/>
      <c r="EP39" s="568"/>
      <c r="EQ39" s="568"/>
      <c r="ER39" s="568"/>
      <c r="ES39" s="568"/>
      <c r="ET39" s="568"/>
      <c r="EU39" s="568"/>
      <c r="EV39" s="568"/>
      <c r="EW39" s="568"/>
      <c r="EX39" s="568"/>
      <c r="EY39" s="568"/>
      <c r="EZ39" s="568"/>
      <c r="FA39" s="568"/>
      <c r="FB39" s="568"/>
      <c r="FC39" s="568"/>
      <c r="FD39" s="568"/>
      <c r="FE39" s="568"/>
      <c r="FF39" s="568"/>
      <c r="FG39" s="568"/>
      <c r="FH39" s="568"/>
      <c r="FI39" s="568"/>
      <c r="FJ39" s="568"/>
      <c r="FK39" s="568"/>
      <c r="FL39" s="568"/>
      <c r="FM39" s="568"/>
      <c r="FN39" s="568"/>
      <c r="FO39" s="568"/>
      <c r="FP39" s="568"/>
      <c r="FQ39" s="568"/>
      <c r="FR39" s="568"/>
      <c r="FS39" s="568"/>
      <c r="FT39" s="568"/>
      <c r="FU39" s="568"/>
      <c r="FV39" s="568"/>
      <c r="FW39" s="568"/>
      <c r="FX39" s="568"/>
      <c r="FY39" s="568"/>
      <c r="FZ39" s="568"/>
      <c r="GA39" s="568"/>
      <c r="GB39" s="568"/>
      <c r="GC39" s="568"/>
      <c r="GD39" s="568"/>
      <c r="GE39" s="568"/>
      <c r="GF39" s="568"/>
      <c r="GG39" s="568"/>
      <c r="GH39" s="568"/>
      <c r="GI39" s="568"/>
      <c r="GJ39" s="568"/>
      <c r="GK39" s="568"/>
      <c r="GL39" s="568"/>
      <c r="GM39" s="568"/>
      <c r="GN39" s="568"/>
      <c r="GO39" s="568"/>
      <c r="GP39" s="568"/>
      <c r="GQ39" s="568"/>
      <c r="GR39" s="568"/>
      <c r="GS39" s="568"/>
      <c r="GT39" s="568"/>
      <c r="GU39" s="568"/>
      <c r="GV39" s="568"/>
      <c r="GW39" s="568"/>
      <c r="GX39" s="568"/>
      <c r="GY39" s="568"/>
      <c r="GZ39" s="568"/>
      <c r="HA39" s="568"/>
      <c r="HB39" s="568"/>
      <c r="HC39" s="568"/>
      <c r="HD39" s="568"/>
      <c r="HE39" s="568"/>
      <c r="HF39" s="568"/>
      <c r="HG39" s="568"/>
      <c r="HH39" s="568"/>
      <c r="HI39" s="568"/>
      <c r="HJ39" s="568"/>
      <c r="HK39" s="568"/>
    </row>
    <row r="40" spans="1:219" ht="30" customHeight="1" thickBot="1" x14ac:dyDescent="0.25">
      <c r="A40" s="539" t="s">
        <v>960</v>
      </c>
      <c r="B40" s="351" t="s">
        <v>686</v>
      </c>
      <c r="C40" s="1180" t="s">
        <v>871</v>
      </c>
      <c r="D40" s="646"/>
      <c r="E40" s="1190"/>
      <c r="F40" s="1721" t="s">
        <v>2156</v>
      </c>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568"/>
      <c r="AV40" s="568"/>
      <c r="AW40" s="568"/>
      <c r="AX40" s="568"/>
      <c r="AY40" s="568"/>
      <c r="AZ40" s="568"/>
      <c r="BA40" s="568"/>
      <c r="BB40" s="568"/>
      <c r="BC40" s="568"/>
      <c r="BD40" s="568"/>
      <c r="BE40" s="568"/>
      <c r="BF40" s="568"/>
      <c r="BG40" s="568"/>
      <c r="BH40" s="568"/>
      <c r="BI40" s="568"/>
      <c r="BJ40" s="568"/>
      <c r="BK40" s="568"/>
      <c r="BL40" s="568"/>
      <c r="BM40" s="568"/>
      <c r="BN40" s="568"/>
      <c r="BO40" s="568"/>
      <c r="BP40" s="568"/>
      <c r="BQ40" s="568"/>
      <c r="BR40" s="568"/>
      <c r="BS40" s="568"/>
      <c r="BT40" s="568"/>
      <c r="BU40" s="568"/>
      <c r="BV40" s="568"/>
      <c r="BW40" s="568"/>
      <c r="BX40" s="568"/>
      <c r="BY40" s="568"/>
      <c r="BZ40" s="568"/>
      <c r="CA40" s="568"/>
      <c r="CB40" s="568"/>
      <c r="CC40" s="568"/>
      <c r="CD40" s="568"/>
      <c r="CE40" s="568"/>
      <c r="CF40" s="568"/>
      <c r="CG40" s="568"/>
      <c r="CH40" s="568"/>
      <c r="CI40" s="568"/>
      <c r="CJ40" s="568"/>
      <c r="CK40" s="568"/>
      <c r="CL40" s="568"/>
      <c r="CM40" s="568"/>
      <c r="CN40" s="568"/>
      <c r="CO40" s="568"/>
      <c r="CP40" s="568"/>
      <c r="CQ40" s="568"/>
      <c r="CR40" s="568"/>
      <c r="CS40" s="568"/>
      <c r="CT40" s="568"/>
      <c r="CU40" s="568"/>
      <c r="CV40" s="568"/>
      <c r="CW40" s="568"/>
      <c r="CX40" s="568"/>
      <c r="CY40" s="568"/>
      <c r="CZ40" s="568"/>
      <c r="DA40" s="568"/>
      <c r="DB40" s="568"/>
      <c r="DC40" s="568"/>
      <c r="DD40" s="568"/>
      <c r="DE40" s="568"/>
      <c r="DF40" s="568"/>
      <c r="DG40" s="568"/>
      <c r="DH40" s="568"/>
      <c r="DI40" s="568"/>
      <c r="DJ40" s="568"/>
      <c r="DK40" s="568"/>
      <c r="DL40" s="568"/>
      <c r="DM40" s="568"/>
      <c r="DN40" s="568"/>
      <c r="DO40" s="568"/>
      <c r="DP40" s="568"/>
      <c r="DQ40" s="568"/>
      <c r="DR40" s="568"/>
      <c r="DS40" s="568"/>
      <c r="DT40" s="568"/>
      <c r="DU40" s="568"/>
      <c r="DV40" s="568"/>
      <c r="DW40" s="568"/>
      <c r="DX40" s="568"/>
      <c r="DY40" s="568"/>
      <c r="DZ40" s="568"/>
      <c r="EA40" s="568"/>
      <c r="EB40" s="568"/>
      <c r="EC40" s="568"/>
      <c r="ED40" s="568"/>
      <c r="EE40" s="568"/>
      <c r="EF40" s="568"/>
      <c r="EG40" s="568"/>
      <c r="EH40" s="568"/>
      <c r="EI40" s="568"/>
      <c r="EJ40" s="568"/>
      <c r="EK40" s="568"/>
      <c r="EL40" s="568"/>
      <c r="EM40" s="568"/>
      <c r="EN40" s="568"/>
      <c r="EO40" s="568"/>
      <c r="EP40" s="568"/>
      <c r="EQ40" s="568"/>
      <c r="ER40" s="568"/>
      <c r="ES40" s="568"/>
      <c r="ET40" s="568"/>
      <c r="EU40" s="568"/>
      <c r="EV40" s="568"/>
      <c r="EW40" s="568"/>
      <c r="EX40" s="568"/>
      <c r="EY40" s="568"/>
      <c r="EZ40" s="568"/>
      <c r="FA40" s="568"/>
      <c r="FB40" s="568"/>
      <c r="FC40" s="568"/>
      <c r="FD40" s="568"/>
      <c r="FE40" s="568"/>
      <c r="FF40" s="568"/>
      <c r="FG40" s="568"/>
      <c r="FH40" s="568"/>
      <c r="FI40" s="568"/>
      <c r="FJ40" s="568"/>
      <c r="FK40" s="568"/>
      <c r="FL40" s="568"/>
      <c r="FM40" s="568"/>
      <c r="FN40" s="568"/>
      <c r="FO40" s="568"/>
      <c r="FP40" s="568"/>
      <c r="FQ40" s="568"/>
      <c r="FR40" s="568"/>
      <c r="FS40" s="568"/>
      <c r="FT40" s="568"/>
      <c r="FU40" s="568"/>
      <c r="FV40" s="568"/>
      <c r="FW40" s="568"/>
      <c r="FX40" s="568"/>
      <c r="FY40" s="568"/>
      <c r="FZ40" s="568"/>
      <c r="GA40" s="568"/>
      <c r="GB40" s="568"/>
      <c r="GC40" s="568"/>
      <c r="GD40" s="568"/>
      <c r="GE40" s="568"/>
      <c r="GF40" s="568"/>
      <c r="GG40" s="568"/>
      <c r="GH40" s="568"/>
      <c r="GI40" s="568"/>
      <c r="GJ40" s="568"/>
      <c r="GK40" s="568"/>
      <c r="GL40" s="568"/>
      <c r="GM40" s="568"/>
      <c r="GN40" s="568"/>
      <c r="GO40" s="568"/>
      <c r="GP40" s="568"/>
      <c r="GQ40" s="568"/>
      <c r="GR40" s="568"/>
      <c r="GS40" s="568"/>
      <c r="GT40" s="568"/>
      <c r="GU40" s="568"/>
      <c r="GV40" s="568"/>
      <c r="GW40" s="568"/>
      <c r="GX40" s="568"/>
      <c r="GY40" s="568"/>
      <c r="GZ40" s="568"/>
      <c r="HA40" s="568"/>
      <c r="HB40" s="568"/>
      <c r="HC40" s="568"/>
      <c r="HD40" s="568"/>
      <c r="HE40" s="568"/>
      <c r="HF40" s="568"/>
      <c r="HG40" s="568"/>
      <c r="HH40" s="568"/>
      <c r="HI40" s="568"/>
      <c r="HJ40" s="568"/>
      <c r="HK40" s="568"/>
    </row>
    <row r="41" spans="1:219" ht="30" customHeight="1" thickBot="1" x14ac:dyDescent="0.25">
      <c r="A41" s="539" t="s">
        <v>961</v>
      </c>
      <c r="B41" s="331" t="s">
        <v>799</v>
      </c>
      <c r="C41" s="331" t="s">
        <v>902</v>
      </c>
      <c r="D41" s="645"/>
      <c r="E41" s="1188"/>
      <c r="F41" s="1719" t="s">
        <v>1275</v>
      </c>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c r="AU41" s="568"/>
      <c r="AV41" s="568"/>
      <c r="AW41" s="568"/>
      <c r="AX41" s="568"/>
      <c r="AY41" s="568"/>
      <c r="AZ41" s="568"/>
      <c r="BA41" s="568"/>
      <c r="BB41" s="568"/>
      <c r="BC41" s="568"/>
      <c r="BD41" s="568"/>
      <c r="BE41" s="568"/>
      <c r="BF41" s="568"/>
      <c r="BG41" s="568"/>
      <c r="BH41" s="568"/>
      <c r="BI41" s="568"/>
      <c r="BJ41" s="568"/>
      <c r="BK41" s="568"/>
      <c r="BL41" s="568"/>
      <c r="BM41" s="568"/>
      <c r="BN41" s="568"/>
      <c r="BO41" s="568"/>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568"/>
      <c r="CP41" s="568"/>
      <c r="CQ41" s="568"/>
      <c r="CR41" s="568"/>
      <c r="CS41" s="568"/>
      <c r="CT41" s="568"/>
      <c r="CU41" s="568"/>
      <c r="CV41" s="568"/>
      <c r="CW41" s="568"/>
      <c r="CX41" s="568"/>
      <c r="CY41" s="568"/>
      <c r="CZ41" s="568"/>
      <c r="DA41" s="568"/>
      <c r="DB41" s="568"/>
      <c r="DC41" s="568"/>
      <c r="DD41" s="568"/>
      <c r="DE41" s="568"/>
      <c r="DF41" s="568"/>
      <c r="DG41" s="568"/>
      <c r="DH41" s="568"/>
      <c r="DI41" s="568"/>
      <c r="DJ41" s="568"/>
      <c r="DK41" s="568"/>
      <c r="DL41" s="568"/>
      <c r="DM41" s="568"/>
      <c r="DN41" s="568"/>
      <c r="DO41" s="568"/>
      <c r="DP41" s="568"/>
      <c r="DQ41" s="568"/>
      <c r="DR41" s="568"/>
      <c r="DS41" s="568"/>
      <c r="DT41" s="568"/>
      <c r="DU41" s="568"/>
      <c r="DV41" s="568"/>
      <c r="DW41" s="568"/>
      <c r="DX41" s="568"/>
      <c r="DY41" s="568"/>
      <c r="DZ41" s="568"/>
      <c r="EA41" s="568"/>
      <c r="EB41" s="568"/>
      <c r="EC41" s="568"/>
      <c r="ED41" s="568"/>
      <c r="EE41" s="568"/>
      <c r="EF41" s="568"/>
      <c r="EG41" s="568"/>
      <c r="EH41" s="568"/>
      <c r="EI41" s="568"/>
      <c r="EJ41" s="568"/>
      <c r="EK41" s="568"/>
      <c r="EL41" s="568"/>
      <c r="EM41" s="568"/>
      <c r="EN41" s="568"/>
      <c r="EO41" s="568"/>
      <c r="EP41" s="568"/>
      <c r="EQ41" s="568"/>
      <c r="ER41" s="568"/>
      <c r="ES41" s="568"/>
      <c r="ET41" s="568"/>
      <c r="EU41" s="568"/>
      <c r="EV41" s="568"/>
      <c r="EW41" s="568"/>
      <c r="EX41" s="568"/>
      <c r="EY41" s="568"/>
      <c r="EZ41" s="568"/>
      <c r="FA41" s="568"/>
      <c r="FB41" s="568"/>
      <c r="FC41" s="568"/>
      <c r="FD41" s="568"/>
      <c r="FE41" s="568"/>
      <c r="FF41" s="568"/>
      <c r="FG41" s="568"/>
      <c r="FH41" s="568"/>
      <c r="FI41" s="568"/>
      <c r="FJ41" s="568"/>
      <c r="FK41" s="568"/>
      <c r="FL41" s="568"/>
      <c r="FM41" s="568"/>
      <c r="FN41" s="568"/>
      <c r="FO41" s="568"/>
      <c r="FP41" s="568"/>
      <c r="FQ41" s="568"/>
      <c r="FR41" s="568"/>
      <c r="FS41" s="568"/>
      <c r="FT41" s="568"/>
      <c r="FU41" s="568"/>
      <c r="FV41" s="568"/>
      <c r="FW41" s="568"/>
      <c r="FX41" s="568"/>
      <c r="FY41" s="568"/>
      <c r="FZ41" s="568"/>
      <c r="GA41" s="568"/>
      <c r="GB41" s="568"/>
      <c r="GC41" s="568"/>
      <c r="GD41" s="568"/>
      <c r="GE41" s="568"/>
      <c r="GF41" s="568"/>
      <c r="GG41" s="568"/>
      <c r="GH41" s="568"/>
      <c r="GI41" s="568"/>
      <c r="GJ41" s="568"/>
      <c r="GK41" s="568"/>
      <c r="GL41" s="568"/>
      <c r="GM41" s="568"/>
      <c r="GN41" s="568"/>
      <c r="GO41" s="568"/>
      <c r="GP41" s="568"/>
      <c r="GQ41" s="568"/>
      <c r="GR41" s="568"/>
      <c r="GS41" s="568"/>
      <c r="GT41" s="568"/>
      <c r="GU41" s="568"/>
      <c r="GV41" s="568"/>
      <c r="GW41" s="568"/>
      <c r="GX41" s="568"/>
      <c r="GY41" s="568"/>
      <c r="GZ41" s="568"/>
      <c r="HA41" s="568"/>
      <c r="HB41" s="568"/>
      <c r="HC41" s="568"/>
      <c r="HD41" s="568"/>
      <c r="HE41" s="568"/>
      <c r="HF41" s="568"/>
      <c r="HG41" s="568"/>
      <c r="HH41" s="568"/>
      <c r="HI41" s="568"/>
      <c r="HJ41" s="568"/>
      <c r="HK41" s="568"/>
    </row>
    <row r="42" spans="1:219" ht="30" customHeight="1" thickBot="1" x14ac:dyDescent="0.25">
      <c r="A42" s="567" t="s">
        <v>962</v>
      </c>
      <c r="B42" s="351" t="s">
        <v>2271</v>
      </c>
      <c r="C42" s="464" t="s">
        <v>2542</v>
      </c>
      <c r="D42" s="645"/>
      <c r="E42" s="1188"/>
      <c r="F42" s="1721" t="s">
        <v>2272</v>
      </c>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c r="AH42" s="568"/>
      <c r="AI42" s="568"/>
      <c r="AJ42" s="568"/>
      <c r="AK42" s="568"/>
      <c r="AL42" s="568"/>
      <c r="AM42" s="568"/>
      <c r="AN42" s="568"/>
      <c r="AO42" s="568"/>
      <c r="AP42" s="568"/>
      <c r="AQ42" s="568"/>
      <c r="AR42" s="568"/>
      <c r="AS42" s="568"/>
      <c r="AT42" s="568"/>
      <c r="AU42" s="568"/>
      <c r="AV42" s="568"/>
      <c r="AW42" s="568"/>
      <c r="AX42" s="568"/>
      <c r="AY42" s="568"/>
      <c r="AZ42" s="568"/>
      <c r="BA42" s="568"/>
      <c r="BB42" s="568"/>
      <c r="BC42" s="568"/>
      <c r="BD42" s="568"/>
      <c r="BE42" s="568"/>
      <c r="BF42" s="568"/>
      <c r="BG42" s="568"/>
      <c r="BH42" s="568"/>
      <c r="BI42" s="568"/>
      <c r="BJ42" s="568"/>
      <c r="BK42" s="568"/>
      <c r="BL42" s="568"/>
      <c r="BM42" s="568"/>
      <c r="BN42" s="568"/>
      <c r="BO42" s="568"/>
      <c r="BP42" s="568"/>
      <c r="BQ42" s="568"/>
      <c r="BR42" s="568"/>
      <c r="BS42" s="568"/>
      <c r="BT42" s="568"/>
      <c r="BU42" s="568"/>
      <c r="BV42" s="568"/>
      <c r="BW42" s="568"/>
      <c r="BX42" s="568"/>
      <c r="BY42" s="568"/>
      <c r="BZ42" s="568"/>
      <c r="CA42" s="568"/>
      <c r="CB42" s="568"/>
      <c r="CC42" s="568"/>
      <c r="CD42" s="568"/>
      <c r="CE42" s="568"/>
      <c r="CF42" s="568"/>
      <c r="CG42" s="568"/>
      <c r="CH42" s="568"/>
      <c r="CI42" s="568"/>
      <c r="CJ42" s="568"/>
      <c r="CK42" s="568"/>
      <c r="CL42" s="568"/>
      <c r="CM42" s="568"/>
      <c r="CN42" s="568"/>
      <c r="CO42" s="568"/>
      <c r="CP42" s="568"/>
      <c r="CQ42" s="568"/>
      <c r="CR42" s="568"/>
      <c r="CS42" s="568"/>
      <c r="CT42" s="568"/>
      <c r="CU42" s="568"/>
      <c r="CV42" s="568"/>
      <c r="CW42" s="568"/>
      <c r="CX42" s="568"/>
      <c r="CY42" s="568"/>
      <c r="CZ42" s="568"/>
      <c r="DA42" s="568"/>
      <c r="DB42" s="568"/>
      <c r="DC42" s="568"/>
      <c r="DD42" s="568"/>
      <c r="DE42" s="568"/>
      <c r="DF42" s="568"/>
      <c r="DG42" s="568"/>
      <c r="DH42" s="568"/>
      <c r="DI42" s="568"/>
      <c r="DJ42" s="568"/>
      <c r="DK42" s="568"/>
      <c r="DL42" s="568"/>
      <c r="DM42" s="568"/>
      <c r="DN42" s="568"/>
      <c r="DO42" s="568"/>
      <c r="DP42" s="568"/>
      <c r="DQ42" s="568"/>
      <c r="DR42" s="568"/>
      <c r="DS42" s="568"/>
      <c r="DT42" s="568"/>
      <c r="DU42" s="568"/>
      <c r="DV42" s="568"/>
      <c r="DW42" s="568"/>
      <c r="DX42" s="568"/>
      <c r="DY42" s="568"/>
      <c r="DZ42" s="568"/>
      <c r="EA42" s="568"/>
      <c r="EB42" s="568"/>
      <c r="EC42" s="568"/>
      <c r="ED42" s="568"/>
      <c r="EE42" s="568"/>
      <c r="EF42" s="568"/>
      <c r="EG42" s="568"/>
      <c r="EH42" s="568"/>
      <c r="EI42" s="568"/>
      <c r="EJ42" s="568"/>
      <c r="EK42" s="568"/>
      <c r="EL42" s="568"/>
      <c r="EM42" s="568"/>
      <c r="EN42" s="568"/>
      <c r="EO42" s="568"/>
      <c r="EP42" s="568"/>
      <c r="EQ42" s="568"/>
      <c r="ER42" s="568"/>
      <c r="ES42" s="568"/>
      <c r="ET42" s="568"/>
      <c r="EU42" s="568"/>
      <c r="EV42" s="568"/>
      <c r="EW42" s="568"/>
      <c r="EX42" s="568"/>
      <c r="EY42" s="568"/>
      <c r="EZ42" s="568"/>
      <c r="FA42" s="568"/>
      <c r="FB42" s="568"/>
      <c r="FC42" s="568"/>
      <c r="FD42" s="568"/>
      <c r="FE42" s="568"/>
      <c r="FF42" s="568"/>
      <c r="FG42" s="568"/>
      <c r="FH42" s="568"/>
      <c r="FI42" s="568"/>
      <c r="FJ42" s="568"/>
      <c r="FK42" s="568"/>
      <c r="FL42" s="568"/>
      <c r="FM42" s="568"/>
      <c r="FN42" s="568"/>
      <c r="FO42" s="568"/>
      <c r="FP42" s="568"/>
      <c r="FQ42" s="568"/>
      <c r="FR42" s="568"/>
      <c r="FS42" s="568"/>
      <c r="FT42" s="568"/>
      <c r="FU42" s="568"/>
      <c r="FV42" s="568"/>
      <c r="FW42" s="568"/>
      <c r="FX42" s="568"/>
      <c r="FY42" s="568"/>
      <c r="FZ42" s="568"/>
      <c r="GA42" s="568"/>
      <c r="GB42" s="568"/>
      <c r="GC42" s="568"/>
      <c r="GD42" s="568"/>
      <c r="GE42" s="568"/>
      <c r="GF42" s="568"/>
      <c r="GG42" s="568"/>
      <c r="GH42" s="568"/>
      <c r="GI42" s="568"/>
      <c r="GJ42" s="568"/>
      <c r="GK42" s="568"/>
      <c r="GL42" s="568"/>
      <c r="GM42" s="568"/>
      <c r="GN42" s="568"/>
      <c r="GO42" s="568"/>
      <c r="GP42" s="568"/>
      <c r="GQ42" s="568"/>
      <c r="GR42" s="568"/>
      <c r="GS42" s="568"/>
      <c r="GT42" s="568"/>
      <c r="GU42" s="568"/>
      <c r="GV42" s="568"/>
      <c r="GW42" s="568"/>
      <c r="GX42" s="568"/>
      <c r="GY42" s="568"/>
      <c r="GZ42" s="568"/>
      <c r="HA42" s="568"/>
      <c r="HB42" s="568"/>
      <c r="HC42" s="568"/>
      <c r="HD42" s="568"/>
      <c r="HE42" s="568"/>
      <c r="HF42" s="568"/>
      <c r="HG42" s="568"/>
      <c r="HH42" s="568"/>
      <c r="HI42" s="568"/>
      <c r="HJ42" s="568"/>
      <c r="HK42" s="568"/>
    </row>
    <row r="43" spans="1:219" ht="30" customHeight="1" thickBot="1" x14ac:dyDescent="0.25">
      <c r="A43" s="539" t="s">
        <v>963</v>
      </c>
      <c r="B43" s="331" t="s">
        <v>800</v>
      </c>
      <c r="C43" s="464" t="s">
        <v>2168</v>
      </c>
      <c r="D43" s="645"/>
      <c r="E43" s="1188"/>
      <c r="F43" s="1721" t="s">
        <v>1976</v>
      </c>
      <c r="G43" s="568"/>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8"/>
      <c r="AZ43" s="568"/>
      <c r="BA43" s="568"/>
      <c r="BB43" s="568"/>
      <c r="BC43" s="568"/>
      <c r="BD43" s="568"/>
      <c r="BE43" s="568"/>
      <c r="BF43" s="568"/>
      <c r="BG43" s="568"/>
      <c r="BH43" s="568"/>
      <c r="BI43" s="568"/>
      <c r="BJ43" s="568"/>
      <c r="BK43" s="568"/>
      <c r="BL43" s="568"/>
      <c r="BM43" s="568"/>
      <c r="BN43" s="568"/>
      <c r="BO43" s="568"/>
      <c r="BP43" s="568"/>
      <c r="BQ43" s="568"/>
      <c r="BR43" s="568"/>
      <c r="BS43" s="568"/>
      <c r="BT43" s="568"/>
      <c r="BU43" s="568"/>
      <c r="BV43" s="568"/>
      <c r="BW43" s="568"/>
      <c r="BX43" s="568"/>
      <c r="BY43" s="568"/>
      <c r="BZ43" s="568"/>
      <c r="CA43" s="568"/>
      <c r="CB43" s="568"/>
      <c r="CC43" s="568"/>
      <c r="CD43" s="568"/>
      <c r="CE43" s="568"/>
      <c r="CF43" s="568"/>
      <c r="CG43" s="568"/>
      <c r="CH43" s="568"/>
      <c r="CI43" s="568"/>
      <c r="CJ43" s="568"/>
      <c r="CK43" s="568"/>
      <c r="CL43" s="568"/>
      <c r="CM43" s="568"/>
      <c r="CN43" s="568"/>
      <c r="CO43" s="568"/>
      <c r="CP43" s="568"/>
      <c r="CQ43" s="568"/>
      <c r="CR43" s="568"/>
      <c r="CS43" s="568"/>
      <c r="CT43" s="568"/>
      <c r="CU43" s="568"/>
      <c r="CV43" s="568"/>
      <c r="CW43" s="568"/>
      <c r="CX43" s="568"/>
      <c r="CY43" s="568"/>
      <c r="CZ43" s="568"/>
      <c r="DA43" s="568"/>
      <c r="DB43" s="568"/>
      <c r="DC43" s="568"/>
      <c r="DD43" s="568"/>
      <c r="DE43" s="568"/>
      <c r="DF43" s="568"/>
      <c r="DG43" s="568"/>
      <c r="DH43" s="568"/>
      <c r="DI43" s="568"/>
      <c r="DJ43" s="568"/>
      <c r="DK43" s="568"/>
      <c r="DL43" s="568"/>
      <c r="DM43" s="568"/>
      <c r="DN43" s="568"/>
      <c r="DO43" s="568"/>
      <c r="DP43" s="568"/>
      <c r="DQ43" s="568"/>
      <c r="DR43" s="568"/>
      <c r="DS43" s="568"/>
      <c r="DT43" s="568"/>
      <c r="DU43" s="568"/>
      <c r="DV43" s="568"/>
      <c r="DW43" s="568"/>
      <c r="DX43" s="568"/>
      <c r="DY43" s="568"/>
      <c r="DZ43" s="568"/>
      <c r="EA43" s="568"/>
      <c r="EB43" s="568"/>
      <c r="EC43" s="568"/>
      <c r="ED43" s="568"/>
      <c r="EE43" s="568"/>
      <c r="EF43" s="568"/>
      <c r="EG43" s="568"/>
      <c r="EH43" s="568"/>
      <c r="EI43" s="568"/>
      <c r="EJ43" s="568"/>
      <c r="EK43" s="568"/>
      <c r="EL43" s="568"/>
      <c r="EM43" s="568"/>
      <c r="EN43" s="568"/>
      <c r="EO43" s="568"/>
      <c r="EP43" s="568"/>
      <c r="EQ43" s="568"/>
      <c r="ER43" s="568"/>
      <c r="ES43" s="568"/>
      <c r="ET43" s="568"/>
      <c r="EU43" s="568"/>
      <c r="EV43" s="568"/>
      <c r="EW43" s="568"/>
      <c r="EX43" s="568"/>
      <c r="EY43" s="568"/>
      <c r="EZ43" s="568"/>
      <c r="FA43" s="568"/>
      <c r="FB43" s="568"/>
      <c r="FC43" s="568"/>
      <c r="FD43" s="568"/>
      <c r="FE43" s="568"/>
      <c r="FF43" s="568"/>
      <c r="FG43" s="568"/>
      <c r="FH43" s="568"/>
      <c r="FI43" s="568"/>
      <c r="FJ43" s="568"/>
      <c r="FK43" s="568"/>
      <c r="FL43" s="568"/>
      <c r="FM43" s="568"/>
      <c r="FN43" s="568"/>
      <c r="FO43" s="568"/>
      <c r="FP43" s="568"/>
      <c r="FQ43" s="568"/>
      <c r="FR43" s="568"/>
      <c r="FS43" s="568"/>
      <c r="FT43" s="568"/>
      <c r="FU43" s="568"/>
      <c r="FV43" s="568"/>
      <c r="FW43" s="568"/>
      <c r="FX43" s="568"/>
      <c r="FY43" s="568"/>
      <c r="FZ43" s="568"/>
      <c r="GA43" s="568"/>
      <c r="GB43" s="568"/>
      <c r="GC43" s="568"/>
      <c r="GD43" s="568"/>
      <c r="GE43" s="568"/>
      <c r="GF43" s="568"/>
      <c r="GG43" s="568"/>
      <c r="GH43" s="568"/>
      <c r="GI43" s="568"/>
      <c r="GJ43" s="568"/>
      <c r="GK43" s="568"/>
      <c r="GL43" s="568"/>
      <c r="GM43" s="568"/>
      <c r="GN43" s="568"/>
      <c r="GO43" s="568"/>
      <c r="GP43" s="568"/>
      <c r="GQ43" s="568"/>
      <c r="GR43" s="568"/>
      <c r="GS43" s="568"/>
      <c r="GT43" s="568"/>
      <c r="GU43" s="568"/>
      <c r="GV43" s="568"/>
      <c r="GW43" s="568"/>
      <c r="GX43" s="568"/>
      <c r="GY43" s="568"/>
      <c r="GZ43" s="568"/>
      <c r="HA43" s="568"/>
      <c r="HB43" s="568"/>
      <c r="HC43" s="568"/>
      <c r="HD43" s="568"/>
      <c r="HE43" s="568"/>
      <c r="HF43" s="568"/>
      <c r="HG43" s="568"/>
      <c r="HH43" s="568"/>
      <c r="HI43" s="568"/>
      <c r="HJ43" s="568"/>
      <c r="HK43" s="568"/>
    </row>
    <row r="44" spans="1:219" s="158" customFormat="1" ht="30" customHeight="1" thickBot="1" x14ac:dyDescent="0.25">
      <c r="A44" s="539" t="s">
        <v>964</v>
      </c>
      <c r="B44" s="331" t="s">
        <v>655</v>
      </c>
      <c r="C44" s="464" t="s">
        <v>874</v>
      </c>
      <c r="D44" s="645"/>
      <c r="E44" s="1188"/>
      <c r="F44" s="1719" t="s">
        <v>2222</v>
      </c>
    </row>
    <row r="45" spans="1:219" s="158" customFormat="1" ht="30" customHeight="1" thickBot="1" x14ac:dyDescent="0.25">
      <c r="A45" s="567" t="s">
        <v>965</v>
      </c>
      <c r="B45" s="351" t="s">
        <v>661</v>
      </c>
      <c r="C45" s="1180" t="s">
        <v>658</v>
      </c>
      <c r="D45" s="646"/>
      <c r="E45" s="1190"/>
      <c r="F45" s="1719" t="s">
        <v>1272</v>
      </c>
    </row>
    <row r="46" spans="1:219" s="158" customFormat="1" ht="30" customHeight="1" thickBot="1" x14ac:dyDescent="0.25">
      <c r="A46" s="539" t="s">
        <v>966</v>
      </c>
      <c r="B46" s="331" t="s">
        <v>662</v>
      </c>
      <c r="C46" s="464" t="s">
        <v>660</v>
      </c>
      <c r="D46" s="645"/>
      <c r="E46" s="1188"/>
      <c r="F46" s="1719" t="s">
        <v>1272</v>
      </c>
    </row>
    <row r="47" spans="1:219" s="158" customFormat="1" ht="30" customHeight="1" thickBot="1" x14ac:dyDescent="0.25">
      <c r="A47" s="539" t="s">
        <v>967</v>
      </c>
      <c r="B47" s="351" t="s">
        <v>703</v>
      </c>
      <c r="C47" s="1180" t="s">
        <v>659</v>
      </c>
      <c r="D47" s="646"/>
      <c r="E47" s="1190"/>
      <c r="F47" s="1719" t="s">
        <v>1272</v>
      </c>
    </row>
    <row r="48" spans="1:219" s="158" customFormat="1" ht="30" customHeight="1" thickBot="1" x14ac:dyDescent="0.25">
      <c r="A48" s="567" t="s">
        <v>968</v>
      </c>
      <c r="B48" s="331" t="s">
        <v>792</v>
      </c>
      <c r="C48" s="464" t="s">
        <v>872</v>
      </c>
      <c r="D48" s="645"/>
      <c r="E48" s="1188"/>
      <c r="F48" s="1719" t="s">
        <v>1272</v>
      </c>
    </row>
    <row r="49" spans="1:219" ht="30" customHeight="1" thickBot="1" x14ac:dyDescent="0.25">
      <c r="A49" s="539" t="s">
        <v>969</v>
      </c>
      <c r="B49" s="351" t="s">
        <v>657</v>
      </c>
      <c r="C49" s="1374" t="s">
        <v>2457</v>
      </c>
      <c r="D49" s="646"/>
      <c r="E49" s="1190"/>
      <c r="F49" s="1721" t="s">
        <v>2157</v>
      </c>
      <c r="G49" s="568"/>
      <c r="H49" s="568"/>
      <c r="I49" s="568"/>
      <c r="J49" s="568"/>
      <c r="K49" s="568"/>
      <c r="L49" s="568"/>
      <c r="M49" s="568"/>
      <c r="N49" s="568"/>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c r="AM49" s="568"/>
      <c r="AN49" s="568"/>
      <c r="AO49" s="568"/>
      <c r="AP49" s="568"/>
      <c r="AQ49" s="568"/>
      <c r="AR49" s="568"/>
      <c r="AS49" s="568"/>
      <c r="AT49" s="568"/>
      <c r="AU49" s="568"/>
      <c r="AV49" s="568"/>
      <c r="AW49" s="568"/>
      <c r="AX49" s="568"/>
      <c r="AY49" s="568"/>
      <c r="AZ49" s="568"/>
      <c r="BA49" s="568"/>
      <c r="BB49" s="568"/>
      <c r="BC49" s="568"/>
      <c r="BD49" s="568"/>
      <c r="BE49" s="568"/>
      <c r="BF49" s="568"/>
      <c r="BG49" s="568"/>
      <c r="BH49" s="568"/>
      <c r="BI49" s="568"/>
      <c r="BJ49" s="568"/>
      <c r="BK49" s="568"/>
      <c r="BL49" s="568"/>
      <c r="BM49" s="568"/>
      <c r="BN49" s="568"/>
      <c r="BO49" s="568"/>
      <c r="BP49" s="568"/>
      <c r="BQ49" s="568"/>
      <c r="BR49" s="568"/>
      <c r="BS49" s="568"/>
      <c r="BT49" s="568"/>
      <c r="BU49" s="568"/>
      <c r="BV49" s="568"/>
      <c r="BW49" s="568"/>
      <c r="BX49" s="568"/>
      <c r="BY49" s="568"/>
      <c r="BZ49" s="568"/>
      <c r="CA49" s="568"/>
      <c r="CB49" s="568"/>
      <c r="CC49" s="568"/>
      <c r="CD49" s="568"/>
      <c r="CE49" s="568"/>
      <c r="CF49" s="568"/>
      <c r="CG49" s="568"/>
      <c r="CH49" s="568"/>
      <c r="CI49" s="568"/>
      <c r="CJ49" s="568"/>
      <c r="CK49" s="568"/>
      <c r="CL49" s="568"/>
      <c r="CM49" s="568"/>
      <c r="CN49" s="568"/>
      <c r="CO49" s="568"/>
      <c r="CP49" s="568"/>
      <c r="CQ49" s="568"/>
      <c r="CR49" s="568"/>
      <c r="CS49" s="568"/>
      <c r="CT49" s="568"/>
      <c r="CU49" s="568"/>
      <c r="CV49" s="568"/>
      <c r="CW49" s="568"/>
      <c r="CX49" s="568"/>
      <c r="CY49" s="568"/>
      <c r="CZ49" s="568"/>
      <c r="DA49" s="568"/>
      <c r="DB49" s="568"/>
      <c r="DC49" s="568"/>
      <c r="DD49" s="568"/>
      <c r="DE49" s="568"/>
      <c r="DF49" s="568"/>
      <c r="DG49" s="568"/>
      <c r="DH49" s="568"/>
      <c r="DI49" s="568"/>
      <c r="DJ49" s="568"/>
      <c r="DK49" s="568"/>
      <c r="DL49" s="568"/>
      <c r="DM49" s="568"/>
      <c r="DN49" s="568"/>
      <c r="DO49" s="568"/>
      <c r="DP49" s="568"/>
      <c r="DQ49" s="568"/>
      <c r="DR49" s="568"/>
      <c r="DS49" s="568"/>
      <c r="DT49" s="568"/>
      <c r="DU49" s="568"/>
      <c r="DV49" s="568"/>
      <c r="DW49" s="568"/>
      <c r="DX49" s="568"/>
      <c r="DY49" s="568"/>
      <c r="DZ49" s="568"/>
      <c r="EA49" s="568"/>
      <c r="EB49" s="568"/>
      <c r="EC49" s="568"/>
      <c r="ED49" s="568"/>
      <c r="EE49" s="568"/>
      <c r="EF49" s="568"/>
      <c r="EG49" s="568"/>
      <c r="EH49" s="568"/>
      <c r="EI49" s="568"/>
      <c r="EJ49" s="568"/>
      <c r="EK49" s="568"/>
      <c r="EL49" s="568"/>
      <c r="EM49" s="568"/>
      <c r="EN49" s="568"/>
      <c r="EO49" s="568"/>
      <c r="EP49" s="568"/>
      <c r="EQ49" s="568"/>
      <c r="ER49" s="568"/>
      <c r="ES49" s="568"/>
      <c r="ET49" s="568"/>
      <c r="EU49" s="568"/>
      <c r="EV49" s="568"/>
      <c r="EW49" s="568"/>
      <c r="EX49" s="568"/>
      <c r="EY49" s="568"/>
      <c r="EZ49" s="568"/>
      <c r="FA49" s="568"/>
      <c r="FB49" s="568"/>
      <c r="FC49" s="568"/>
      <c r="FD49" s="568"/>
      <c r="FE49" s="568"/>
      <c r="FF49" s="568"/>
      <c r="FG49" s="568"/>
      <c r="FH49" s="568"/>
      <c r="FI49" s="568"/>
      <c r="FJ49" s="568"/>
      <c r="FK49" s="568"/>
      <c r="FL49" s="568"/>
      <c r="FM49" s="568"/>
      <c r="FN49" s="568"/>
      <c r="FO49" s="568"/>
      <c r="FP49" s="568"/>
      <c r="FQ49" s="568"/>
      <c r="FR49" s="568"/>
      <c r="FS49" s="568"/>
      <c r="FT49" s="568"/>
      <c r="FU49" s="568"/>
      <c r="FV49" s="568"/>
      <c r="FW49" s="568"/>
      <c r="FX49" s="568"/>
      <c r="FY49" s="568"/>
      <c r="FZ49" s="568"/>
      <c r="GA49" s="568"/>
      <c r="GB49" s="568"/>
      <c r="GC49" s="568"/>
      <c r="GD49" s="568"/>
      <c r="GE49" s="568"/>
      <c r="GF49" s="568"/>
      <c r="GG49" s="568"/>
      <c r="GH49" s="568"/>
      <c r="GI49" s="568"/>
      <c r="GJ49" s="568"/>
      <c r="GK49" s="568"/>
      <c r="GL49" s="568"/>
      <c r="GM49" s="568"/>
      <c r="GN49" s="568"/>
      <c r="GO49" s="568"/>
      <c r="GP49" s="568"/>
      <c r="GQ49" s="568"/>
      <c r="GR49" s="568"/>
      <c r="GS49" s="568"/>
      <c r="GT49" s="568"/>
      <c r="GU49" s="568"/>
      <c r="GV49" s="568"/>
      <c r="GW49" s="568"/>
      <c r="GX49" s="568"/>
      <c r="GY49" s="568"/>
      <c r="GZ49" s="568"/>
      <c r="HA49" s="568"/>
      <c r="HB49" s="568"/>
      <c r="HC49" s="568"/>
      <c r="HD49" s="568"/>
      <c r="HE49" s="568"/>
      <c r="HF49" s="568"/>
      <c r="HG49" s="568"/>
      <c r="HH49" s="568"/>
      <c r="HI49" s="568"/>
      <c r="HJ49" s="568"/>
      <c r="HK49" s="568"/>
    </row>
    <row r="50" spans="1:219" ht="30" customHeight="1" thickBot="1" x14ac:dyDescent="0.25">
      <c r="A50" s="539" t="s">
        <v>970</v>
      </c>
      <c r="B50" s="331" t="s">
        <v>656</v>
      </c>
      <c r="C50" s="464" t="s">
        <v>2149</v>
      </c>
      <c r="D50" s="645"/>
      <c r="E50" s="1188"/>
      <c r="F50" s="1721" t="s">
        <v>1980</v>
      </c>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c r="AM50" s="568"/>
      <c r="AN50" s="568"/>
      <c r="AO50" s="568"/>
      <c r="AP50" s="568"/>
      <c r="AQ50" s="568"/>
      <c r="AR50" s="568"/>
      <c r="AS50" s="568"/>
      <c r="AT50" s="568"/>
      <c r="AU50" s="568"/>
      <c r="AV50" s="568"/>
      <c r="AW50" s="568"/>
      <c r="AX50" s="568"/>
      <c r="AY50" s="568"/>
      <c r="AZ50" s="568"/>
      <c r="BA50" s="568"/>
      <c r="BB50" s="568"/>
      <c r="BC50" s="568"/>
      <c r="BD50" s="568"/>
      <c r="BE50" s="568"/>
      <c r="BF50" s="568"/>
      <c r="BG50" s="568"/>
      <c r="BH50" s="568"/>
      <c r="BI50" s="568"/>
      <c r="BJ50" s="568"/>
      <c r="BK50" s="568"/>
      <c r="BL50" s="568"/>
      <c r="BM50" s="568"/>
      <c r="BN50" s="568"/>
      <c r="BO50" s="568"/>
      <c r="BP50" s="568"/>
      <c r="BQ50" s="568"/>
      <c r="BR50" s="568"/>
      <c r="BS50" s="568"/>
      <c r="BT50" s="568"/>
      <c r="BU50" s="568"/>
      <c r="BV50" s="568"/>
      <c r="BW50" s="568"/>
      <c r="BX50" s="568"/>
      <c r="BY50" s="568"/>
      <c r="BZ50" s="568"/>
      <c r="CA50" s="568"/>
      <c r="CB50" s="568"/>
      <c r="CC50" s="568"/>
      <c r="CD50" s="568"/>
      <c r="CE50" s="568"/>
      <c r="CF50" s="568"/>
      <c r="CG50" s="568"/>
      <c r="CH50" s="568"/>
      <c r="CI50" s="568"/>
      <c r="CJ50" s="568"/>
      <c r="CK50" s="568"/>
      <c r="CL50" s="568"/>
      <c r="CM50" s="568"/>
      <c r="CN50" s="568"/>
      <c r="CO50" s="568"/>
      <c r="CP50" s="568"/>
      <c r="CQ50" s="568"/>
      <c r="CR50" s="568"/>
      <c r="CS50" s="568"/>
      <c r="CT50" s="568"/>
      <c r="CU50" s="568"/>
      <c r="CV50" s="568"/>
      <c r="CW50" s="568"/>
      <c r="CX50" s="568"/>
      <c r="CY50" s="568"/>
      <c r="CZ50" s="568"/>
      <c r="DA50" s="568"/>
      <c r="DB50" s="568"/>
      <c r="DC50" s="568"/>
      <c r="DD50" s="568"/>
      <c r="DE50" s="568"/>
      <c r="DF50" s="568"/>
      <c r="DG50" s="568"/>
      <c r="DH50" s="568"/>
      <c r="DI50" s="568"/>
      <c r="DJ50" s="568"/>
      <c r="DK50" s="568"/>
      <c r="DL50" s="568"/>
      <c r="DM50" s="568"/>
      <c r="DN50" s="568"/>
      <c r="DO50" s="568"/>
      <c r="DP50" s="568"/>
      <c r="DQ50" s="568"/>
      <c r="DR50" s="568"/>
      <c r="DS50" s="568"/>
      <c r="DT50" s="568"/>
      <c r="DU50" s="568"/>
      <c r="DV50" s="568"/>
      <c r="DW50" s="568"/>
      <c r="DX50" s="568"/>
      <c r="DY50" s="568"/>
      <c r="DZ50" s="568"/>
      <c r="EA50" s="568"/>
      <c r="EB50" s="568"/>
      <c r="EC50" s="568"/>
      <c r="ED50" s="568"/>
      <c r="EE50" s="568"/>
      <c r="EF50" s="568"/>
      <c r="EG50" s="568"/>
      <c r="EH50" s="568"/>
      <c r="EI50" s="568"/>
      <c r="EJ50" s="568"/>
      <c r="EK50" s="568"/>
      <c r="EL50" s="568"/>
      <c r="EM50" s="568"/>
      <c r="EN50" s="568"/>
      <c r="EO50" s="568"/>
      <c r="EP50" s="568"/>
      <c r="EQ50" s="568"/>
      <c r="ER50" s="568"/>
      <c r="ES50" s="568"/>
      <c r="ET50" s="568"/>
      <c r="EU50" s="568"/>
      <c r="EV50" s="568"/>
      <c r="EW50" s="568"/>
      <c r="EX50" s="568"/>
      <c r="EY50" s="568"/>
      <c r="EZ50" s="568"/>
      <c r="FA50" s="568"/>
      <c r="FB50" s="568"/>
      <c r="FC50" s="568"/>
      <c r="FD50" s="568"/>
      <c r="FE50" s="568"/>
      <c r="FF50" s="568"/>
      <c r="FG50" s="568"/>
      <c r="FH50" s="568"/>
      <c r="FI50" s="568"/>
      <c r="FJ50" s="568"/>
      <c r="FK50" s="568"/>
      <c r="FL50" s="568"/>
      <c r="FM50" s="568"/>
      <c r="FN50" s="568"/>
      <c r="FO50" s="568"/>
      <c r="FP50" s="568"/>
      <c r="FQ50" s="568"/>
      <c r="FR50" s="568"/>
      <c r="FS50" s="568"/>
      <c r="FT50" s="568"/>
      <c r="FU50" s="568"/>
      <c r="FV50" s="568"/>
      <c r="FW50" s="568"/>
      <c r="FX50" s="568"/>
      <c r="FY50" s="568"/>
      <c r="FZ50" s="568"/>
      <c r="GA50" s="568"/>
      <c r="GB50" s="568"/>
      <c r="GC50" s="568"/>
      <c r="GD50" s="568"/>
      <c r="GE50" s="568"/>
      <c r="GF50" s="568"/>
      <c r="GG50" s="568"/>
      <c r="GH50" s="568"/>
      <c r="GI50" s="568"/>
      <c r="GJ50" s="568"/>
      <c r="GK50" s="568"/>
      <c r="GL50" s="568"/>
      <c r="GM50" s="568"/>
      <c r="GN50" s="568"/>
      <c r="GO50" s="568"/>
      <c r="GP50" s="568"/>
      <c r="GQ50" s="568"/>
      <c r="GR50" s="568"/>
      <c r="GS50" s="568"/>
      <c r="GT50" s="568"/>
      <c r="GU50" s="568"/>
      <c r="GV50" s="568"/>
      <c r="GW50" s="568"/>
      <c r="GX50" s="568"/>
      <c r="GY50" s="568"/>
      <c r="GZ50" s="568"/>
      <c r="HA50" s="568"/>
      <c r="HB50" s="568"/>
      <c r="HC50" s="568"/>
      <c r="HD50" s="568"/>
      <c r="HE50" s="568"/>
      <c r="HF50" s="568"/>
      <c r="HG50" s="568"/>
      <c r="HH50" s="568"/>
      <c r="HI50" s="568"/>
      <c r="HJ50" s="568"/>
      <c r="HK50" s="568"/>
    </row>
    <row r="51" spans="1:219" ht="30" customHeight="1" thickBot="1" x14ac:dyDescent="0.25">
      <c r="A51" s="567" t="s">
        <v>971</v>
      </c>
      <c r="B51" s="351" t="s">
        <v>1968</v>
      </c>
      <c r="C51" s="351" t="s">
        <v>1968</v>
      </c>
      <c r="D51" s="646"/>
      <c r="E51" s="1190"/>
      <c r="F51" s="1719" t="s">
        <v>1969</v>
      </c>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8"/>
      <c r="AS51" s="568"/>
      <c r="AT51" s="568"/>
      <c r="AU51" s="568"/>
      <c r="AV51" s="568"/>
      <c r="AW51" s="568"/>
      <c r="AX51" s="568"/>
      <c r="AY51" s="568"/>
      <c r="AZ51" s="568"/>
      <c r="BA51" s="568"/>
      <c r="BB51" s="568"/>
      <c r="BC51" s="568"/>
      <c r="BD51" s="568"/>
      <c r="BE51" s="568"/>
      <c r="BF51" s="568"/>
      <c r="BG51" s="568"/>
      <c r="BH51" s="568"/>
      <c r="BI51" s="568"/>
      <c r="BJ51" s="568"/>
      <c r="BK51" s="568"/>
      <c r="BL51" s="568"/>
      <c r="BM51" s="568"/>
      <c r="BN51" s="568"/>
      <c r="BO51" s="568"/>
      <c r="BP51" s="568"/>
      <c r="BQ51" s="568"/>
      <c r="BR51" s="568"/>
      <c r="BS51" s="568"/>
      <c r="BT51" s="568"/>
      <c r="BU51" s="568"/>
      <c r="BV51" s="568"/>
      <c r="BW51" s="568"/>
      <c r="BX51" s="568"/>
      <c r="BY51" s="568"/>
      <c r="BZ51" s="568"/>
      <c r="CA51" s="568"/>
      <c r="CB51" s="568"/>
      <c r="CC51" s="568"/>
      <c r="CD51" s="568"/>
      <c r="CE51" s="568"/>
      <c r="CF51" s="568"/>
      <c r="CG51" s="568"/>
      <c r="CH51" s="568"/>
      <c r="CI51" s="568"/>
      <c r="CJ51" s="568"/>
      <c r="CK51" s="568"/>
      <c r="CL51" s="568"/>
      <c r="CM51" s="568"/>
      <c r="CN51" s="568"/>
      <c r="CO51" s="568"/>
      <c r="CP51" s="568"/>
      <c r="CQ51" s="568"/>
      <c r="CR51" s="568"/>
      <c r="CS51" s="568"/>
      <c r="CT51" s="568"/>
      <c r="CU51" s="568"/>
      <c r="CV51" s="568"/>
      <c r="CW51" s="568"/>
      <c r="CX51" s="568"/>
      <c r="CY51" s="568"/>
      <c r="CZ51" s="568"/>
      <c r="DA51" s="568"/>
      <c r="DB51" s="568"/>
      <c r="DC51" s="568"/>
      <c r="DD51" s="568"/>
      <c r="DE51" s="568"/>
      <c r="DF51" s="568"/>
      <c r="DG51" s="568"/>
      <c r="DH51" s="568"/>
      <c r="DI51" s="568"/>
      <c r="DJ51" s="568"/>
      <c r="DK51" s="568"/>
      <c r="DL51" s="568"/>
      <c r="DM51" s="568"/>
      <c r="DN51" s="568"/>
      <c r="DO51" s="568"/>
      <c r="DP51" s="568"/>
      <c r="DQ51" s="568"/>
      <c r="DR51" s="568"/>
      <c r="DS51" s="568"/>
      <c r="DT51" s="568"/>
      <c r="DU51" s="568"/>
      <c r="DV51" s="568"/>
      <c r="DW51" s="568"/>
      <c r="DX51" s="568"/>
      <c r="DY51" s="568"/>
      <c r="DZ51" s="568"/>
      <c r="EA51" s="568"/>
      <c r="EB51" s="568"/>
      <c r="EC51" s="568"/>
      <c r="ED51" s="568"/>
      <c r="EE51" s="568"/>
      <c r="EF51" s="568"/>
      <c r="EG51" s="568"/>
      <c r="EH51" s="568"/>
      <c r="EI51" s="568"/>
      <c r="EJ51" s="568"/>
      <c r="EK51" s="568"/>
      <c r="EL51" s="568"/>
      <c r="EM51" s="568"/>
      <c r="EN51" s="568"/>
      <c r="EO51" s="568"/>
      <c r="EP51" s="568"/>
      <c r="EQ51" s="568"/>
      <c r="ER51" s="568"/>
      <c r="ES51" s="568"/>
      <c r="ET51" s="568"/>
      <c r="EU51" s="568"/>
      <c r="EV51" s="568"/>
      <c r="EW51" s="568"/>
      <c r="EX51" s="568"/>
      <c r="EY51" s="568"/>
      <c r="EZ51" s="568"/>
      <c r="FA51" s="568"/>
      <c r="FB51" s="568"/>
      <c r="FC51" s="568"/>
      <c r="FD51" s="568"/>
      <c r="FE51" s="568"/>
      <c r="FF51" s="568"/>
      <c r="FG51" s="568"/>
      <c r="FH51" s="568"/>
      <c r="FI51" s="568"/>
      <c r="FJ51" s="568"/>
      <c r="FK51" s="568"/>
      <c r="FL51" s="568"/>
      <c r="FM51" s="568"/>
      <c r="FN51" s="568"/>
      <c r="FO51" s="568"/>
      <c r="FP51" s="568"/>
      <c r="FQ51" s="568"/>
      <c r="FR51" s="568"/>
      <c r="FS51" s="568"/>
      <c r="FT51" s="568"/>
      <c r="FU51" s="568"/>
      <c r="FV51" s="568"/>
      <c r="FW51" s="568"/>
      <c r="FX51" s="568"/>
      <c r="FY51" s="568"/>
      <c r="FZ51" s="568"/>
      <c r="GA51" s="568"/>
      <c r="GB51" s="568"/>
      <c r="GC51" s="568"/>
      <c r="GD51" s="568"/>
      <c r="GE51" s="568"/>
      <c r="GF51" s="568"/>
      <c r="GG51" s="568"/>
      <c r="GH51" s="568"/>
      <c r="GI51" s="568"/>
      <c r="GJ51" s="568"/>
      <c r="GK51" s="568"/>
      <c r="GL51" s="568"/>
      <c r="GM51" s="568"/>
      <c r="GN51" s="568"/>
      <c r="GO51" s="568"/>
      <c r="GP51" s="568"/>
      <c r="GQ51" s="568"/>
      <c r="GR51" s="568"/>
      <c r="GS51" s="568"/>
      <c r="GT51" s="568"/>
      <c r="GU51" s="568"/>
      <c r="GV51" s="568"/>
      <c r="GW51" s="568"/>
      <c r="GX51" s="568"/>
      <c r="GY51" s="568"/>
      <c r="GZ51" s="568"/>
      <c r="HA51" s="568"/>
      <c r="HB51" s="568"/>
      <c r="HC51" s="568"/>
      <c r="HD51" s="568"/>
      <c r="HE51" s="568"/>
      <c r="HF51" s="568"/>
      <c r="HG51" s="568"/>
      <c r="HH51" s="568"/>
      <c r="HI51" s="568"/>
      <c r="HJ51" s="568"/>
      <c r="HK51" s="568"/>
    </row>
    <row r="52" spans="1:219" ht="30" customHeight="1" thickBot="1" x14ac:dyDescent="0.25">
      <c r="A52" s="539" t="s">
        <v>972</v>
      </c>
      <c r="B52" s="331" t="s">
        <v>666</v>
      </c>
      <c r="C52" s="464" t="s">
        <v>901</v>
      </c>
      <c r="D52" s="645"/>
      <c r="E52" s="1188"/>
      <c r="F52" s="1719" t="s">
        <v>1251</v>
      </c>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8"/>
      <c r="AQ52" s="568"/>
      <c r="AR52" s="568"/>
      <c r="AS52" s="568"/>
      <c r="AT52" s="568"/>
      <c r="AU52" s="568"/>
      <c r="AV52" s="568"/>
      <c r="AW52" s="568"/>
      <c r="AX52" s="568"/>
      <c r="AY52" s="568"/>
      <c r="AZ52" s="568"/>
      <c r="BA52" s="568"/>
      <c r="BB52" s="568"/>
      <c r="BC52" s="568"/>
      <c r="BD52" s="568"/>
      <c r="BE52" s="568"/>
      <c r="BF52" s="568"/>
      <c r="BG52" s="568"/>
      <c r="BH52" s="568"/>
      <c r="BI52" s="568"/>
      <c r="BJ52" s="568"/>
      <c r="BK52" s="568"/>
      <c r="BL52" s="568"/>
      <c r="BM52" s="568"/>
      <c r="BN52" s="568"/>
      <c r="BO52" s="568"/>
      <c r="BP52" s="568"/>
      <c r="BQ52" s="568"/>
      <c r="BR52" s="568"/>
      <c r="BS52" s="568"/>
      <c r="BT52" s="568"/>
      <c r="BU52" s="568"/>
      <c r="BV52" s="568"/>
      <c r="BW52" s="568"/>
      <c r="BX52" s="568"/>
      <c r="BY52" s="568"/>
      <c r="BZ52" s="568"/>
      <c r="CA52" s="568"/>
      <c r="CB52" s="568"/>
      <c r="CC52" s="568"/>
      <c r="CD52" s="568"/>
      <c r="CE52" s="568"/>
      <c r="CF52" s="568"/>
      <c r="CG52" s="568"/>
      <c r="CH52" s="568"/>
      <c r="CI52" s="568"/>
      <c r="CJ52" s="568"/>
      <c r="CK52" s="568"/>
      <c r="CL52" s="568"/>
      <c r="CM52" s="568"/>
      <c r="CN52" s="568"/>
      <c r="CO52" s="568"/>
      <c r="CP52" s="568"/>
      <c r="CQ52" s="568"/>
      <c r="CR52" s="568"/>
      <c r="CS52" s="568"/>
      <c r="CT52" s="568"/>
      <c r="CU52" s="568"/>
      <c r="CV52" s="568"/>
      <c r="CW52" s="568"/>
      <c r="CX52" s="568"/>
      <c r="CY52" s="568"/>
      <c r="CZ52" s="568"/>
      <c r="DA52" s="568"/>
      <c r="DB52" s="568"/>
      <c r="DC52" s="568"/>
      <c r="DD52" s="568"/>
      <c r="DE52" s="568"/>
      <c r="DF52" s="568"/>
      <c r="DG52" s="568"/>
      <c r="DH52" s="568"/>
      <c r="DI52" s="568"/>
      <c r="DJ52" s="568"/>
      <c r="DK52" s="568"/>
      <c r="DL52" s="568"/>
      <c r="DM52" s="568"/>
      <c r="DN52" s="568"/>
      <c r="DO52" s="568"/>
      <c r="DP52" s="568"/>
      <c r="DQ52" s="568"/>
      <c r="DR52" s="568"/>
      <c r="DS52" s="568"/>
      <c r="DT52" s="568"/>
      <c r="DU52" s="568"/>
      <c r="DV52" s="568"/>
      <c r="DW52" s="568"/>
      <c r="DX52" s="568"/>
      <c r="DY52" s="568"/>
      <c r="DZ52" s="568"/>
      <c r="EA52" s="568"/>
      <c r="EB52" s="568"/>
      <c r="EC52" s="568"/>
      <c r="ED52" s="568"/>
      <c r="EE52" s="568"/>
      <c r="EF52" s="568"/>
      <c r="EG52" s="568"/>
      <c r="EH52" s="568"/>
      <c r="EI52" s="568"/>
      <c r="EJ52" s="568"/>
      <c r="EK52" s="568"/>
      <c r="EL52" s="568"/>
      <c r="EM52" s="568"/>
      <c r="EN52" s="568"/>
      <c r="EO52" s="568"/>
      <c r="EP52" s="568"/>
      <c r="EQ52" s="568"/>
      <c r="ER52" s="568"/>
      <c r="ES52" s="568"/>
      <c r="ET52" s="568"/>
      <c r="EU52" s="568"/>
      <c r="EV52" s="568"/>
      <c r="EW52" s="568"/>
      <c r="EX52" s="568"/>
      <c r="EY52" s="568"/>
      <c r="EZ52" s="568"/>
      <c r="FA52" s="568"/>
      <c r="FB52" s="568"/>
      <c r="FC52" s="568"/>
      <c r="FD52" s="568"/>
      <c r="FE52" s="568"/>
      <c r="FF52" s="568"/>
      <c r="FG52" s="568"/>
      <c r="FH52" s="568"/>
      <c r="FI52" s="568"/>
      <c r="FJ52" s="568"/>
      <c r="FK52" s="568"/>
      <c r="FL52" s="568"/>
      <c r="FM52" s="568"/>
      <c r="FN52" s="568"/>
      <c r="FO52" s="568"/>
      <c r="FP52" s="568"/>
      <c r="FQ52" s="568"/>
      <c r="FR52" s="568"/>
      <c r="FS52" s="568"/>
      <c r="FT52" s="568"/>
      <c r="FU52" s="568"/>
      <c r="FV52" s="568"/>
      <c r="FW52" s="568"/>
      <c r="FX52" s="568"/>
      <c r="FY52" s="568"/>
      <c r="FZ52" s="568"/>
      <c r="GA52" s="568"/>
      <c r="GB52" s="568"/>
      <c r="GC52" s="568"/>
      <c r="GD52" s="568"/>
      <c r="GE52" s="568"/>
      <c r="GF52" s="568"/>
      <c r="GG52" s="568"/>
      <c r="GH52" s="568"/>
      <c r="GI52" s="568"/>
      <c r="GJ52" s="568"/>
      <c r="GK52" s="568"/>
      <c r="GL52" s="568"/>
      <c r="GM52" s="568"/>
      <c r="GN52" s="568"/>
      <c r="GO52" s="568"/>
      <c r="GP52" s="568"/>
      <c r="GQ52" s="568"/>
      <c r="GR52" s="568"/>
      <c r="GS52" s="568"/>
      <c r="GT52" s="568"/>
      <c r="GU52" s="568"/>
      <c r="GV52" s="568"/>
      <c r="GW52" s="568"/>
      <c r="GX52" s="568"/>
      <c r="GY52" s="568"/>
      <c r="GZ52" s="568"/>
      <c r="HA52" s="568"/>
      <c r="HB52" s="568"/>
      <c r="HC52" s="568"/>
      <c r="HD52" s="568"/>
      <c r="HE52" s="568"/>
      <c r="HF52" s="568"/>
      <c r="HG52" s="568"/>
      <c r="HH52" s="568"/>
      <c r="HI52" s="568"/>
      <c r="HJ52" s="568"/>
      <c r="HK52" s="568"/>
    </row>
    <row r="53" spans="1:219" ht="30" customHeight="1" thickBot="1" x14ac:dyDescent="0.25">
      <c r="A53" s="546" t="s">
        <v>2225</v>
      </c>
      <c r="B53" s="797" t="s">
        <v>2038</v>
      </c>
      <c r="C53" s="797" t="s">
        <v>2163</v>
      </c>
      <c r="D53" s="645"/>
      <c r="E53" s="1188"/>
      <c r="F53" s="1720" t="s">
        <v>2040</v>
      </c>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8"/>
      <c r="AR53" s="568"/>
      <c r="AS53" s="568"/>
      <c r="AT53" s="568"/>
      <c r="AU53" s="568"/>
      <c r="AV53" s="568"/>
      <c r="AW53" s="568"/>
      <c r="AX53" s="568"/>
      <c r="AY53" s="568"/>
      <c r="AZ53" s="568"/>
      <c r="BA53" s="568"/>
      <c r="BB53" s="568"/>
      <c r="BC53" s="568"/>
      <c r="BD53" s="568"/>
      <c r="BE53" s="568"/>
      <c r="BF53" s="568"/>
      <c r="BG53" s="568"/>
      <c r="BH53" s="568"/>
      <c r="BI53" s="568"/>
      <c r="BJ53" s="568"/>
      <c r="BK53" s="568"/>
      <c r="BL53" s="568"/>
      <c r="BM53" s="568"/>
      <c r="BN53" s="568"/>
      <c r="BO53" s="568"/>
      <c r="BP53" s="568"/>
      <c r="BQ53" s="568"/>
      <c r="BR53" s="568"/>
      <c r="BS53" s="568"/>
      <c r="BT53" s="568"/>
      <c r="BU53" s="568"/>
      <c r="BV53" s="568"/>
      <c r="BW53" s="568"/>
      <c r="BX53" s="568"/>
      <c r="BY53" s="568"/>
      <c r="BZ53" s="568"/>
      <c r="CA53" s="568"/>
      <c r="CB53" s="568"/>
      <c r="CC53" s="568"/>
      <c r="CD53" s="568"/>
      <c r="CE53" s="568"/>
      <c r="CF53" s="568"/>
      <c r="CG53" s="568"/>
      <c r="CH53" s="568"/>
      <c r="CI53" s="568"/>
      <c r="CJ53" s="568"/>
      <c r="CK53" s="568"/>
      <c r="CL53" s="568"/>
      <c r="CM53" s="568"/>
      <c r="CN53" s="568"/>
      <c r="CO53" s="568"/>
      <c r="CP53" s="568"/>
      <c r="CQ53" s="568"/>
      <c r="CR53" s="568"/>
      <c r="CS53" s="568"/>
      <c r="CT53" s="568"/>
      <c r="CU53" s="568"/>
      <c r="CV53" s="568"/>
      <c r="CW53" s="568"/>
      <c r="CX53" s="568"/>
      <c r="CY53" s="568"/>
      <c r="CZ53" s="568"/>
      <c r="DA53" s="568"/>
      <c r="DB53" s="568"/>
      <c r="DC53" s="568"/>
      <c r="DD53" s="568"/>
      <c r="DE53" s="568"/>
      <c r="DF53" s="568"/>
      <c r="DG53" s="568"/>
      <c r="DH53" s="568"/>
      <c r="DI53" s="568"/>
      <c r="DJ53" s="568"/>
      <c r="DK53" s="568"/>
      <c r="DL53" s="568"/>
      <c r="DM53" s="568"/>
      <c r="DN53" s="568"/>
      <c r="DO53" s="568"/>
      <c r="DP53" s="568"/>
      <c r="DQ53" s="568"/>
      <c r="DR53" s="568"/>
      <c r="DS53" s="568"/>
      <c r="DT53" s="568"/>
      <c r="DU53" s="568"/>
      <c r="DV53" s="568"/>
      <c r="DW53" s="568"/>
      <c r="DX53" s="568"/>
      <c r="DY53" s="568"/>
      <c r="DZ53" s="568"/>
      <c r="EA53" s="568"/>
      <c r="EB53" s="568"/>
      <c r="EC53" s="568"/>
      <c r="ED53" s="568"/>
      <c r="EE53" s="568"/>
      <c r="EF53" s="568"/>
      <c r="EG53" s="568"/>
      <c r="EH53" s="568"/>
      <c r="EI53" s="568"/>
      <c r="EJ53" s="568"/>
      <c r="EK53" s="568"/>
      <c r="EL53" s="568"/>
      <c r="EM53" s="568"/>
      <c r="EN53" s="568"/>
      <c r="EO53" s="568"/>
      <c r="EP53" s="568"/>
      <c r="EQ53" s="568"/>
      <c r="ER53" s="568"/>
      <c r="ES53" s="568"/>
      <c r="ET53" s="568"/>
      <c r="EU53" s="568"/>
      <c r="EV53" s="568"/>
      <c r="EW53" s="568"/>
      <c r="EX53" s="568"/>
      <c r="EY53" s="568"/>
      <c r="EZ53" s="568"/>
      <c r="FA53" s="568"/>
      <c r="FB53" s="568"/>
      <c r="FC53" s="568"/>
      <c r="FD53" s="568"/>
      <c r="FE53" s="568"/>
      <c r="FF53" s="568"/>
      <c r="FG53" s="568"/>
      <c r="FH53" s="568"/>
      <c r="FI53" s="568"/>
      <c r="FJ53" s="568"/>
      <c r="FK53" s="568"/>
      <c r="FL53" s="568"/>
      <c r="FM53" s="568"/>
      <c r="FN53" s="568"/>
      <c r="FO53" s="568"/>
      <c r="FP53" s="568"/>
      <c r="FQ53" s="568"/>
      <c r="FR53" s="568"/>
      <c r="FS53" s="568"/>
      <c r="FT53" s="568"/>
      <c r="FU53" s="568"/>
      <c r="FV53" s="568"/>
      <c r="FW53" s="568"/>
      <c r="FX53" s="568"/>
      <c r="FY53" s="568"/>
      <c r="FZ53" s="568"/>
      <c r="GA53" s="568"/>
      <c r="GB53" s="568"/>
      <c r="GC53" s="568"/>
      <c r="GD53" s="568"/>
      <c r="GE53" s="568"/>
      <c r="GF53" s="568"/>
      <c r="GG53" s="568"/>
      <c r="GH53" s="568"/>
      <c r="GI53" s="568"/>
      <c r="GJ53" s="568"/>
      <c r="GK53" s="568"/>
      <c r="GL53" s="568"/>
      <c r="GM53" s="568"/>
      <c r="GN53" s="568"/>
      <c r="GO53" s="568"/>
      <c r="GP53" s="568"/>
      <c r="GQ53" s="568"/>
      <c r="GR53" s="568"/>
      <c r="GS53" s="568"/>
      <c r="GT53" s="568"/>
      <c r="GU53" s="568"/>
      <c r="GV53" s="568"/>
      <c r="GW53" s="568"/>
      <c r="GX53" s="568"/>
      <c r="GY53" s="568"/>
      <c r="GZ53" s="568"/>
      <c r="HA53" s="568"/>
      <c r="HB53" s="568"/>
      <c r="HC53" s="568"/>
      <c r="HD53" s="568"/>
      <c r="HE53" s="568"/>
      <c r="HF53" s="568"/>
      <c r="HG53" s="568"/>
      <c r="HH53" s="568"/>
      <c r="HI53" s="568"/>
      <c r="HJ53" s="568"/>
      <c r="HK53" s="568"/>
    </row>
    <row r="54" spans="1:219" ht="30" customHeight="1" thickBot="1" x14ac:dyDescent="0.25">
      <c r="A54" s="1183" t="s">
        <v>2226</v>
      </c>
      <c r="B54" s="1182" t="s">
        <v>2039</v>
      </c>
      <c r="C54" s="1182" t="s">
        <v>2162</v>
      </c>
      <c r="D54" s="645"/>
      <c r="E54" s="1188"/>
      <c r="F54" s="1720" t="s">
        <v>2221</v>
      </c>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568"/>
      <c r="AL54" s="568"/>
      <c r="AM54" s="568"/>
      <c r="AN54" s="568"/>
      <c r="AO54" s="568"/>
      <c r="AP54" s="568"/>
      <c r="AQ54" s="568"/>
      <c r="AR54" s="568"/>
      <c r="AS54" s="568"/>
      <c r="AT54" s="568"/>
      <c r="AU54" s="568"/>
      <c r="AV54" s="568"/>
      <c r="AW54" s="568"/>
      <c r="AX54" s="568"/>
      <c r="AY54" s="568"/>
      <c r="AZ54" s="568"/>
      <c r="BA54" s="568"/>
      <c r="BB54" s="568"/>
      <c r="BC54" s="568"/>
      <c r="BD54" s="568"/>
      <c r="BE54" s="568"/>
      <c r="BF54" s="568"/>
      <c r="BG54" s="568"/>
      <c r="BH54" s="568"/>
      <c r="BI54" s="568"/>
      <c r="BJ54" s="568"/>
      <c r="BK54" s="568"/>
      <c r="BL54" s="568"/>
      <c r="BM54" s="568"/>
      <c r="BN54" s="568"/>
      <c r="BO54" s="568"/>
      <c r="BP54" s="568"/>
      <c r="BQ54" s="568"/>
      <c r="BR54" s="568"/>
      <c r="BS54" s="568"/>
      <c r="BT54" s="568"/>
      <c r="BU54" s="568"/>
      <c r="BV54" s="568"/>
      <c r="BW54" s="568"/>
      <c r="BX54" s="568"/>
      <c r="BY54" s="568"/>
      <c r="BZ54" s="568"/>
      <c r="CA54" s="568"/>
      <c r="CB54" s="568"/>
      <c r="CC54" s="568"/>
      <c r="CD54" s="568"/>
      <c r="CE54" s="568"/>
      <c r="CF54" s="568"/>
      <c r="CG54" s="568"/>
      <c r="CH54" s="568"/>
      <c r="CI54" s="568"/>
      <c r="CJ54" s="568"/>
      <c r="CK54" s="568"/>
      <c r="CL54" s="568"/>
      <c r="CM54" s="568"/>
      <c r="CN54" s="568"/>
      <c r="CO54" s="568"/>
      <c r="CP54" s="568"/>
      <c r="CQ54" s="568"/>
      <c r="CR54" s="568"/>
      <c r="CS54" s="568"/>
      <c r="CT54" s="568"/>
      <c r="CU54" s="568"/>
      <c r="CV54" s="568"/>
      <c r="CW54" s="568"/>
      <c r="CX54" s="568"/>
      <c r="CY54" s="568"/>
      <c r="CZ54" s="568"/>
      <c r="DA54" s="568"/>
      <c r="DB54" s="568"/>
      <c r="DC54" s="568"/>
      <c r="DD54" s="568"/>
      <c r="DE54" s="568"/>
      <c r="DF54" s="568"/>
      <c r="DG54" s="568"/>
      <c r="DH54" s="568"/>
      <c r="DI54" s="568"/>
      <c r="DJ54" s="568"/>
      <c r="DK54" s="568"/>
      <c r="DL54" s="568"/>
      <c r="DM54" s="568"/>
      <c r="DN54" s="568"/>
      <c r="DO54" s="568"/>
      <c r="DP54" s="568"/>
      <c r="DQ54" s="568"/>
      <c r="DR54" s="568"/>
      <c r="DS54" s="568"/>
      <c r="DT54" s="568"/>
      <c r="DU54" s="568"/>
      <c r="DV54" s="568"/>
      <c r="DW54" s="568"/>
      <c r="DX54" s="568"/>
      <c r="DY54" s="568"/>
      <c r="DZ54" s="568"/>
      <c r="EA54" s="568"/>
      <c r="EB54" s="568"/>
      <c r="EC54" s="568"/>
      <c r="ED54" s="568"/>
      <c r="EE54" s="568"/>
      <c r="EF54" s="568"/>
      <c r="EG54" s="568"/>
      <c r="EH54" s="568"/>
      <c r="EI54" s="568"/>
      <c r="EJ54" s="568"/>
      <c r="EK54" s="568"/>
      <c r="EL54" s="568"/>
      <c r="EM54" s="568"/>
      <c r="EN54" s="568"/>
      <c r="EO54" s="568"/>
      <c r="EP54" s="568"/>
      <c r="EQ54" s="568"/>
      <c r="ER54" s="568"/>
      <c r="ES54" s="568"/>
      <c r="ET54" s="568"/>
      <c r="EU54" s="568"/>
      <c r="EV54" s="568"/>
      <c r="EW54" s="568"/>
      <c r="EX54" s="568"/>
      <c r="EY54" s="568"/>
      <c r="EZ54" s="568"/>
      <c r="FA54" s="568"/>
      <c r="FB54" s="568"/>
      <c r="FC54" s="568"/>
      <c r="FD54" s="568"/>
      <c r="FE54" s="568"/>
      <c r="FF54" s="568"/>
      <c r="FG54" s="568"/>
      <c r="FH54" s="568"/>
      <c r="FI54" s="568"/>
      <c r="FJ54" s="568"/>
      <c r="FK54" s="568"/>
      <c r="FL54" s="568"/>
      <c r="FM54" s="568"/>
      <c r="FN54" s="568"/>
      <c r="FO54" s="568"/>
      <c r="FP54" s="568"/>
      <c r="FQ54" s="568"/>
      <c r="FR54" s="568"/>
      <c r="FS54" s="568"/>
      <c r="FT54" s="568"/>
      <c r="FU54" s="568"/>
      <c r="FV54" s="568"/>
      <c r="FW54" s="568"/>
      <c r="FX54" s="568"/>
      <c r="FY54" s="568"/>
      <c r="FZ54" s="568"/>
      <c r="GA54" s="568"/>
      <c r="GB54" s="568"/>
      <c r="GC54" s="568"/>
      <c r="GD54" s="568"/>
      <c r="GE54" s="568"/>
      <c r="GF54" s="568"/>
      <c r="GG54" s="568"/>
      <c r="GH54" s="568"/>
      <c r="GI54" s="568"/>
      <c r="GJ54" s="568"/>
      <c r="GK54" s="568"/>
      <c r="GL54" s="568"/>
      <c r="GM54" s="568"/>
      <c r="GN54" s="568"/>
      <c r="GO54" s="568"/>
      <c r="GP54" s="568"/>
      <c r="GQ54" s="568"/>
      <c r="GR54" s="568"/>
      <c r="GS54" s="568"/>
      <c r="GT54" s="568"/>
      <c r="GU54" s="568"/>
      <c r="GV54" s="568"/>
      <c r="GW54" s="568"/>
      <c r="GX54" s="568"/>
      <c r="GY54" s="568"/>
      <c r="GZ54" s="568"/>
      <c r="HA54" s="568"/>
      <c r="HB54" s="568"/>
      <c r="HC54" s="568"/>
      <c r="HD54" s="568"/>
      <c r="HE54" s="568"/>
      <c r="HF54" s="568"/>
      <c r="HG54" s="568"/>
      <c r="HH54" s="568"/>
      <c r="HI54" s="568"/>
      <c r="HJ54" s="568"/>
      <c r="HK54" s="568"/>
    </row>
    <row r="55" spans="1:219" ht="30" customHeight="1" thickBot="1" x14ac:dyDescent="0.25">
      <c r="A55" s="546" t="s">
        <v>2227</v>
      </c>
      <c r="B55" s="797" t="s">
        <v>2410</v>
      </c>
      <c r="C55" s="546" t="s">
        <v>2161</v>
      </c>
      <c r="D55" s="645"/>
      <c r="E55" s="1188"/>
      <c r="F55" s="1721" t="s">
        <v>2158</v>
      </c>
      <c r="G55" s="568"/>
      <c r="H55" s="568"/>
      <c r="I55" s="568"/>
      <c r="J55" s="568"/>
      <c r="K55" s="568"/>
      <c r="L55" s="568"/>
      <c r="M55" s="568"/>
      <c r="N55" s="568"/>
      <c r="O55" s="568"/>
      <c r="P55" s="568"/>
      <c r="Q55" s="568"/>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8"/>
      <c r="AU55" s="568"/>
      <c r="AV55" s="568"/>
      <c r="AW55" s="568"/>
      <c r="AX55" s="568"/>
      <c r="AY55" s="568"/>
      <c r="AZ55" s="568"/>
      <c r="BA55" s="568"/>
      <c r="BB55" s="568"/>
      <c r="BC55" s="568"/>
      <c r="BD55" s="568"/>
      <c r="BE55" s="568"/>
      <c r="BF55" s="568"/>
      <c r="BG55" s="568"/>
      <c r="BH55" s="568"/>
      <c r="BI55" s="568"/>
      <c r="BJ55" s="568"/>
      <c r="BK55" s="568"/>
      <c r="BL55" s="568"/>
      <c r="BM55" s="568"/>
      <c r="BN55" s="568"/>
      <c r="BO55" s="568"/>
      <c r="BP55" s="568"/>
      <c r="BQ55" s="568"/>
      <c r="BR55" s="568"/>
      <c r="BS55" s="568"/>
      <c r="BT55" s="568"/>
      <c r="BU55" s="568"/>
      <c r="BV55" s="568"/>
      <c r="BW55" s="568"/>
      <c r="BX55" s="568"/>
      <c r="BY55" s="568"/>
      <c r="BZ55" s="568"/>
      <c r="CA55" s="568"/>
      <c r="CB55" s="568"/>
      <c r="CC55" s="568"/>
      <c r="CD55" s="568"/>
      <c r="CE55" s="568"/>
      <c r="CF55" s="568"/>
      <c r="CG55" s="568"/>
      <c r="CH55" s="568"/>
      <c r="CI55" s="568"/>
      <c r="CJ55" s="568"/>
      <c r="CK55" s="568"/>
      <c r="CL55" s="568"/>
      <c r="CM55" s="568"/>
      <c r="CN55" s="568"/>
      <c r="CO55" s="568"/>
      <c r="CP55" s="568"/>
      <c r="CQ55" s="568"/>
      <c r="CR55" s="568"/>
      <c r="CS55" s="568"/>
      <c r="CT55" s="568"/>
      <c r="CU55" s="568"/>
      <c r="CV55" s="568"/>
      <c r="CW55" s="568"/>
      <c r="CX55" s="568"/>
      <c r="CY55" s="568"/>
      <c r="CZ55" s="568"/>
      <c r="DA55" s="568"/>
      <c r="DB55" s="568"/>
      <c r="DC55" s="568"/>
      <c r="DD55" s="568"/>
      <c r="DE55" s="568"/>
      <c r="DF55" s="568"/>
      <c r="DG55" s="568"/>
      <c r="DH55" s="568"/>
      <c r="DI55" s="568"/>
      <c r="DJ55" s="568"/>
      <c r="DK55" s="568"/>
      <c r="DL55" s="568"/>
      <c r="DM55" s="568"/>
      <c r="DN55" s="568"/>
      <c r="DO55" s="568"/>
      <c r="DP55" s="568"/>
      <c r="DQ55" s="568"/>
      <c r="DR55" s="568"/>
      <c r="DS55" s="568"/>
      <c r="DT55" s="568"/>
      <c r="DU55" s="568"/>
      <c r="DV55" s="568"/>
      <c r="DW55" s="568"/>
      <c r="DX55" s="568"/>
      <c r="DY55" s="568"/>
      <c r="DZ55" s="568"/>
      <c r="EA55" s="568"/>
      <c r="EB55" s="568"/>
      <c r="EC55" s="568"/>
      <c r="ED55" s="568"/>
      <c r="EE55" s="568"/>
      <c r="EF55" s="568"/>
      <c r="EG55" s="568"/>
      <c r="EH55" s="568"/>
      <c r="EI55" s="568"/>
      <c r="EJ55" s="568"/>
      <c r="EK55" s="568"/>
      <c r="EL55" s="568"/>
      <c r="EM55" s="568"/>
      <c r="EN55" s="568"/>
      <c r="EO55" s="568"/>
      <c r="EP55" s="568"/>
      <c r="EQ55" s="568"/>
      <c r="ER55" s="568"/>
      <c r="ES55" s="568"/>
      <c r="ET55" s="568"/>
      <c r="EU55" s="568"/>
      <c r="EV55" s="568"/>
      <c r="EW55" s="568"/>
      <c r="EX55" s="568"/>
      <c r="EY55" s="568"/>
      <c r="EZ55" s="568"/>
      <c r="FA55" s="568"/>
      <c r="FB55" s="568"/>
      <c r="FC55" s="568"/>
      <c r="FD55" s="568"/>
      <c r="FE55" s="568"/>
      <c r="FF55" s="568"/>
      <c r="FG55" s="568"/>
      <c r="FH55" s="568"/>
      <c r="FI55" s="568"/>
      <c r="FJ55" s="568"/>
      <c r="FK55" s="568"/>
      <c r="FL55" s="568"/>
      <c r="FM55" s="568"/>
      <c r="FN55" s="568"/>
      <c r="FO55" s="568"/>
      <c r="FP55" s="568"/>
      <c r="FQ55" s="568"/>
      <c r="FR55" s="568"/>
      <c r="FS55" s="568"/>
      <c r="FT55" s="568"/>
      <c r="FU55" s="568"/>
      <c r="FV55" s="568"/>
      <c r="FW55" s="568"/>
      <c r="FX55" s="568"/>
      <c r="FY55" s="568"/>
      <c r="FZ55" s="568"/>
      <c r="GA55" s="568"/>
      <c r="GB55" s="568"/>
      <c r="GC55" s="568"/>
      <c r="GD55" s="568"/>
      <c r="GE55" s="568"/>
      <c r="GF55" s="568"/>
      <c r="GG55" s="568"/>
      <c r="GH55" s="568"/>
      <c r="GI55" s="568"/>
      <c r="GJ55" s="568"/>
      <c r="GK55" s="568"/>
      <c r="GL55" s="568"/>
      <c r="GM55" s="568"/>
      <c r="GN55" s="568"/>
      <c r="GO55" s="568"/>
      <c r="GP55" s="568"/>
      <c r="GQ55" s="568"/>
      <c r="GR55" s="568"/>
      <c r="GS55" s="568"/>
      <c r="GT55" s="568"/>
      <c r="GU55" s="568"/>
      <c r="GV55" s="568"/>
      <c r="GW55" s="568"/>
      <c r="GX55" s="568"/>
      <c r="GY55" s="568"/>
      <c r="GZ55" s="568"/>
      <c r="HA55" s="568"/>
      <c r="HB55" s="568"/>
      <c r="HC55" s="568"/>
      <c r="HD55" s="568"/>
      <c r="HE55" s="568"/>
      <c r="HF55" s="568"/>
      <c r="HG55" s="568"/>
      <c r="HH55" s="568"/>
      <c r="HI55" s="568"/>
      <c r="HJ55" s="568"/>
      <c r="HK55" s="568"/>
    </row>
    <row r="56" spans="1:219" s="1192" customFormat="1" ht="30" customHeight="1" thickBot="1" x14ac:dyDescent="0.25">
      <c r="A56" s="545" t="s">
        <v>2228</v>
      </c>
      <c r="B56" s="1181" t="s">
        <v>1981</v>
      </c>
      <c r="C56" s="545" t="s">
        <v>1765</v>
      </c>
      <c r="D56" s="645"/>
      <c r="E56" s="1188"/>
      <c r="F56" s="1720" t="s">
        <v>1982</v>
      </c>
    </row>
    <row r="57" spans="1:219" s="1192" customFormat="1" ht="30" customHeight="1" thickBot="1" x14ac:dyDescent="0.25">
      <c r="A57" s="546" t="s">
        <v>2229</v>
      </c>
      <c r="B57" s="797" t="s">
        <v>1983</v>
      </c>
      <c r="C57" s="546" t="s">
        <v>2167</v>
      </c>
      <c r="D57" s="645"/>
      <c r="E57" s="1188"/>
      <c r="F57" s="1722"/>
    </row>
    <row r="58" spans="1:219" ht="30" customHeight="1" thickBot="1" x14ac:dyDescent="0.25">
      <c r="A58" s="1169" t="s">
        <v>2224</v>
      </c>
      <c r="B58" s="1167" t="s">
        <v>2224</v>
      </c>
      <c r="C58" s="1168" t="s">
        <v>2224</v>
      </c>
      <c r="D58" s="645"/>
      <c r="E58" s="1188"/>
      <c r="F58" s="1723" t="s">
        <v>2224</v>
      </c>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568"/>
      <c r="AL58" s="568"/>
      <c r="AM58" s="568"/>
      <c r="AN58" s="568"/>
      <c r="AO58" s="568"/>
      <c r="AP58" s="568"/>
      <c r="AQ58" s="568"/>
      <c r="AR58" s="568"/>
      <c r="AS58" s="568"/>
      <c r="AT58" s="568"/>
      <c r="AU58" s="568"/>
      <c r="AV58" s="568"/>
      <c r="AW58" s="568"/>
      <c r="AX58" s="568"/>
      <c r="AY58" s="568"/>
      <c r="AZ58" s="568"/>
      <c r="BA58" s="568"/>
      <c r="BB58" s="568"/>
      <c r="BC58" s="568"/>
      <c r="BD58" s="568"/>
      <c r="BE58" s="568"/>
      <c r="BF58" s="568"/>
      <c r="BG58" s="568"/>
      <c r="BH58" s="568"/>
      <c r="BI58" s="568"/>
      <c r="BJ58" s="568"/>
      <c r="BK58" s="568"/>
      <c r="BL58" s="568"/>
      <c r="BM58" s="568"/>
      <c r="BN58" s="568"/>
      <c r="BO58" s="568"/>
      <c r="BP58" s="568"/>
      <c r="BQ58" s="568"/>
      <c r="BR58" s="568"/>
      <c r="BS58" s="568"/>
      <c r="BT58" s="568"/>
      <c r="BU58" s="568"/>
      <c r="BV58" s="568"/>
      <c r="BW58" s="568"/>
      <c r="BX58" s="568"/>
      <c r="BY58" s="568"/>
      <c r="BZ58" s="568"/>
      <c r="CA58" s="568"/>
      <c r="CB58" s="568"/>
      <c r="CC58" s="568"/>
      <c r="CD58" s="568"/>
      <c r="CE58" s="568"/>
      <c r="CF58" s="568"/>
      <c r="CG58" s="568"/>
      <c r="CH58" s="568"/>
      <c r="CI58" s="568"/>
      <c r="CJ58" s="568"/>
      <c r="CK58" s="568"/>
      <c r="CL58" s="568"/>
      <c r="CM58" s="568"/>
      <c r="CN58" s="568"/>
      <c r="CO58" s="568"/>
      <c r="CP58" s="568"/>
      <c r="CQ58" s="568"/>
      <c r="CR58" s="568"/>
      <c r="CS58" s="568"/>
      <c r="CT58" s="568"/>
      <c r="CU58" s="568"/>
      <c r="CV58" s="568"/>
      <c r="CW58" s="568"/>
      <c r="CX58" s="568"/>
      <c r="CY58" s="568"/>
      <c r="CZ58" s="568"/>
      <c r="DA58" s="568"/>
      <c r="DB58" s="568"/>
      <c r="DC58" s="568"/>
      <c r="DD58" s="568"/>
      <c r="DE58" s="568"/>
      <c r="DF58" s="568"/>
      <c r="DG58" s="568"/>
      <c r="DH58" s="568"/>
      <c r="DI58" s="568"/>
      <c r="DJ58" s="568"/>
      <c r="DK58" s="568"/>
      <c r="DL58" s="568"/>
      <c r="DM58" s="568"/>
      <c r="DN58" s="568"/>
      <c r="DO58" s="568"/>
      <c r="DP58" s="568"/>
      <c r="DQ58" s="568"/>
      <c r="DR58" s="568"/>
      <c r="DS58" s="568"/>
      <c r="DT58" s="568"/>
      <c r="DU58" s="568"/>
      <c r="DV58" s="568"/>
      <c r="DW58" s="568"/>
      <c r="DX58" s="568"/>
      <c r="DY58" s="568"/>
      <c r="DZ58" s="568"/>
      <c r="EA58" s="568"/>
      <c r="EB58" s="568"/>
      <c r="EC58" s="568"/>
      <c r="ED58" s="568"/>
      <c r="EE58" s="568"/>
      <c r="EF58" s="568"/>
      <c r="EG58" s="568"/>
      <c r="EH58" s="568"/>
      <c r="EI58" s="568"/>
      <c r="EJ58" s="568"/>
      <c r="EK58" s="568"/>
      <c r="EL58" s="568"/>
      <c r="EM58" s="568"/>
      <c r="EN58" s="568"/>
      <c r="EO58" s="568"/>
      <c r="EP58" s="568"/>
      <c r="EQ58" s="568"/>
      <c r="ER58" s="568"/>
      <c r="ES58" s="568"/>
      <c r="ET58" s="568"/>
      <c r="EU58" s="568"/>
      <c r="EV58" s="568"/>
      <c r="EW58" s="568"/>
      <c r="EX58" s="568"/>
      <c r="EY58" s="568"/>
      <c r="EZ58" s="568"/>
      <c r="FA58" s="568"/>
      <c r="FB58" s="568"/>
      <c r="FC58" s="568"/>
      <c r="FD58" s="568"/>
      <c r="FE58" s="568"/>
      <c r="FF58" s="568"/>
      <c r="FG58" s="568"/>
      <c r="FH58" s="568"/>
      <c r="FI58" s="568"/>
      <c r="FJ58" s="568"/>
      <c r="FK58" s="568"/>
      <c r="FL58" s="568"/>
      <c r="FM58" s="568"/>
      <c r="FN58" s="568"/>
      <c r="FO58" s="568"/>
      <c r="FP58" s="568"/>
      <c r="FQ58" s="568"/>
      <c r="FR58" s="568"/>
      <c r="FS58" s="568"/>
      <c r="FT58" s="568"/>
      <c r="FU58" s="568"/>
      <c r="FV58" s="568"/>
      <c r="FW58" s="568"/>
      <c r="FX58" s="568"/>
      <c r="FY58" s="568"/>
      <c r="FZ58" s="568"/>
      <c r="GA58" s="568"/>
      <c r="GB58" s="568"/>
      <c r="GC58" s="568"/>
      <c r="GD58" s="568"/>
      <c r="GE58" s="568"/>
      <c r="GF58" s="568"/>
      <c r="GG58" s="568"/>
      <c r="GH58" s="568"/>
      <c r="GI58" s="568"/>
      <c r="GJ58" s="568"/>
      <c r="GK58" s="568"/>
      <c r="GL58" s="568"/>
      <c r="GM58" s="568"/>
      <c r="GN58" s="568"/>
      <c r="GO58" s="568"/>
      <c r="GP58" s="568"/>
      <c r="GQ58" s="568"/>
      <c r="GR58" s="568"/>
      <c r="GS58" s="568"/>
      <c r="GT58" s="568"/>
      <c r="GU58" s="568"/>
      <c r="GV58" s="568"/>
      <c r="GW58" s="568"/>
      <c r="GX58" s="568"/>
      <c r="GY58" s="568"/>
      <c r="GZ58" s="568"/>
      <c r="HA58" s="568"/>
      <c r="HB58" s="568"/>
      <c r="HC58" s="568"/>
      <c r="HD58" s="568"/>
      <c r="HE58" s="568"/>
      <c r="HF58" s="568"/>
      <c r="HG58" s="568"/>
      <c r="HH58" s="568"/>
      <c r="HI58" s="568"/>
      <c r="HJ58" s="568"/>
      <c r="HK58" s="568"/>
    </row>
  </sheetData>
  <sheetProtection password="C4B9" sheet="1" objects="1" scenarios="1" pivotTables="0"/>
  <sortState columnSort="1" ref="G1:DD58">
    <sortCondition ref="G1:HN1"/>
  </sortState>
  <customSheetViews>
    <customSheetView guid="{B8E02330-2419-4DE6-AD01-7ACC7A5D18DD}" scale="90" topLeftCell="A227">
      <selection activeCell="C248" sqref="C248"/>
      <rowBreaks count="9" manualBreakCount="9">
        <brk id="17" max="4" man="1"/>
        <brk id="48" max="4" man="1"/>
        <brk id="76" max="4" man="1"/>
        <brk id="111" max="4" man="1"/>
        <brk id="130" max="4" man="1"/>
        <brk id="150" max="4" man="1"/>
        <brk id="169" max="4" man="1"/>
        <brk id="189" max="4" man="1"/>
        <brk id="215" max="4" man="1"/>
      </rowBreaks>
      <pageMargins left="0.25" right="0.25" top="0.75" bottom="0.75" header="0.3" footer="0.3"/>
      <printOptions headings="1"/>
      <pageSetup scale="75" orientation="landscape" r:id="rId1"/>
      <headerFooter alignWithMargins="0">
        <oddFooter>&amp;LWESPUS beta version 1, by Dr. Paul Adamus&amp;R&amp;P&amp;N</oddFooter>
      </headerFooter>
    </customSheetView>
  </customSheetViews>
  <phoneticPr fontId="12" type="noConversion"/>
  <printOptions headings="1"/>
  <pageMargins left="0.25" right="0.25" top="0.75" bottom="0.75" header="0.3" footer="0.3"/>
  <pageSetup scale="70" orientation="landscape" r:id="rId2"/>
  <headerFooter alignWithMargins="0">
    <oddFooter>&amp;CForm OF Non-tidal&amp;R&amp;P</oddFooter>
  </headerFooter>
  <rowBreaks count="1" manualBreakCount="1">
    <brk id="6"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249977111117893"/>
  </sheetPr>
  <dimension ref="A1:D57"/>
  <sheetViews>
    <sheetView workbookViewId="0">
      <pane xSplit="1" topLeftCell="B1" activePane="topRight" state="frozen"/>
      <selection pane="topRight" activeCell="A32" sqref="A32"/>
    </sheetView>
  </sheetViews>
  <sheetFormatPr defaultColWidth="9.33203125" defaultRowHeight="12.75" x14ac:dyDescent="0.2"/>
  <cols>
    <col min="1" max="1" width="60.5" style="300" customWidth="1"/>
    <col min="2" max="2" width="9.83203125" style="300" customWidth="1"/>
    <col min="3" max="3" width="8.1640625" style="300" customWidth="1"/>
    <col min="4" max="4" width="8.1640625" style="302" customWidth="1"/>
    <col min="5" max="39" width="9.5" style="300" bestFit="1" customWidth="1"/>
    <col min="40" max="40" width="9.6640625" style="300" bestFit="1" customWidth="1"/>
    <col min="41" max="47" width="9.5" style="300" bestFit="1" customWidth="1"/>
    <col min="48" max="51" width="9.6640625" style="300" bestFit="1" customWidth="1"/>
    <col min="52" max="58" width="9.5" style="300" bestFit="1" customWidth="1"/>
    <col min="59" max="61" width="9.6640625" style="300" bestFit="1" customWidth="1"/>
    <col min="62" max="70" width="9.5" style="300" bestFit="1" customWidth="1"/>
    <col min="71" max="71" width="9.6640625" style="300" bestFit="1" customWidth="1"/>
    <col min="72" max="72" width="9.5" style="300" bestFit="1" customWidth="1"/>
    <col min="73" max="73" width="9.6640625" style="300" bestFit="1" customWidth="1"/>
    <col min="74" max="75" width="9.5" style="300" bestFit="1" customWidth="1"/>
    <col min="76" max="76" width="9.6640625" style="300" bestFit="1" customWidth="1"/>
    <col min="77" max="77" width="9.5" style="300" bestFit="1" customWidth="1"/>
    <col min="78" max="78" width="9.6640625" style="300" bestFit="1" customWidth="1"/>
    <col min="79" max="83" width="9.5" style="300" bestFit="1" customWidth="1"/>
    <col min="84" max="84" width="9.6640625" style="300" bestFit="1" customWidth="1"/>
    <col min="85" max="85" width="9.5" style="300" bestFit="1" customWidth="1"/>
    <col min="86" max="86" width="9.6640625" style="300" bestFit="1" customWidth="1"/>
    <col min="87" max="88" width="9.5" style="300" bestFit="1" customWidth="1"/>
    <col min="89" max="89" width="9.6640625" style="300" bestFit="1" customWidth="1"/>
    <col min="90" max="91" width="9.5" style="300" bestFit="1" customWidth="1"/>
    <col min="92" max="93" width="9.6640625" style="300" bestFit="1" customWidth="1"/>
    <col min="94" max="95" width="9.5" style="300" bestFit="1" customWidth="1"/>
    <col min="96" max="97" width="9.6640625" style="300" bestFit="1" customWidth="1"/>
    <col min="98" max="99" width="9.5" style="300" bestFit="1" customWidth="1"/>
    <col min="100" max="102" width="9.6640625" style="300" bestFit="1" customWidth="1"/>
    <col min="103" max="103" width="9.5" style="300" bestFit="1" customWidth="1"/>
    <col min="104" max="104" width="19.5" style="300" customWidth="1"/>
    <col min="105" max="105" width="17.6640625" style="300" customWidth="1"/>
    <col min="106" max="106" width="21.1640625" style="300" customWidth="1"/>
    <col min="107" max="107" width="20.83203125" style="300" customWidth="1"/>
    <col min="108" max="108" width="20.1640625" style="300" customWidth="1"/>
    <col min="109" max="109" width="21.6640625" style="300" customWidth="1"/>
    <col min="110" max="110" width="62.33203125" style="300" bestFit="1" customWidth="1"/>
    <col min="111" max="111" width="12" style="300" bestFit="1" customWidth="1"/>
    <col min="112" max="115" width="9.6640625" style="300" bestFit="1" customWidth="1"/>
    <col min="116" max="118" width="9.5" style="300" bestFit="1" customWidth="1"/>
    <col min="119" max="119" width="9.6640625" style="300" bestFit="1" customWidth="1"/>
    <col min="120" max="139" width="9.5" style="300" bestFit="1" customWidth="1"/>
    <col min="140" max="140" width="9.6640625" style="300" bestFit="1" customWidth="1"/>
    <col min="141" max="141" width="9.5" style="300" bestFit="1" customWidth="1"/>
    <col min="142" max="142" width="9.6640625" style="300" bestFit="1" customWidth="1"/>
    <col min="143" max="151" width="9.5" style="300" bestFit="1" customWidth="1"/>
    <col min="152" max="154" width="9.6640625" style="300" bestFit="1" customWidth="1"/>
    <col min="155" max="155" width="9.5" style="300" bestFit="1" customWidth="1"/>
    <col min="156" max="158" width="9.6640625" style="300" bestFit="1" customWidth="1"/>
    <col min="159" max="159" width="9.5" style="300" bestFit="1" customWidth="1"/>
    <col min="160" max="163" width="9.6640625" style="300" bestFit="1" customWidth="1"/>
    <col min="164" max="174" width="9.5" style="300" bestFit="1" customWidth="1"/>
    <col min="175" max="175" width="9.6640625" style="300" bestFit="1" customWidth="1"/>
    <col min="176" max="178" width="9.5" style="300" bestFit="1" customWidth="1"/>
    <col min="179" max="181" width="9.6640625" style="300" bestFit="1" customWidth="1"/>
    <col min="182" max="183" width="9.5" style="300" bestFit="1" customWidth="1"/>
    <col min="184" max="186" width="9.6640625" style="300" bestFit="1" customWidth="1"/>
    <col min="187" max="187" width="9.5" style="300" bestFit="1" customWidth="1"/>
    <col min="188" max="189" width="9.6640625" style="300" bestFit="1" customWidth="1"/>
    <col min="190" max="191" width="9.5" style="300" bestFit="1" customWidth="1"/>
    <col min="192" max="193" width="9.6640625" style="300" bestFit="1" customWidth="1"/>
    <col min="194" max="194" width="9.5" style="300" bestFit="1" customWidth="1"/>
    <col min="195" max="195" width="9.6640625" style="300" bestFit="1" customWidth="1"/>
    <col min="196" max="198" width="9.5" style="300" bestFit="1" customWidth="1"/>
    <col min="199" max="202" width="9.6640625" style="300" bestFit="1" customWidth="1"/>
    <col min="203" max="203" width="9.5" style="300" bestFit="1" customWidth="1"/>
    <col min="204" max="204" width="7.1640625" style="300" customWidth="1"/>
    <col min="205" max="16384" width="9.33203125" style="300"/>
  </cols>
  <sheetData>
    <row r="1" spans="1:4" s="301" customFormat="1" ht="15" customHeight="1" x14ac:dyDescent="0.2">
      <c r="A1" s="1209" t="s">
        <v>2231</v>
      </c>
    </row>
    <row r="2" spans="1:4" s="1165" customFormat="1" ht="15" customHeight="1" x14ac:dyDescent="0.2">
      <c r="A2" s="1728" t="s">
        <v>2461</v>
      </c>
    </row>
    <row r="3" spans="1:4" s="1165" customFormat="1" ht="15" customHeight="1" x14ac:dyDescent="0.2">
      <c r="A3" s="1728" t="s">
        <v>266</v>
      </c>
    </row>
    <row r="4" spans="1:4" s="1165" customFormat="1" ht="15" customHeight="1" x14ac:dyDescent="0.2">
      <c r="A4" s="1728" t="s">
        <v>2459</v>
      </c>
    </row>
    <row r="5" spans="1:4" s="1165" customFormat="1" ht="15" customHeight="1" x14ac:dyDescent="0.2">
      <c r="A5" s="1728" t="s">
        <v>2460</v>
      </c>
    </row>
    <row r="6" spans="1:4" s="1165" customFormat="1" ht="15" customHeight="1" x14ac:dyDescent="0.2">
      <c r="A6" s="1728" t="s">
        <v>262</v>
      </c>
    </row>
    <row r="7" spans="1:4" s="1165" customFormat="1" ht="15" customHeight="1" x14ac:dyDescent="0.2">
      <c r="A7" s="1728" t="s">
        <v>51</v>
      </c>
    </row>
    <row r="8" spans="1:4" s="1165" customFormat="1" ht="15" customHeight="1" x14ac:dyDescent="0.2">
      <c r="A8" s="1728" t="s">
        <v>235</v>
      </c>
    </row>
    <row r="9" spans="1:4" s="1165" customFormat="1" ht="15" customHeight="1" x14ac:dyDescent="0.2">
      <c r="A9" s="1728" t="s">
        <v>705</v>
      </c>
    </row>
    <row r="10" spans="1:4" s="1165" customFormat="1" ht="15" customHeight="1" x14ac:dyDescent="0.2">
      <c r="A10" s="1728" t="s">
        <v>13</v>
      </c>
    </row>
    <row r="11" spans="1:4" s="1165" customFormat="1" ht="15" customHeight="1" x14ac:dyDescent="0.2">
      <c r="A11" s="1728" t="s">
        <v>65</v>
      </c>
    </row>
    <row r="12" spans="1:4" s="1165" customFormat="1" ht="15" customHeight="1" x14ac:dyDescent="0.2">
      <c r="A12" s="1728" t="s">
        <v>623</v>
      </c>
    </row>
    <row r="13" spans="1:4" s="1165" customFormat="1" ht="15" customHeight="1" x14ac:dyDescent="0.2">
      <c r="A13" s="1728" t="s">
        <v>157</v>
      </c>
    </row>
    <row r="14" spans="1:4" s="1165" customFormat="1" ht="15" customHeight="1" x14ac:dyDescent="0.2">
      <c r="A14" s="1728" t="s">
        <v>1249</v>
      </c>
    </row>
    <row r="15" spans="1:4" ht="15" customHeight="1" x14ac:dyDescent="0.2">
      <c r="A15" s="1728" t="s">
        <v>1958</v>
      </c>
      <c r="D15" s="300"/>
    </row>
    <row r="16" spans="1:4" s="1165" customFormat="1" ht="15" customHeight="1" x14ac:dyDescent="0.2">
      <c r="A16" s="1728" t="s">
        <v>654</v>
      </c>
    </row>
    <row r="17" spans="1:1" s="699" customFormat="1" ht="15" customHeight="1" x14ac:dyDescent="0.2">
      <c r="A17" s="1729"/>
    </row>
    <row r="18" spans="1:1" s="699" customFormat="1" ht="15" customHeight="1" x14ac:dyDescent="0.2">
      <c r="A18" s="1729"/>
    </row>
    <row r="19" spans="1:1" s="699" customFormat="1" ht="15" customHeight="1" x14ac:dyDescent="0.2">
      <c r="A19" s="1730" t="s">
        <v>1129</v>
      </c>
    </row>
    <row r="20" spans="1:1" s="699" customFormat="1" ht="15" customHeight="1" x14ac:dyDescent="0.2">
      <c r="A20" s="1731" t="s">
        <v>2461</v>
      </c>
    </row>
    <row r="21" spans="1:1" s="699" customFormat="1" ht="15" customHeight="1" x14ac:dyDescent="0.2">
      <c r="A21" s="1731" t="s">
        <v>266</v>
      </c>
    </row>
    <row r="22" spans="1:1" s="699" customFormat="1" ht="15" customHeight="1" x14ac:dyDescent="0.2">
      <c r="A22" s="1731" t="s">
        <v>2459</v>
      </c>
    </row>
    <row r="23" spans="1:1" s="699" customFormat="1" ht="15" customHeight="1" x14ac:dyDescent="0.2">
      <c r="A23" s="1731" t="s">
        <v>2460</v>
      </c>
    </row>
    <row r="24" spans="1:1" s="699" customFormat="1" ht="15" customHeight="1" x14ac:dyDescent="0.2">
      <c r="A24" s="1731" t="s">
        <v>262</v>
      </c>
    </row>
    <row r="25" spans="1:1" s="699" customFormat="1" ht="15" customHeight="1" x14ac:dyDescent="0.2">
      <c r="A25" s="1731" t="s">
        <v>51</v>
      </c>
    </row>
    <row r="26" spans="1:1" s="699" customFormat="1" ht="15" customHeight="1" x14ac:dyDescent="0.2">
      <c r="A26" s="1731" t="s">
        <v>235</v>
      </c>
    </row>
    <row r="27" spans="1:1" s="699" customFormat="1" ht="15" customHeight="1" x14ac:dyDescent="0.2">
      <c r="A27" s="1731" t="s">
        <v>705</v>
      </c>
    </row>
    <row r="28" spans="1:1" s="699" customFormat="1" ht="15" customHeight="1" x14ac:dyDescent="0.2">
      <c r="A28" s="1731" t="s">
        <v>13</v>
      </c>
    </row>
    <row r="29" spans="1:1" s="699" customFormat="1" ht="15" customHeight="1" x14ac:dyDescent="0.2">
      <c r="A29" s="1731" t="s">
        <v>65</v>
      </c>
    </row>
    <row r="30" spans="1:1" s="699" customFormat="1" ht="15" customHeight="1" x14ac:dyDescent="0.2">
      <c r="A30" s="1731" t="s">
        <v>623</v>
      </c>
    </row>
    <row r="31" spans="1:1" s="699" customFormat="1" ht="15" customHeight="1" x14ac:dyDescent="0.2">
      <c r="A31" s="1731" t="s">
        <v>157</v>
      </c>
    </row>
    <row r="32" spans="1:1" s="699" customFormat="1" ht="15" customHeight="1" x14ac:dyDescent="0.2">
      <c r="A32" s="1731" t="s">
        <v>1249</v>
      </c>
    </row>
    <row r="33" spans="1:4" ht="15" customHeight="1" x14ac:dyDescent="0.2">
      <c r="A33" s="1728" t="s">
        <v>1958</v>
      </c>
      <c r="D33" s="300"/>
    </row>
    <row r="34" spans="1:4" s="699" customFormat="1" ht="15" customHeight="1" x14ac:dyDescent="0.2">
      <c r="A34" s="1731" t="s">
        <v>654</v>
      </c>
    </row>
    <row r="35" spans="1:4" s="699" customFormat="1" ht="15" customHeight="1" x14ac:dyDescent="0.2">
      <c r="A35" s="1732"/>
    </row>
    <row r="36" spans="1:4" s="699" customFormat="1" ht="15" customHeight="1" x14ac:dyDescent="0.2">
      <c r="A36" s="1732"/>
    </row>
    <row r="37" spans="1:4" s="699" customFormat="1" ht="15" customHeight="1" x14ac:dyDescent="0.2">
      <c r="A37" s="1733" t="s">
        <v>2240</v>
      </c>
    </row>
    <row r="38" spans="1:4" s="699" customFormat="1" ht="15" customHeight="1" x14ac:dyDescent="0.2">
      <c r="A38" s="1734" t="s">
        <v>1317</v>
      </c>
    </row>
    <row r="39" spans="1:4" s="699" customFormat="1" ht="15" customHeight="1" x14ac:dyDescent="0.2">
      <c r="A39" s="1734" t="s">
        <v>1267</v>
      </c>
    </row>
    <row r="40" spans="1:4" s="699" customFormat="1" ht="15" customHeight="1" x14ac:dyDescent="0.2">
      <c r="A40" s="1734" t="s">
        <v>1268</v>
      </c>
    </row>
    <row r="41" spans="1:4" s="699" customFormat="1" ht="15" customHeight="1" x14ac:dyDescent="0.2">
      <c r="A41" s="1734" t="s">
        <v>1269</v>
      </c>
    </row>
    <row r="42" spans="1:4" s="699" customFormat="1" ht="15" customHeight="1" x14ac:dyDescent="0.2">
      <c r="A42" s="1734" t="s">
        <v>1318</v>
      </c>
    </row>
    <row r="43" spans="1:4" s="699" customFormat="1" ht="15" customHeight="1" x14ac:dyDescent="0.2">
      <c r="A43" s="1734" t="s">
        <v>2563</v>
      </c>
    </row>
    <row r="44" spans="1:4" s="699" customFormat="1" ht="15" customHeight="1" x14ac:dyDescent="0.2">
      <c r="A44" s="1734" t="s">
        <v>2556</v>
      </c>
    </row>
    <row r="45" spans="1:4" s="699" customFormat="1" ht="15" customHeight="1" x14ac:dyDescent="0.2">
      <c r="A45" s="1734" t="s">
        <v>1266</v>
      </c>
    </row>
    <row r="46" spans="1:4" s="699" customFormat="1" ht="15" customHeight="1" x14ac:dyDescent="0.2">
      <c r="A46" s="1734" t="s">
        <v>2557</v>
      </c>
    </row>
    <row r="47" spans="1:4" ht="18" customHeight="1" x14ac:dyDescent="0.2">
      <c r="D47" s="300"/>
    </row>
    <row r="48" spans="1:4" ht="18" customHeight="1" x14ac:dyDescent="0.2">
      <c r="D48" s="300"/>
    </row>
    <row r="49" spans="1:4" ht="18" customHeight="1" x14ac:dyDescent="0.2">
      <c r="D49" s="300"/>
    </row>
    <row r="50" spans="1:4" ht="18" customHeight="1" x14ac:dyDescent="0.2">
      <c r="D50" s="300"/>
    </row>
    <row r="51" spans="1:4" ht="18" customHeight="1" x14ac:dyDescent="0.2">
      <c r="D51" s="300"/>
    </row>
    <row r="52" spans="1:4" ht="18" customHeight="1" x14ac:dyDescent="0.2">
      <c r="D52" s="300"/>
    </row>
    <row r="53" spans="1:4" ht="18" customHeight="1" x14ac:dyDescent="0.2">
      <c r="D53" s="300"/>
    </row>
    <row r="54" spans="1:4" s="697" customFormat="1" ht="18" customHeight="1" x14ac:dyDescent="0.2">
      <c r="A54" s="300"/>
    </row>
    <row r="55" spans="1:4" s="697" customFormat="1" ht="18" customHeight="1" x14ac:dyDescent="0.2">
      <c r="A55" s="300"/>
    </row>
    <row r="56" spans="1:4" s="697" customFormat="1" ht="18" customHeight="1" x14ac:dyDescent="0.2">
      <c r="A56" s="300"/>
    </row>
    <row r="57" spans="1:4" x14ac:dyDescent="0.2">
      <c r="D57" s="300"/>
    </row>
  </sheetData>
  <sheetProtection password="C4B9"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FF00"/>
  </sheetPr>
  <dimension ref="A2:A199"/>
  <sheetViews>
    <sheetView workbookViewId="0">
      <selection activeCell="K19" sqref="K19"/>
    </sheetView>
  </sheetViews>
  <sheetFormatPr defaultColWidth="9.33203125" defaultRowHeight="12.75" x14ac:dyDescent="0.2"/>
  <cols>
    <col min="1" max="16384" width="9.33203125" style="604"/>
  </cols>
  <sheetData>
    <row r="2" s="605" customFormat="1" x14ac:dyDescent="0.2"/>
    <row r="3" s="605" customFormat="1" x14ac:dyDescent="0.2"/>
    <row r="4" s="605" customFormat="1" x14ac:dyDescent="0.2"/>
    <row r="5" s="605" customFormat="1" x14ac:dyDescent="0.2"/>
    <row r="6" s="605" customFormat="1" x14ac:dyDescent="0.2"/>
    <row r="7" s="605" customFormat="1" x14ac:dyDescent="0.2"/>
    <row r="8" s="605" customFormat="1" x14ac:dyDescent="0.2"/>
    <row r="9" s="605" customFormat="1" x14ac:dyDescent="0.2"/>
    <row r="10" s="605" customFormat="1" x14ac:dyDescent="0.2"/>
    <row r="11" s="605" customFormat="1" x14ac:dyDescent="0.2"/>
    <row r="12" s="605" customFormat="1" x14ac:dyDescent="0.2"/>
    <row r="13" s="605" customFormat="1" x14ac:dyDescent="0.2"/>
    <row r="14" s="605" customFormat="1" x14ac:dyDescent="0.2"/>
    <row r="15" s="605" customFormat="1" x14ac:dyDescent="0.2"/>
    <row r="16" s="605" customFormat="1" x14ac:dyDescent="0.2"/>
    <row r="17" s="605" customFormat="1" x14ac:dyDescent="0.2"/>
    <row r="18" s="605" customFormat="1" x14ac:dyDescent="0.2"/>
    <row r="19" s="605" customFormat="1" x14ac:dyDescent="0.2"/>
    <row r="20" s="605" customFormat="1" x14ac:dyDescent="0.2"/>
    <row r="21" s="605" customFormat="1" x14ac:dyDescent="0.2"/>
    <row r="22" s="605" customFormat="1" x14ac:dyDescent="0.2"/>
    <row r="23" s="605" customFormat="1" x14ac:dyDescent="0.2"/>
    <row r="24" s="605" customFormat="1" x14ac:dyDescent="0.2"/>
    <row r="25" s="605" customFormat="1" x14ac:dyDescent="0.2"/>
    <row r="26" s="605" customFormat="1" x14ac:dyDescent="0.2"/>
    <row r="27" s="605" customFormat="1" x14ac:dyDescent="0.2"/>
    <row r="28" s="605" customFormat="1" x14ac:dyDescent="0.2"/>
    <row r="29" s="605" customFormat="1" x14ac:dyDescent="0.2"/>
    <row r="30" s="605" customFormat="1" x14ac:dyDescent="0.2"/>
    <row r="31" s="605" customFormat="1" x14ac:dyDescent="0.2"/>
    <row r="32" s="605" customFormat="1" x14ac:dyDescent="0.2"/>
    <row r="33" s="605" customFormat="1" x14ac:dyDescent="0.2"/>
    <row r="34" s="605" customFormat="1" x14ac:dyDescent="0.2"/>
    <row r="35" s="605" customFormat="1" x14ac:dyDescent="0.2"/>
    <row r="36" s="605" customFormat="1" x14ac:dyDescent="0.2"/>
    <row r="37" s="605" customFormat="1" x14ac:dyDescent="0.2"/>
    <row r="38" s="605" customFormat="1" x14ac:dyDescent="0.2"/>
    <row r="39" s="605" customFormat="1" x14ac:dyDescent="0.2"/>
    <row r="40" s="605" customFormat="1" x14ac:dyDescent="0.2"/>
    <row r="41" s="605" customFormat="1" x14ac:dyDescent="0.2"/>
    <row r="42" s="605" customFormat="1" x14ac:dyDescent="0.2"/>
    <row r="43" s="605" customFormat="1" x14ac:dyDescent="0.2"/>
    <row r="44" s="605" customFormat="1" x14ac:dyDescent="0.2"/>
    <row r="45" s="605" customFormat="1" x14ac:dyDescent="0.2"/>
    <row r="46" s="605" customFormat="1" x14ac:dyDescent="0.2"/>
    <row r="47" s="605" customFormat="1" x14ac:dyDescent="0.2"/>
    <row r="48" s="605" customFormat="1" x14ac:dyDescent="0.2"/>
    <row r="49" s="605" customFormat="1" x14ac:dyDescent="0.2"/>
    <row r="50" s="605" customFormat="1" x14ac:dyDescent="0.2"/>
    <row r="51" s="605" customFormat="1" x14ac:dyDescent="0.2"/>
    <row r="52" s="605" customFormat="1" x14ac:dyDescent="0.2"/>
    <row r="53" s="605" customFormat="1" x14ac:dyDescent="0.2"/>
    <row r="54" s="605" customFormat="1" x14ac:dyDescent="0.2"/>
    <row r="55" s="605" customFormat="1" x14ac:dyDescent="0.2"/>
    <row r="56" s="605" customFormat="1" x14ac:dyDescent="0.2"/>
    <row r="57" s="605" customFormat="1" x14ac:dyDescent="0.2"/>
    <row r="58" s="605" customFormat="1" x14ac:dyDescent="0.2"/>
    <row r="59" s="605" customFormat="1" x14ac:dyDescent="0.2"/>
    <row r="60" s="605" customFormat="1" x14ac:dyDescent="0.2"/>
    <row r="61" s="605" customFormat="1" x14ac:dyDescent="0.2"/>
    <row r="62" s="605" customFormat="1" x14ac:dyDescent="0.2"/>
    <row r="63" s="605" customFormat="1" x14ac:dyDescent="0.2"/>
    <row r="64" s="605" customFormat="1" x14ac:dyDescent="0.2"/>
    <row r="65" s="605" customFormat="1" x14ac:dyDescent="0.2"/>
    <row r="66" s="605" customFormat="1" x14ac:dyDescent="0.2"/>
    <row r="67" s="605" customFormat="1" x14ac:dyDescent="0.2"/>
    <row r="68" s="605" customFormat="1" x14ac:dyDescent="0.2"/>
    <row r="69" s="605" customFormat="1" x14ac:dyDescent="0.2"/>
    <row r="70" s="605" customFormat="1" x14ac:dyDescent="0.2"/>
    <row r="71" s="605" customFormat="1" x14ac:dyDescent="0.2"/>
    <row r="72" s="605" customFormat="1" x14ac:dyDescent="0.2"/>
    <row r="73" s="605" customFormat="1" x14ac:dyDescent="0.2"/>
    <row r="74" s="605" customFormat="1" x14ac:dyDescent="0.2"/>
    <row r="75" s="605" customFormat="1" x14ac:dyDescent="0.2"/>
    <row r="76" s="605" customFormat="1" x14ac:dyDescent="0.2"/>
    <row r="77" s="605" customFormat="1" x14ac:dyDescent="0.2"/>
    <row r="78" s="605" customFormat="1" x14ac:dyDescent="0.2"/>
    <row r="79" s="605" customFormat="1" x14ac:dyDescent="0.2"/>
    <row r="80" s="605" customFormat="1" x14ac:dyDescent="0.2"/>
    <row r="81" s="605" customFormat="1" x14ac:dyDescent="0.2"/>
    <row r="82" s="605" customFormat="1" x14ac:dyDescent="0.2"/>
    <row r="83" s="605" customFormat="1" x14ac:dyDescent="0.2"/>
    <row r="84" s="605" customFormat="1" x14ac:dyDescent="0.2"/>
    <row r="85" s="605" customFormat="1" x14ac:dyDescent="0.2"/>
    <row r="86" s="605" customFormat="1" x14ac:dyDescent="0.2"/>
    <row r="87" s="605" customFormat="1" x14ac:dyDescent="0.2"/>
    <row r="88" s="605" customFormat="1" x14ac:dyDescent="0.2"/>
    <row r="89" s="605" customFormat="1" x14ac:dyDescent="0.2"/>
    <row r="90" s="605" customFormat="1" x14ac:dyDescent="0.2"/>
    <row r="91" s="605" customFormat="1" x14ac:dyDescent="0.2"/>
    <row r="92" s="605" customFormat="1" x14ac:dyDescent="0.2"/>
    <row r="93" s="605" customFormat="1" x14ac:dyDescent="0.2"/>
    <row r="94" s="605" customFormat="1" x14ac:dyDescent="0.2"/>
    <row r="95" s="605" customFormat="1" x14ac:dyDescent="0.2"/>
    <row r="96" s="605" customFormat="1" x14ac:dyDescent="0.2"/>
    <row r="97" s="605" customFormat="1" x14ac:dyDescent="0.2"/>
    <row r="98" s="605" customFormat="1" x14ac:dyDescent="0.2"/>
    <row r="99" s="605" customFormat="1" x14ac:dyDescent="0.2"/>
    <row r="100" s="605" customFormat="1" x14ac:dyDescent="0.2"/>
    <row r="101" s="605" customFormat="1" x14ac:dyDescent="0.2"/>
    <row r="102" s="605" customFormat="1" x14ac:dyDescent="0.2"/>
    <row r="103" s="605" customFormat="1" x14ac:dyDescent="0.2"/>
    <row r="104" s="605" customFormat="1" x14ac:dyDescent="0.2"/>
    <row r="105" s="605" customFormat="1" x14ac:dyDescent="0.2"/>
    <row r="106" s="605" customFormat="1" x14ac:dyDescent="0.2"/>
    <row r="107" s="605" customFormat="1" x14ac:dyDescent="0.2"/>
    <row r="108" s="605" customFormat="1" x14ac:dyDescent="0.2"/>
    <row r="109" s="605" customFormat="1" x14ac:dyDescent="0.2"/>
    <row r="110" s="605" customFormat="1" x14ac:dyDescent="0.2"/>
    <row r="111" s="605" customFormat="1" x14ac:dyDescent="0.2"/>
    <row r="112" s="605" customFormat="1" x14ac:dyDescent="0.2"/>
    <row r="113" s="605" customFormat="1" x14ac:dyDescent="0.2"/>
    <row r="114" s="605" customFormat="1" x14ac:dyDescent="0.2"/>
    <row r="115" s="605" customFormat="1" x14ac:dyDescent="0.2"/>
    <row r="116" s="605" customFormat="1" x14ac:dyDescent="0.2"/>
    <row r="117" s="605" customFormat="1" x14ac:dyDescent="0.2"/>
    <row r="118" s="605" customFormat="1" x14ac:dyDescent="0.2"/>
    <row r="119" s="605" customFormat="1" ht="15" customHeight="1" x14ac:dyDescent="0.2"/>
    <row r="120" s="605" customFormat="1" x14ac:dyDescent="0.2"/>
    <row r="121" s="605" customFormat="1" x14ac:dyDescent="0.2"/>
    <row r="122" s="605" customFormat="1" x14ac:dyDescent="0.2"/>
    <row r="123" s="605" customFormat="1" x14ac:dyDescent="0.2"/>
    <row r="124" s="605" customFormat="1" x14ac:dyDescent="0.2"/>
    <row r="125" s="605" customFormat="1" x14ac:dyDescent="0.2"/>
    <row r="126" s="605" customFormat="1" x14ac:dyDescent="0.2"/>
    <row r="127" s="605" customFormat="1" x14ac:dyDescent="0.2"/>
    <row r="128" s="605" customFormat="1" x14ac:dyDescent="0.2"/>
    <row r="129" s="605" customFormat="1" x14ac:dyDescent="0.2"/>
    <row r="130" s="605" customFormat="1" x14ac:dyDescent="0.2"/>
    <row r="131" s="605" customFormat="1" x14ac:dyDescent="0.2"/>
    <row r="132" s="605" customFormat="1" x14ac:dyDescent="0.2"/>
    <row r="133" s="605" customFormat="1" x14ac:dyDescent="0.2"/>
    <row r="134" s="605" customFormat="1" x14ac:dyDescent="0.2"/>
    <row r="135" s="605" customFormat="1" x14ac:dyDescent="0.2"/>
    <row r="136" s="605" customFormat="1" x14ac:dyDescent="0.2"/>
    <row r="137" s="605" customFormat="1" x14ac:dyDescent="0.2"/>
    <row r="138" s="605" customFormat="1" x14ac:dyDescent="0.2"/>
    <row r="139" s="605" customFormat="1" x14ac:dyDescent="0.2"/>
    <row r="140" s="605" customFormat="1" x14ac:dyDescent="0.2"/>
    <row r="141" s="605" customFormat="1" x14ac:dyDescent="0.2"/>
    <row r="142" s="605" customFormat="1" x14ac:dyDescent="0.2"/>
    <row r="143" s="605" customFormat="1" x14ac:dyDescent="0.2"/>
    <row r="144" s="605" customFormat="1" x14ac:dyDescent="0.2"/>
    <row r="145" s="605" customFormat="1" x14ac:dyDescent="0.2"/>
    <row r="146" s="605" customFormat="1" x14ac:dyDescent="0.2"/>
    <row r="147" s="605" customFormat="1" x14ac:dyDescent="0.2"/>
    <row r="148" s="605" customFormat="1" x14ac:dyDescent="0.2"/>
    <row r="149" s="605" customFormat="1" x14ac:dyDescent="0.2"/>
    <row r="150" s="605" customFormat="1" x14ac:dyDescent="0.2"/>
    <row r="151" s="605" customFormat="1" x14ac:dyDescent="0.2"/>
    <row r="152" s="605" customFormat="1" x14ac:dyDescent="0.2"/>
    <row r="153" s="605" customFormat="1" x14ac:dyDescent="0.2"/>
    <row r="154" s="605" customFormat="1" x14ac:dyDescent="0.2"/>
    <row r="155" s="605" customFormat="1" x14ac:dyDescent="0.2"/>
    <row r="156" s="605" customFormat="1" x14ac:dyDescent="0.2"/>
    <row r="157" s="605" customFormat="1" x14ac:dyDescent="0.2"/>
    <row r="158" s="605" customFormat="1" x14ac:dyDescent="0.2"/>
    <row r="159" s="605" customFormat="1" x14ac:dyDescent="0.2"/>
    <row r="160" s="605" customFormat="1" x14ac:dyDescent="0.2"/>
    <row r="161" s="605" customFormat="1" x14ac:dyDescent="0.2"/>
    <row r="162" s="605" customFormat="1" x14ac:dyDescent="0.2"/>
    <row r="163" s="605" customFormat="1" x14ac:dyDescent="0.2"/>
    <row r="164" s="605" customFormat="1" x14ac:dyDescent="0.2"/>
    <row r="165" s="605" customFormat="1" x14ac:dyDescent="0.2"/>
    <row r="166" s="605" customFormat="1" x14ac:dyDescent="0.2"/>
    <row r="167" s="605" customFormat="1" x14ac:dyDescent="0.2"/>
    <row r="168" s="605" customFormat="1" x14ac:dyDescent="0.2"/>
    <row r="169" s="605" customFormat="1" x14ac:dyDescent="0.2"/>
    <row r="170" s="605" customFormat="1" x14ac:dyDescent="0.2"/>
    <row r="171" s="605" customFormat="1" x14ac:dyDescent="0.2"/>
    <row r="172" s="605" customFormat="1" x14ac:dyDescent="0.2"/>
    <row r="173" s="605" customFormat="1" x14ac:dyDescent="0.2"/>
    <row r="174" s="605" customFormat="1" x14ac:dyDescent="0.2"/>
    <row r="175" s="605" customFormat="1" x14ac:dyDescent="0.2"/>
    <row r="176" s="605" customFormat="1" x14ac:dyDescent="0.2"/>
    <row r="177" s="605" customFormat="1" x14ac:dyDescent="0.2"/>
    <row r="178" s="605" customFormat="1" x14ac:dyDescent="0.2"/>
    <row r="179" s="605" customFormat="1" x14ac:dyDescent="0.2"/>
    <row r="180" s="605" customFormat="1" x14ac:dyDescent="0.2"/>
    <row r="181" s="605" customFormat="1" x14ac:dyDescent="0.2"/>
    <row r="182" s="605" customFormat="1" x14ac:dyDescent="0.2"/>
    <row r="183" s="605" customFormat="1" x14ac:dyDescent="0.2"/>
    <row r="184" s="605" customFormat="1" x14ac:dyDescent="0.2"/>
    <row r="185" s="605" customFormat="1" x14ac:dyDescent="0.2"/>
    <row r="186" s="605" customFormat="1" x14ac:dyDescent="0.2"/>
    <row r="187" s="605" customFormat="1" x14ac:dyDescent="0.2"/>
    <row r="188" s="605" customFormat="1" x14ac:dyDescent="0.2"/>
    <row r="189" s="605" customFormat="1" x14ac:dyDescent="0.2"/>
    <row r="190" s="605" customFormat="1" x14ac:dyDescent="0.2"/>
    <row r="191" s="605" customFormat="1" x14ac:dyDescent="0.2"/>
    <row r="192" s="605" customFormat="1" x14ac:dyDescent="0.2"/>
    <row r="193" s="605" customFormat="1" x14ac:dyDescent="0.2"/>
    <row r="194" s="605" customFormat="1" x14ac:dyDescent="0.2"/>
    <row r="195" s="605" customFormat="1" x14ac:dyDescent="0.2"/>
    <row r="196" s="605" customFormat="1" x14ac:dyDescent="0.2"/>
    <row r="197" s="605" customFormat="1" x14ac:dyDescent="0.2"/>
    <row r="198" s="605" customFormat="1" x14ac:dyDescent="0.2"/>
    <row r="199" s="605" customFormat="1"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7030A0"/>
  </sheetPr>
  <dimension ref="A1:H30"/>
  <sheetViews>
    <sheetView zoomScaleNormal="100" workbookViewId="0">
      <selection activeCell="I13" sqref="I13"/>
    </sheetView>
  </sheetViews>
  <sheetFormatPr defaultColWidth="9.33203125" defaultRowHeight="15.75" x14ac:dyDescent="0.2"/>
  <cols>
    <col min="1" max="1" width="41.5" style="307" bestFit="1" customWidth="1"/>
    <col min="2" max="2" width="19.6640625" style="308" customWidth="1"/>
    <col min="3" max="3" width="18.1640625" style="308" customWidth="1"/>
    <col min="4" max="4" width="14.1640625" style="308" customWidth="1"/>
    <col min="5" max="5" width="12" style="308" customWidth="1"/>
    <col min="6" max="6" width="12.33203125" style="308" customWidth="1"/>
    <col min="7" max="7" width="13" style="308" customWidth="1"/>
    <col min="8" max="16384" width="9.33203125" style="307"/>
  </cols>
  <sheetData>
    <row r="1" spans="1:3" s="1805" customFormat="1" ht="33" customHeight="1" thickBot="1" x14ac:dyDescent="0.25">
      <c r="A1" s="1807" t="s">
        <v>2231</v>
      </c>
      <c r="B1" s="1807" t="s">
        <v>2565</v>
      </c>
      <c r="C1" s="1808" t="s">
        <v>2551</v>
      </c>
    </row>
    <row r="2" spans="1:3" s="308" customFormat="1" x14ac:dyDescent="0.2">
      <c r="A2" s="1809" t="s">
        <v>2461</v>
      </c>
      <c r="B2" s="1809">
        <v>1.9813416033680555</v>
      </c>
      <c r="C2" s="1812">
        <v>7.1760208595833328</v>
      </c>
    </row>
    <row r="3" spans="1:3" s="308" customFormat="1" x14ac:dyDescent="0.2">
      <c r="A3" s="1728" t="s">
        <v>266</v>
      </c>
      <c r="B3" s="1728">
        <v>0</v>
      </c>
      <c r="C3" s="1813">
        <v>6.6844000560000003</v>
      </c>
    </row>
    <row r="4" spans="1:3" s="308" customFormat="1" x14ac:dyDescent="0.2">
      <c r="A4" s="1728" t="s">
        <v>2459</v>
      </c>
      <c r="B4" s="1728">
        <v>0</v>
      </c>
      <c r="C4" s="1813">
        <v>6.5503340303703705</v>
      </c>
    </row>
    <row r="5" spans="1:3" s="308" customFormat="1" x14ac:dyDescent="0.2">
      <c r="A5" s="1728" t="s">
        <v>2460</v>
      </c>
      <c r="B5" s="1728">
        <v>2.2714224689772728</v>
      </c>
      <c r="C5" s="1813">
        <v>10</v>
      </c>
    </row>
    <row r="6" spans="1:3" s="308" customFormat="1" x14ac:dyDescent="0.2">
      <c r="A6" s="1728" t="s">
        <v>262</v>
      </c>
      <c r="B6" s="1728">
        <v>3.3870600922633742</v>
      </c>
      <c r="C6" s="1813">
        <v>10</v>
      </c>
    </row>
    <row r="7" spans="1:3" s="308" customFormat="1" x14ac:dyDescent="0.2">
      <c r="A7" s="1728" t="s">
        <v>51</v>
      </c>
      <c r="B7" s="1728">
        <v>4.0423835148761906</v>
      </c>
      <c r="C7" s="1813">
        <v>10</v>
      </c>
    </row>
    <row r="8" spans="1:3" s="308" customFormat="1" x14ac:dyDescent="0.2">
      <c r="A8" s="1728" t="s">
        <v>235</v>
      </c>
      <c r="B8" s="1728">
        <v>0</v>
      </c>
      <c r="C8" s="1813">
        <v>6.6638714183333327</v>
      </c>
    </row>
    <row r="9" spans="1:3" s="308" customFormat="1" x14ac:dyDescent="0.2">
      <c r="A9" s="1728" t="s">
        <v>705</v>
      </c>
      <c r="B9" s="1728">
        <v>0</v>
      </c>
      <c r="C9" s="1813">
        <v>8.3511183682071426</v>
      </c>
    </row>
    <row r="10" spans="1:3" s="308" customFormat="1" x14ac:dyDescent="0.2">
      <c r="A10" s="1728" t="s">
        <v>13</v>
      </c>
      <c r="B10" s="1728">
        <v>2.8985517307083333</v>
      </c>
      <c r="C10" s="1813">
        <v>8.448211445004409</v>
      </c>
    </row>
    <row r="11" spans="1:3" s="308" customFormat="1" x14ac:dyDescent="0.2">
      <c r="A11" s="1728" t="s">
        <v>65</v>
      </c>
      <c r="B11" s="1728">
        <v>3.1291746287615747</v>
      </c>
      <c r="C11" s="1813">
        <v>6.3741716757255293</v>
      </c>
    </row>
    <row r="12" spans="1:3" s="308" customFormat="1" x14ac:dyDescent="0.2">
      <c r="A12" s="1728" t="s">
        <v>623</v>
      </c>
      <c r="B12" s="1728">
        <v>2.581081400704762</v>
      </c>
      <c r="C12" s="1813">
        <v>10</v>
      </c>
    </row>
    <row r="13" spans="1:3" s="308" customFormat="1" x14ac:dyDescent="0.2">
      <c r="A13" s="1728" t="s">
        <v>157</v>
      </c>
      <c r="B13" s="1728">
        <v>2.9430001268888892</v>
      </c>
      <c r="C13" s="1813">
        <v>10</v>
      </c>
    </row>
    <row r="14" spans="1:3" s="308" customFormat="1" x14ac:dyDescent="0.2">
      <c r="A14" s="1728" t="s">
        <v>1249</v>
      </c>
      <c r="B14" s="1728">
        <v>3.6387458219938273</v>
      </c>
      <c r="C14" s="1813">
        <v>6.8308071855709871</v>
      </c>
    </row>
    <row r="15" spans="1:3" s="308" customFormat="1" x14ac:dyDescent="0.2">
      <c r="A15" s="1728" t="s">
        <v>1958</v>
      </c>
      <c r="B15" s="1728">
        <v>0</v>
      </c>
      <c r="C15" s="1813">
        <v>10</v>
      </c>
    </row>
    <row r="16" spans="1:3" ht="16.5" thickBot="1" x14ac:dyDescent="0.25">
      <c r="A16" s="1814" t="s">
        <v>654</v>
      </c>
      <c r="B16" s="1814">
        <v>1.75</v>
      </c>
      <c r="C16" s="1815">
        <v>4.4286761170000002</v>
      </c>
    </row>
    <row r="17" spans="1:8" ht="16.5" thickBot="1" x14ac:dyDescent="0.25"/>
    <row r="18" spans="1:8" s="1805" customFormat="1" ht="39" thickBot="1" x14ac:dyDescent="0.25">
      <c r="A18" s="1807" t="s">
        <v>2553</v>
      </c>
      <c r="B18" s="1808" t="s">
        <v>2564</v>
      </c>
      <c r="C18" s="1806"/>
      <c r="D18" s="1806"/>
      <c r="E18" s="1806"/>
      <c r="F18" s="1806"/>
      <c r="G18" s="1806"/>
      <c r="H18" s="1806"/>
    </row>
    <row r="19" spans="1:8" x14ac:dyDescent="0.2">
      <c r="A19" s="1816" t="s">
        <v>2554</v>
      </c>
      <c r="B19" s="1817">
        <v>0.57895713722437903</v>
      </c>
    </row>
    <row r="20" spans="1:8" x14ac:dyDescent="0.2">
      <c r="A20" s="1818">
        <v>40</v>
      </c>
      <c r="B20" s="1819">
        <v>0.7718977792154792</v>
      </c>
    </row>
    <row r="21" spans="1:8" x14ac:dyDescent="0.2">
      <c r="A21" s="1818">
        <v>70</v>
      </c>
      <c r="B21" s="1819">
        <v>0.86593931583348693</v>
      </c>
    </row>
    <row r="22" spans="1:8" x14ac:dyDescent="0.2">
      <c r="A22" s="1818">
        <v>90</v>
      </c>
      <c r="B22" s="1819">
        <v>0.9331799649983552</v>
      </c>
    </row>
    <row r="23" spans="1:8" ht="16.5" thickBot="1" x14ac:dyDescent="0.25">
      <c r="A23" s="1820" t="s">
        <v>2555</v>
      </c>
      <c r="B23" s="1821">
        <v>0.94981153380080507</v>
      </c>
    </row>
    <row r="24" spans="1:8" x14ac:dyDescent="0.2">
      <c r="A24" s="1804" t="s">
        <v>2552</v>
      </c>
    </row>
    <row r="25" spans="1:8" ht="16.5" thickBot="1" x14ac:dyDescent="0.25"/>
    <row r="26" spans="1:8" ht="16.5" thickBot="1" x14ac:dyDescent="0.25">
      <c r="A26" s="1810" t="s">
        <v>2562</v>
      </c>
      <c r="B26" s="1811" t="s">
        <v>2546</v>
      </c>
    </row>
    <row r="27" spans="1:8" x14ac:dyDescent="0.2">
      <c r="A27" s="1809" t="s">
        <v>2549</v>
      </c>
      <c r="B27" s="1817" t="s">
        <v>2558</v>
      </c>
    </row>
    <row r="28" spans="1:8" x14ac:dyDescent="0.2">
      <c r="A28" s="1728" t="s">
        <v>2547</v>
      </c>
      <c r="B28" s="1819" t="s">
        <v>2559</v>
      </c>
    </row>
    <row r="29" spans="1:8" x14ac:dyDescent="0.2">
      <c r="A29" s="1728" t="s">
        <v>2548</v>
      </c>
      <c r="B29" s="1819" t="s">
        <v>2560</v>
      </c>
    </row>
    <row r="30" spans="1:8" ht="16.5" thickBot="1" x14ac:dyDescent="0.25">
      <c r="A30" s="1814" t="s">
        <v>2550</v>
      </c>
      <c r="B30" s="1821" t="s">
        <v>2561</v>
      </c>
    </row>
  </sheetData>
  <sheetProtection password="C4B9"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A56"/>
  <sheetViews>
    <sheetView topLeftCell="A19" workbookViewId="0">
      <selection activeCell="A47" sqref="A47"/>
    </sheetView>
  </sheetViews>
  <sheetFormatPr defaultRowHeight="12.75" x14ac:dyDescent="0.2"/>
  <cols>
    <col min="1" max="1" width="62.5" bestFit="1" customWidth="1"/>
    <col min="2" max="97" width="6.6640625" bestFit="1" customWidth="1"/>
    <col min="98" max="161" width="7.1640625" bestFit="1" customWidth="1"/>
    <col min="162" max="162" width="9" bestFit="1" customWidth="1"/>
    <col min="163" max="165" width="8" bestFit="1" customWidth="1"/>
    <col min="166" max="166" width="11.1640625" bestFit="1" customWidth="1"/>
    <col min="167" max="168" width="7.6640625" bestFit="1" customWidth="1"/>
    <col min="169" max="169" width="8.6640625" bestFit="1" customWidth="1"/>
    <col min="170" max="172" width="7.6640625" bestFit="1" customWidth="1"/>
    <col min="173" max="175" width="6.6640625" bestFit="1" customWidth="1"/>
    <col min="176" max="176" width="6.5" bestFit="1" customWidth="1"/>
    <col min="177" max="177" width="7" bestFit="1" customWidth="1"/>
    <col min="178" max="178" width="6.6640625" bestFit="1" customWidth="1"/>
    <col min="179" max="179" width="6.83203125" bestFit="1" customWidth="1"/>
    <col min="180" max="180" width="7.83203125" bestFit="1" customWidth="1"/>
    <col min="181" max="181" width="6.5" bestFit="1" customWidth="1"/>
    <col min="182" max="182" width="7.5" bestFit="1" customWidth="1"/>
    <col min="183" max="183" width="7" bestFit="1" customWidth="1"/>
    <col min="184" max="185" width="7.33203125" bestFit="1" customWidth="1"/>
    <col min="186" max="186" width="10.33203125" bestFit="1" customWidth="1"/>
    <col min="187" max="187" width="9.83203125" bestFit="1" customWidth="1"/>
    <col min="188" max="188" width="10.33203125" bestFit="1" customWidth="1"/>
    <col min="189" max="193" width="11.1640625" bestFit="1" customWidth="1"/>
    <col min="194" max="194" width="6.5" bestFit="1" customWidth="1"/>
    <col min="195" max="195" width="9.33203125" bestFit="1" customWidth="1"/>
    <col min="196" max="196" width="10.33203125" bestFit="1" customWidth="1"/>
    <col min="197" max="197" width="8.6640625" bestFit="1" customWidth="1"/>
    <col min="198" max="198" width="8.1640625" bestFit="1" customWidth="1"/>
    <col min="199" max="199" width="7.83203125" bestFit="1" customWidth="1"/>
    <col min="200" max="200" width="9.5" bestFit="1" customWidth="1"/>
    <col min="201" max="201" width="6.83203125" bestFit="1" customWidth="1"/>
    <col min="202" max="202" width="7.83203125" bestFit="1" customWidth="1"/>
    <col min="203" max="203" width="6.83203125" bestFit="1" customWidth="1"/>
    <col min="204" max="204" width="7.83203125" bestFit="1" customWidth="1"/>
    <col min="205" max="205" width="6.83203125" bestFit="1" customWidth="1"/>
  </cols>
  <sheetData>
    <row r="1" spans="1:1" x14ac:dyDescent="0.2">
      <c r="A1" s="1209" t="s">
        <v>2493</v>
      </c>
    </row>
    <row r="2" spans="1:1" s="300" customFormat="1" x14ac:dyDescent="0.2">
      <c r="A2" s="1210" t="s">
        <v>2461</v>
      </c>
    </row>
    <row r="3" spans="1:1" s="300" customFormat="1" x14ac:dyDescent="0.2">
      <c r="A3" s="1210" t="s">
        <v>266</v>
      </c>
    </row>
    <row r="4" spans="1:1" s="300" customFormat="1" x14ac:dyDescent="0.2">
      <c r="A4" s="1210" t="s">
        <v>2459</v>
      </c>
    </row>
    <row r="5" spans="1:1" s="300" customFormat="1" x14ac:dyDescent="0.2">
      <c r="A5" s="1210" t="s">
        <v>2460</v>
      </c>
    </row>
    <row r="6" spans="1:1" s="300" customFormat="1" x14ac:dyDescent="0.2">
      <c r="A6" s="1210" t="s">
        <v>262</v>
      </c>
    </row>
    <row r="7" spans="1:1" s="300" customFormat="1" x14ac:dyDescent="0.2">
      <c r="A7" s="1210" t="s">
        <v>51</v>
      </c>
    </row>
    <row r="8" spans="1:1" s="300" customFormat="1" x14ac:dyDescent="0.2">
      <c r="A8" s="1210" t="s">
        <v>235</v>
      </c>
    </row>
    <row r="9" spans="1:1" s="300" customFormat="1" x14ac:dyDescent="0.2">
      <c r="A9" s="1210" t="s">
        <v>705</v>
      </c>
    </row>
    <row r="10" spans="1:1" s="300" customFormat="1" x14ac:dyDescent="0.2">
      <c r="A10" s="1210" t="s">
        <v>13</v>
      </c>
    </row>
    <row r="11" spans="1:1" s="300" customFormat="1" x14ac:dyDescent="0.2">
      <c r="A11" s="1210" t="s">
        <v>65</v>
      </c>
    </row>
    <row r="12" spans="1:1" s="300" customFormat="1" x14ac:dyDescent="0.2">
      <c r="A12" s="1210" t="s">
        <v>623</v>
      </c>
    </row>
    <row r="13" spans="1:1" s="300" customFormat="1" x14ac:dyDescent="0.2">
      <c r="A13" s="1210" t="s">
        <v>157</v>
      </c>
    </row>
    <row r="14" spans="1:1" s="300" customFormat="1" x14ac:dyDescent="0.2">
      <c r="A14" s="1210" t="s">
        <v>1249</v>
      </c>
    </row>
    <row r="15" spans="1:1" s="300" customFormat="1" x14ac:dyDescent="0.2">
      <c r="A15" s="1210" t="s">
        <v>1958</v>
      </c>
    </row>
    <row r="16" spans="1:1" x14ac:dyDescent="0.2">
      <c r="A16" s="1210" t="s">
        <v>654</v>
      </c>
    </row>
    <row r="17" spans="1:1" x14ac:dyDescent="0.2">
      <c r="A17" s="1211"/>
    </row>
    <row r="18" spans="1:1" x14ac:dyDescent="0.2">
      <c r="A18" s="1211"/>
    </row>
    <row r="19" spans="1:1" s="300" customFormat="1" x14ac:dyDescent="0.2">
      <c r="A19" s="1212" t="s">
        <v>2494</v>
      </c>
    </row>
    <row r="20" spans="1:1" s="300" customFormat="1" x14ac:dyDescent="0.2">
      <c r="A20" s="1213" t="s">
        <v>2461</v>
      </c>
    </row>
    <row r="21" spans="1:1" s="300" customFormat="1" x14ac:dyDescent="0.2">
      <c r="A21" s="1213" t="s">
        <v>266</v>
      </c>
    </row>
    <row r="22" spans="1:1" s="300" customFormat="1" x14ac:dyDescent="0.2">
      <c r="A22" s="1213" t="s">
        <v>2459</v>
      </c>
    </row>
    <row r="23" spans="1:1" s="300" customFormat="1" x14ac:dyDescent="0.2">
      <c r="A23" s="1213" t="s">
        <v>2460</v>
      </c>
    </row>
    <row r="24" spans="1:1" s="300" customFormat="1" x14ac:dyDescent="0.2">
      <c r="A24" s="1213" t="s">
        <v>262</v>
      </c>
    </row>
    <row r="25" spans="1:1" s="300" customFormat="1" x14ac:dyDescent="0.2">
      <c r="A25" s="1213" t="s">
        <v>51</v>
      </c>
    </row>
    <row r="26" spans="1:1" s="300" customFormat="1" x14ac:dyDescent="0.2">
      <c r="A26" s="1213" t="s">
        <v>235</v>
      </c>
    </row>
    <row r="27" spans="1:1" s="300" customFormat="1" x14ac:dyDescent="0.2">
      <c r="A27" s="1213" t="s">
        <v>705</v>
      </c>
    </row>
    <row r="28" spans="1:1" s="300" customFormat="1" x14ac:dyDescent="0.2">
      <c r="A28" s="1213" t="s">
        <v>13</v>
      </c>
    </row>
    <row r="29" spans="1:1" s="300" customFormat="1" x14ac:dyDescent="0.2">
      <c r="A29" s="1213" t="s">
        <v>65</v>
      </c>
    </row>
    <row r="30" spans="1:1" s="300" customFormat="1" x14ac:dyDescent="0.2">
      <c r="A30" s="1213" t="s">
        <v>623</v>
      </c>
    </row>
    <row r="31" spans="1:1" s="300" customFormat="1" x14ac:dyDescent="0.2">
      <c r="A31" s="1213" t="s">
        <v>157</v>
      </c>
    </row>
    <row r="32" spans="1:1" s="300" customFormat="1" x14ac:dyDescent="0.2">
      <c r="A32" s="1213" t="s">
        <v>1249</v>
      </c>
    </row>
    <row r="33" spans="1:1" x14ac:dyDescent="0.2">
      <c r="A33" s="1210" t="s">
        <v>1958</v>
      </c>
    </row>
    <row r="34" spans="1:1" x14ac:dyDescent="0.2">
      <c r="A34" s="1213" t="s">
        <v>654</v>
      </c>
    </row>
    <row r="35" spans="1:1" x14ac:dyDescent="0.2">
      <c r="A35" s="1214"/>
    </row>
    <row r="36" spans="1:1" x14ac:dyDescent="0.2">
      <c r="A36" s="1214"/>
    </row>
    <row r="37" spans="1:1" x14ac:dyDescent="0.2">
      <c r="A37" s="1215" t="s">
        <v>2495</v>
      </c>
    </row>
    <row r="38" spans="1:1" x14ac:dyDescent="0.2">
      <c r="A38" s="1216" t="s">
        <v>1317</v>
      </c>
    </row>
    <row r="39" spans="1:1" x14ac:dyDescent="0.2">
      <c r="A39" s="1216" t="s">
        <v>1267</v>
      </c>
    </row>
    <row r="40" spans="1:1" x14ac:dyDescent="0.2">
      <c r="A40" s="1216" t="s">
        <v>1268</v>
      </c>
    </row>
    <row r="41" spans="1:1" x14ac:dyDescent="0.2">
      <c r="A41" s="1216" t="s">
        <v>1269</v>
      </c>
    </row>
    <row r="42" spans="1:1" x14ac:dyDescent="0.2">
      <c r="A42" s="1216" t="s">
        <v>1318</v>
      </c>
    </row>
    <row r="43" spans="1:1" x14ac:dyDescent="0.2">
      <c r="A43" s="1216" t="s">
        <v>1264</v>
      </c>
    </row>
    <row r="44" spans="1:1" x14ac:dyDescent="0.2">
      <c r="A44" s="1216" t="s">
        <v>1265</v>
      </c>
    </row>
    <row r="45" spans="1:1" x14ac:dyDescent="0.2">
      <c r="A45" s="1216" t="s">
        <v>1266</v>
      </c>
    </row>
    <row r="46" spans="1:1" x14ac:dyDescent="0.2">
      <c r="A46" s="1216" t="s">
        <v>2256</v>
      </c>
    </row>
    <row r="47" spans="1:1" x14ac:dyDescent="0.2">
      <c r="A47" s="1217" t="s">
        <v>2496</v>
      </c>
    </row>
    <row r="48" spans="1:1" x14ac:dyDescent="0.2">
      <c r="A48" s="1218" t="s">
        <v>1317</v>
      </c>
    </row>
    <row r="49" spans="1:1" x14ac:dyDescent="0.2">
      <c r="A49" s="1218" t="s">
        <v>1267</v>
      </c>
    </row>
    <row r="50" spans="1:1" x14ac:dyDescent="0.2">
      <c r="A50" s="1218" t="s">
        <v>1268</v>
      </c>
    </row>
    <row r="51" spans="1:1" x14ac:dyDescent="0.2">
      <c r="A51" s="1218" t="s">
        <v>1269</v>
      </c>
    </row>
    <row r="52" spans="1:1" x14ac:dyDescent="0.2">
      <c r="A52" s="1218" t="s">
        <v>1318</v>
      </c>
    </row>
    <row r="53" spans="1:1" x14ac:dyDescent="0.2">
      <c r="A53" s="1218" t="s">
        <v>1264</v>
      </c>
    </row>
    <row r="54" spans="1:1" x14ac:dyDescent="0.2">
      <c r="A54" s="1219" t="s">
        <v>1265</v>
      </c>
    </row>
    <row r="55" spans="1:1" x14ac:dyDescent="0.2">
      <c r="A55" s="1219" t="s">
        <v>1266</v>
      </c>
    </row>
    <row r="56" spans="1:1" x14ac:dyDescent="0.2">
      <c r="A56" s="1219" t="s">
        <v>2458</v>
      </c>
    </row>
  </sheetData>
  <sortState columnSort="1" ref="B1:GW32">
    <sortCondition ref="B1:GW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sheetPr>
  <dimension ref="A1:GX110"/>
  <sheetViews>
    <sheetView workbookViewId="0">
      <selection activeCell="A40" sqref="A40"/>
    </sheetView>
  </sheetViews>
  <sheetFormatPr defaultRowHeight="12.75" x14ac:dyDescent="0.2"/>
  <cols>
    <col min="1" max="1" width="64" customWidth="1"/>
    <col min="2" max="2" width="9.1640625" customWidth="1"/>
    <col min="3" max="37" width="9.5" style="300" bestFit="1" customWidth="1"/>
    <col min="38" max="38" width="9.6640625" style="300" bestFit="1" customWidth="1"/>
    <col min="39" max="45" width="9.5" style="300" bestFit="1" customWidth="1"/>
    <col min="46" max="49" width="9.6640625" style="300" bestFit="1" customWidth="1"/>
    <col min="50" max="56" width="9.5" style="300" bestFit="1" customWidth="1"/>
    <col min="57" max="59" width="9.6640625" style="300" bestFit="1" customWidth="1"/>
    <col min="60" max="68" width="9.5" style="300" bestFit="1" customWidth="1"/>
    <col min="69" max="69" width="9.6640625" style="300" bestFit="1" customWidth="1"/>
    <col min="70" max="70" width="9.5" style="300" bestFit="1" customWidth="1"/>
    <col min="71" max="71" width="9.6640625" style="300" bestFit="1" customWidth="1"/>
    <col min="72" max="73" width="9.5" style="300" bestFit="1" customWidth="1"/>
    <col min="74" max="74" width="9.6640625" style="300" bestFit="1" customWidth="1"/>
    <col min="75" max="75" width="9.5" style="300" bestFit="1" customWidth="1"/>
    <col min="76" max="76" width="9.6640625" style="300" bestFit="1" customWidth="1"/>
    <col min="77" max="81" width="9.5" style="300" bestFit="1" customWidth="1"/>
    <col min="82" max="82" width="9.6640625" style="300" bestFit="1" customWidth="1"/>
    <col min="83" max="83" width="9.5" style="300" bestFit="1" customWidth="1"/>
    <col min="84" max="84" width="9.6640625" style="300" bestFit="1" customWidth="1"/>
    <col min="85" max="86" width="9.5" style="300" bestFit="1" customWidth="1"/>
    <col min="87" max="87" width="9.6640625" style="300" bestFit="1" customWidth="1"/>
    <col min="88" max="89" width="9.5" style="300" bestFit="1" customWidth="1"/>
    <col min="90" max="91" width="9.6640625" style="300" bestFit="1" customWidth="1"/>
    <col min="92" max="93" width="9.5" style="300" bestFit="1" customWidth="1"/>
    <col min="94" max="95" width="9.6640625" style="300" bestFit="1" customWidth="1"/>
    <col min="96" max="97" width="9.5" style="300" bestFit="1" customWidth="1"/>
    <col min="98" max="100" width="9.6640625" style="300" bestFit="1" customWidth="1"/>
    <col min="101" max="101" width="9.5" style="300" bestFit="1" customWidth="1"/>
    <col min="102" max="106" width="9.6640625" style="300" bestFit="1" customWidth="1"/>
    <col min="107" max="107" width="9.5" style="300" bestFit="1" customWidth="1"/>
    <col min="108" max="109" width="9.6640625" style="300" bestFit="1" customWidth="1"/>
    <col min="110" max="110" width="9.5" style="300" bestFit="1" customWidth="1"/>
    <col min="111" max="111" width="9.6640625" style="300" bestFit="1" customWidth="1"/>
    <col min="112" max="112" width="9.5" style="300" bestFit="1" customWidth="1"/>
    <col min="113" max="117" width="9.6640625" style="300" bestFit="1" customWidth="1"/>
    <col min="118" max="120" width="9.5" style="300" bestFit="1" customWidth="1"/>
    <col min="121" max="121" width="9.6640625" style="300" bestFit="1" customWidth="1"/>
    <col min="122" max="141" width="9.5" style="300" bestFit="1" customWidth="1"/>
    <col min="142" max="142" width="9.6640625" style="300" bestFit="1" customWidth="1"/>
    <col min="143" max="143" width="9.5" style="300" bestFit="1" customWidth="1"/>
    <col min="144" max="144" width="9.6640625" style="300" bestFit="1" customWidth="1"/>
    <col min="145" max="153" width="9.5" style="300" bestFit="1" customWidth="1"/>
    <col min="154" max="156" width="9.6640625" style="300" bestFit="1" customWidth="1"/>
    <col min="157" max="157" width="9.5" style="300" bestFit="1" customWidth="1"/>
    <col min="158" max="160" width="9.6640625" style="300" bestFit="1" customWidth="1"/>
    <col min="161" max="161" width="9.5" style="300" bestFit="1" customWidth="1"/>
    <col min="162" max="165" width="9.6640625" style="300" bestFit="1" customWidth="1"/>
    <col min="166" max="176" width="9.5" style="300" bestFit="1" customWidth="1"/>
    <col min="177" max="177" width="9.6640625" style="300" bestFit="1" customWidth="1"/>
    <col min="178" max="180" width="9.5" style="300" bestFit="1" customWidth="1"/>
    <col min="181" max="183" width="9.6640625" style="300" bestFit="1" customWidth="1"/>
    <col min="184" max="185" width="9.5" style="300" bestFit="1" customWidth="1"/>
    <col min="186" max="188" width="9.6640625" style="300" bestFit="1" customWidth="1"/>
    <col min="189" max="189" width="9.5" style="300" bestFit="1" customWidth="1"/>
    <col min="190" max="191" width="9.6640625" style="300" bestFit="1" customWidth="1"/>
    <col min="192" max="193" width="9.5" style="300" bestFit="1" customWidth="1"/>
    <col min="194" max="195" width="9.6640625" style="300" bestFit="1" customWidth="1"/>
    <col min="196" max="196" width="9.5" style="300" bestFit="1" customWidth="1"/>
    <col min="197" max="197" width="9.6640625" style="300" bestFit="1" customWidth="1"/>
    <col min="198" max="200" width="9.5" style="300" bestFit="1" customWidth="1"/>
    <col min="201" max="204" width="9.6640625" style="300" bestFit="1" customWidth="1"/>
    <col min="205" max="206" width="9.5" style="300" bestFit="1" customWidth="1"/>
  </cols>
  <sheetData>
    <row r="1" spans="1:206" s="302" customFormat="1" x14ac:dyDescent="0.2">
      <c r="A1" s="1209" t="s">
        <v>2497</v>
      </c>
    </row>
    <row r="2" spans="1:206" s="300" customFormat="1" x14ac:dyDescent="0.2">
      <c r="A2" s="1210" t="s">
        <v>2461</v>
      </c>
    </row>
    <row r="3" spans="1:206" s="300" customFormat="1" x14ac:dyDescent="0.2">
      <c r="A3" s="1210" t="s">
        <v>266</v>
      </c>
    </row>
    <row r="4" spans="1:206" s="300" customFormat="1" x14ac:dyDescent="0.2">
      <c r="A4" s="1210" t="s">
        <v>2459</v>
      </c>
    </row>
    <row r="5" spans="1:206" s="300" customFormat="1" x14ac:dyDescent="0.2">
      <c r="A5" s="1210" t="s">
        <v>2460</v>
      </c>
    </row>
    <row r="6" spans="1:206" s="300" customFormat="1" x14ac:dyDescent="0.2">
      <c r="A6" s="1210" t="s">
        <v>262</v>
      </c>
    </row>
    <row r="7" spans="1:206" s="300" customFormat="1" x14ac:dyDescent="0.2">
      <c r="A7" s="1210" t="s">
        <v>51</v>
      </c>
    </row>
    <row r="8" spans="1:206" s="300" customFormat="1" x14ac:dyDescent="0.2">
      <c r="A8" s="1210" t="s">
        <v>235</v>
      </c>
    </row>
    <row r="9" spans="1:206" s="300" customFormat="1" x14ac:dyDescent="0.2">
      <c r="A9" s="1210" t="s">
        <v>705</v>
      </c>
    </row>
    <row r="10" spans="1:206" s="300" customFormat="1" x14ac:dyDescent="0.2">
      <c r="A10" s="1210" t="s">
        <v>13</v>
      </c>
    </row>
    <row r="11" spans="1:206" s="300" customFormat="1" x14ac:dyDescent="0.2">
      <c r="A11" s="1210" t="s">
        <v>65</v>
      </c>
    </row>
    <row r="12" spans="1:206" s="300" customFormat="1" x14ac:dyDescent="0.2">
      <c r="A12" s="1210" t="s">
        <v>623</v>
      </c>
    </row>
    <row r="13" spans="1:206" s="300" customFormat="1" x14ac:dyDescent="0.2">
      <c r="A13" s="1210" t="s">
        <v>157</v>
      </c>
    </row>
    <row r="14" spans="1:206" s="300" customFormat="1" x14ac:dyDescent="0.2">
      <c r="A14" s="1210" t="s">
        <v>1249</v>
      </c>
    </row>
    <row r="15" spans="1:206" s="300" customFormat="1" x14ac:dyDescent="0.2">
      <c r="A15" s="1210" t="s">
        <v>1958</v>
      </c>
    </row>
    <row r="16" spans="1:206" x14ac:dyDescent="0.2">
      <c r="A16" s="1210" t="s">
        <v>654</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row>
    <row r="17" spans="1:206" x14ac:dyDescent="0.2">
      <c r="A17" s="1211"/>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row>
    <row r="18" spans="1:206" x14ac:dyDescent="0.2">
      <c r="A18" s="1211"/>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row>
    <row r="19" spans="1:206" s="300" customFormat="1" x14ac:dyDescent="0.2">
      <c r="A19" s="1212" t="s">
        <v>2498</v>
      </c>
    </row>
    <row r="20" spans="1:206" s="300" customFormat="1" x14ac:dyDescent="0.2">
      <c r="A20" s="1213" t="s">
        <v>2461</v>
      </c>
    </row>
    <row r="21" spans="1:206" s="300" customFormat="1" x14ac:dyDescent="0.2">
      <c r="A21" s="1213" t="s">
        <v>266</v>
      </c>
    </row>
    <row r="22" spans="1:206" s="300" customFormat="1" x14ac:dyDescent="0.2">
      <c r="A22" s="1213" t="s">
        <v>2459</v>
      </c>
    </row>
    <row r="23" spans="1:206" s="300" customFormat="1" x14ac:dyDescent="0.2">
      <c r="A23" s="1213" t="s">
        <v>2460</v>
      </c>
    </row>
    <row r="24" spans="1:206" s="300" customFormat="1" x14ac:dyDescent="0.2">
      <c r="A24" s="1213" t="s">
        <v>262</v>
      </c>
    </row>
    <row r="25" spans="1:206" s="300" customFormat="1" x14ac:dyDescent="0.2">
      <c r="A25" s="1213" t="s">
        <v>51</v>
      </c>
    </row>
    <row r="26" spans="1:206" s="300" customFormat="1" x14ac:dyDescent="0.2">
      <c r="A26" s="1213" t="s">
        <v>235</v>
      </c>
    </row>
    <row r="27" spans="1:206" s="300" customFormat="1" x14ac:dyDescent="0.2">
      <c r="A27" s="1213" t="s">
        <v>705</v>
      </c>
    </row>
    <row r="28" spans="1:206" s="300" customFormat="1" x14ac:dyDescent="0.2">
      <c r="A28" s="1213" t="s">
        <v>13</v>
      </c>
    </row>
    <row r="29" spans="1:206" s="300" customFormat="1" x14ac:dyDescent="0.2">
      <c r="A29" s="1213" t="s">
        <v>65</v>
      </c>
    </row>
    <row r="30" spans="1:206" s="300" customFormat="1" x14ac:dyDescent="0.2">
      <c r="A30" s="1213" t="s">
        <v>623</v>
      </c>
    </row>
    <row r="31" spans="1:206" s="300" customFormat="1" x14ac:dyDescent="0.2">
      <c r="A31" s="1213" t="s">
        <v>157</v>
      </c>
    </row>
    <row r="32" spans="1:206" s="300" customFormat="1" x14ac:dyDescent="0.2">
      <c r="A32" s="1213" t="s">
        <v>1249</v>
      </c>
    </row>
    <row r="33" spans="1:206" x14ac:dyDescent="0.2">
      <c r="A33" s="1210" t="s">
        <v>1958</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row>
    <row r="34" spans="1:206" x14ac:dyDescent="0.2">
      <c r="A34" s="1213" t="s">
        <v>654</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row>
    <row r="35" spans="1:206" x14ac:dyDescent="0.2">
      <c r="A35" s="1214"/>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row>
    <row r="36" spans="1:206" x14ac:dyDescent="0.2">
      <c r="A36" s="1214"/>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row>
    <row r="37" spans="1:206" ht="15.75" customHeight="1" x14ac:dyDescent="0.2">
      <c r="A37" s="1215" t="s">
        <v>2499</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row>
    <row r="38" spans="1:206" x14ac:dyDescent="0.2">
      <c r="A38" s="1216" t="s">
        <v>1317</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row>
    <row r="39" spans="1:206" x14ac:dyDescent="0.2">
      <c r="A39" s="1216" t="s">
        <v>1267</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row>
    <row r="40" spans="1:206" x14ac:dyDescent="0.2">
      <c r="A40" s="1216" t="s">
        <v>1268</v>
      </c>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row>
    <row r="41" spans="1:206" x14ac:dyDescent="0.2">
      <c r="A41" s="1216" t="s">
        <v>1269</v>
      </c>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row>
    <row r="42" spans="1:206" x14ac:dyDescent="0.2">
      <c r="A42" s="1216" t="s">
        <v>1318</v>
      </c>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row>
    <row r="43" spans="1:206" x14ac:dyDescent="0.2">
      <c r="A43" s="1216" t="s">
        <v>1264</v>
      </c>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row>
    <row r="44" spans="1:206" x14ac:dyDescent="0.2">
      <c r="A44" s="1216" t="s">
        <v>1265</v>
      </c>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row>
    <row r="45" spans="1:206" x14ac:dyDescent="0.2">
      <c r="A45" s="1216" t="s">
        <v>1266</v>
      </c>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row>
    <row r="46" spans="1:206" x14ac:dyDescent="0.2">
      <c r="A46" s="1216" t="s">
        <v>2256</v>
      </c>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row>
    <row r="47" spans="1:206" ht="15.75" customHeight="1" x14ac:dyDescent="0.2">
      <c r="A47" s="1217" t="s">
        <v>2492</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row>
    <row r="48" spans="1:206" x14ac:dyDescent="0.2">
      <c r="A48" s="1218" t="s">
        <v>1317</v>
      </c>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row>
    <row r="49" spans="1:206" x14ac:dyDescent="0.2">
      <c r="A49" s="1218" t="s">
        <v>1267</v>
      </c>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row>
    <row r="50" spans="1:206" x14ac:dyDescent="0.2">
      <c r="A50" s="1218" t="s">
        <v>1268</v>
      </c>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row>
    <row r="51" spans="1:206" x14ac:dyDescent="0.2">
      <c r="A51" s="1218" t="s">
        <v>1269</v>
      </c>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row>
    <row r="52" spans="1:206" x14ac:dyDescent="0.2">
      <c r="A52" s="1218" t="s">
        <v>1318</v>
      </c>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row>
    <row r="53" spans="1:206" x14ac:dyDescent="0.2">
      <c r="A53" s="1218" t="s">
        <v>1264</v>
      </c>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row>
    <row r="54" spans="1:206" x14ac:dyDescent="0.2">
      <c r="A54" s="1219" t="s">
        <v>1265</v>
      </c>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row>
    <row r="55" spans="1:206" x14ac:dyDescent="0.2">
      <c r="A55" s="1219" t="s">
        <v>1266</v>
      </c>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row>
    <row r="56" spans="1:206" x14ac:dyDescent="0.2">
      <c r="A56" s="1219" t="s">
        <v>2458</v>
      </c>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row>
    <row r="57" spans="1:206" x14ac:dyDescent="0.2">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row>
    <row r="58" spans="1:206" x14ac:dyDescent="0.2">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row>
    <row r="59" spans="1:206" x14ac:dyDescent="0.2">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row>
    <row r="60" spans="1:206" x14ac:dyDescent="0.2">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row>
    <row r="61" spans="1:206" x14ac:dyDescent="0.2">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row>
    <row r="62" spans="1:206" x14ac:dyDescent="0.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row>
    <row r="63" spans="1:206" x14ac:dyDescent="0.2">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row>
    <row r="64" spans="1:206" x14ac:dyDescent="0.2">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row>
    <row r="65" spans="3:206" x14ac:dyDescent="0.2">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row>
    <row r="66" spans="3:206" x14ac:dyDescent="0.2">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row>
    <row r="67" spans="3:206" x14ac:dyDescent="0.2">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row>
    <row r="68" spans="3:206" x14ac:dyDescent="0.2">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row>
    <row r="69" spans="3:206" x14ac:dyDescent="0.2">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row>
    <row r="70" spans="3:206" x14ac:dyDescent="0.2">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row>
    <row r="71" spans="3:206" x14ac:dyDescent="0.2">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row>
    <row r="72" spans="3:206" x14ac:dyDescent="0.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row>
    <row r="73" spans="3:206" x14ac:dyDescent="0.2">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row>
    <row r="74" spans="3:206" x14ac:dyDescent="0.2">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row>
    <row r="75" spans="3:206" x14ac:dyDescent="0.2">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row>
    <row r="76" spans="3:206" x14ac:dyDescent="0.2">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row>
    <row r="77" spans="3:206" x14ac:dyDescent="0.2">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row>
    <row r="78" spans="3:206" x14ac:dyDescent="0.2">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row>
    <row r="79" spans="3:206" x14ac:dyDescent="0.2">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row>
    <row r="80" spans="3:206" x14ac:dyDescent="0.2">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row>
    <row r="81" spans="3:206" x14ac:dyDescent="0.2">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row>
    <row r="82" spans="3:206" x14ac:dyDescent="0.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row>
    <row r="83" spans="3:206" x14ac:dyDescent="0.2">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row>
    <row r="84" spans="3:206" x14ac:dyDescent="0.2">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row>
    <row r="85" spans="3:206" x14ac:dyDescent="0.2">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row>
    <row r="86" spans="3:206" x14ac:dyDescent="0.2">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row>
    <row r="87" spans="3:206" x14ac:dyDescent="0.2">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row>
    <row r="88" spans="3:206" x14ac:dyDescent="0.2">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row>
    <row r="89" spans="3:206" x14ac:dyDescent="0.2">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row>
    <row r="90" spans="3:206" x14ac:dyDescent="0.2">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row>
    <row r="91" spans="3:206" x14ac:dyDescent="0.2">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row>
    <row r="92" spans="3:206" x14ac:dyDescent="0.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row>
    <row r="93" spans="3:206" x14ac:dyDescent="0.2">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row>
    <row r="94" spans="3:206" x14ac:dyDescent="0.2">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row>
    <row r="95" spans="3:206" x14ac:dyDescent="0.2">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row>
    <row r="96" spans="3:206" x14ac:dyDescent="0.2">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row>
    <row r="97" spans="3:206" x14ac:dyDescent="0.2">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row>
    <row r="98" spans="3:206" x14ac:dyDescent="0.2">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row>
    <row r="99" spans="3:206" x14ac:dyDescent="0.2">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row>
    <row r="100" spans="3:206" x14ac:dyDescent="0.2">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row>
    <row r="101" spans="3:206" x14ac:dyDescent="0.2">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row>
    <row r="102" spans="3:206" x14ac:dyDescent="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row>
    <row r="103" spans="3:206" x14ac:dyDescent="0.2">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row>
    <row r="104" spans="3:206" x14ac:dyDescent="0.2">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row>
    <row r="105" spans="3:206" x14ac:dyDescent="0.2">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row>
    <row r="106" spans="3:206" x14ac:dyDescent="0.2">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row>
    <row r="107" spans="3:206" x14ac:dyDescent="0.2">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row>
    <row r="108" spans="3:206" x14ac:dyDescent="0.2">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row>
    <row r="109" spans="3:206" x14ac:dyDescent="0.2">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row>
    <row r="110" spans="3:206" x14ac:dyDescent="0.2">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_x002d_category xmlns="beb12a02-e4d3-4a66-8f74-4e9436112691">ABWRET</Sub_x002d_category>
    <Date_x0020_Produced xmlns="beb12a02-e4d3-4a66-8f74-4e9436112691">2016-07-06T06:00:00+00:00</Date_x0020_Produced>
    <Category xmlns="beb12a02-e4d3-4a66-8f74-4e9436112691">Project Deliverable</Category>
    <_Version xmlns="http://schemas.microsoft.com/sharepoint/v3/fields">1.0</_Version>
    <Working_x0020_Group xmlns="beb12a02-e4d3-4a66-8f74-4e9436112691">
      <Value>Technical Working Group</Value>
    </Working_x0020_Group>
    <Action_x0020_needed xmlns="beb12a02-e4d3-4a66-8f74-4e9436112691">Matt to review, Chen to fix if needed</Action_x0020_needed>
    <Actionable xmlns="beb12a02-e4d3-4a66-8f74-4e9436112691">true</Actionable>
    <Source xmlns="beb12a02-e4d3-4a66-8f74-4e9436112691" xsi:nil="true"/>
    <Assigned_x0020_to0 xmlns="beb12a02-e4d3-4a66-8f74-4e9436112691">
      <UserInfo>
        <DisplayName>Matthew Wilson</DisplayName>
        <AccountId>14494</AccountId>
        <AccountType/>
      </UserInfo>
    </Assigned_x0020_to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9422685C2AA8468DC3370C4843F2E4" ma:contentTypeVersion="12" ma:contentTypeDescription="Create a new document." ma:contentTypeScope="" ma:versionID="9dc829f68b77c8ce44f0d193f6226914">
  <xsd:schema xmlns:xsd="http://www.w3.org/2001/XMLSchema" xmlns:xs="http://www.w3.org/2001/XMLSchema" xmlns:p="http://schemas.microsoft.com/office/2006/metadata/properties" xmlns:ns2="beb12a02-e4d3-4a66-8f74-4e9436112691" xmlns:ns3="http://schemas.microsoft.com/sharepoint/v3/fields" targetNamespace="http://schemas.microsoft.com/office/2006/metadata/properties" ma:root="true" ma:fieldsID="caab44ad93c6d4f5984ebe64ad69ec26" ns2:_="" ns3:_="">
    <xsd:import namespace="beb12a02-e4d3-4a66-8f74-4e9436112691"/>
    <xsd:import namespace="http://schemas.microsoft.com/sharepoint/v3/fields"/>
    <xsd:element name="properties">
      <xsd:complexType>
        <xsd:sequence>
          <xsd:element name="documentManagement">
            <xsd:complexType>
              <xsd:all>
                <xsd:element ref="ns2:Category" minOccurs="0"/>
                <xsd:element ref="ns2:Sub_x002d_category" minOccurs="0"/>
                <xsd:element ref="ns2:Actionable" minOccurs="0"/>
                <xsd:element ref="ns2:Action_x0020_needed" minOccurs="0"/>
                <xsd:element ref="ns2:Source" minOccurs="0"/>
                <xsd:element ref="ns2:Date_x0020_Produced" minOccurs="0"/>
                <xsd:element ref="ns2:Working_x0020_Group" minOccurs="0"/>
                <xsd:element ref="ns2:Assigned_x0020_to0"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12a02-e4d3-4a66-8f74-4e9436112691" elementFormDefault="qualified">
    <xsd:import namespace="http://schemas.microsoft.com/office/2006/documentManagement/types"/>
    <xsd:import namespace="http://schemas.microsoft.com/office/infopath/2007/PartnerControls"/>
    <xsd:element name="Category" ma:index="2" nillable="true" ma:displayName="Category" ma:format="Dropdown" ma:internalName="Category">
      <xsd:simpleType>
        <xsd:restriction base="dms:Choice">
          <xsd:enumeration value="Planning"/>
          <xsd:enumeration value="Presentation"/>
          <xsd:enumeration value="Administrative"/>
          <xsd:enumeration value="Reference"/>
          <xsd:enumeration value="Project Deliverable"/>
        </xsd:restriction>
      </xsd:simpleType>
    </xsd:element>
    <xsd:element name="Sub_x002d_category" ma:index="3" nillable="true" ma:displayName="Sub-category" ma:format="Dropdown" ma:internalName="Sub_x002d_category">
      <xsd:simpleType>
        <xsd:union memberTypes="dms:Text">
          <xsd:simpleType>
            <xsd:restriction base="dms:Choice">
              <xsd:enumeration value="ABWRET"/>
              <xsd:enumeration value="Agenda"/>
              <xsd:enumeration value="Authorization Process Docs"/>
              <xsd:enumeration value="Business Case"/>
              <xsd:enumeration value="Contract"/>
              <xsd:enumeration value="Decision"/>
              <xsd:enumeration value="Journal Article"/>
              <xsd:enumeration value="Notes"/>
              <xsd:enumeration value="Process map"/>
              <xsd:enumeration value="Project charter"/>
              <xsd:enumeration value="QWSP"/>
              <xsd:enumeration value="Report"/>
              <xsd:enumeration value="Statement of Requirements"/>
              <xsd:enumeration value="Status Report"/>
              <xsd:enumeration value="Terms of Reference"/>
              <xsd:enumeration value="Work Plan"/>
            </xsd:restriction>
          </xsd:simpleType>
        </xsd:union>
      </xsd:simpleType>
    </xsd:element>
    <xsd:element name="Actionable" ma:index="4" nillable="true" ma:displayName="Actionable" ma:default="0" ma:internalName="Actionable">
      <xsd:simpleType>
        <xsd:restriction base="dms:Boolean"/>
      </xsd:simpleType>
    </xsd:element>
    <xsd:element name="Action_x0020_needed" ma:index="5" nillable="true" ma:displayName="Action needed" ma:internalName="Action_x0020_needed">
      <xsd:simpleType>
        <xsd:restriction base="dms:Text">
          <xsd:maxLength value="255"/>
        </xsd:restriction>
      </xsd:simpleType>
    </xsd:element>
    <xsd:element name="Source" ma:index="6" nillable="true" ma:displayName="Source" ma:description="Describes the source of the document origin (E.g. Core WG; Systems WG; Author, Document made available by...)" ma:internalName="Source">
      <xsd:simpleType>
        <xsd:restriction base="dms:Text">
          <xsd:maxLength value="255"/>
        </xsd:restriction>
      </xsd:simpleType>
    </xsd:element>
    <xsd:element name="Date_x0020_Produced" ma:index="7" nillable="true" ma:displayName="Date Produced" ma:format="DateOnly" ma:internalName="Date_x0020_Produced">
      <xsd:simpleType>
        <xsd:restriction base="dms:DateTime"/>
      </xsd:simpleType>
    </xsd:element>
    <xsd:element name="Working_x0020_Group" ma:index="8" nillable="true" ma:displayName="Working Group" ma:internalName="Working_x0020_Group">
      <xsd:complexType>
        <xsd:complexContent>
          <xsd:extension base="dms:MultiChoice">
            <xsd:sequence>
              <xsd:element name="Value" maxOccurs="unbounded" minOccurs="0" nillable="true">
                <xsd:simpleType>
                  <xsd:restriction base="dms:Choice">
                    <xsd:enumeration value="Core Working Group"/>
                    <xsd:enumeration value="Education Working Group"/>
                    <xsd:enumeration value="Governance Working Group"/>
                    <xsd:enumeration value="Regulatory Working Group"/>
                    <xsd:enumeration value="Systems Working Group"/>
                    <xsd:enumeration value="Technical Working Group"/>
                    <xsd:enumeration value="Other"/>
                  </xsd:restriction>
                </xsd:simpleType>
              </xsd:element>
            </xsd:sequence>
          </xsd:extension>
        </xsd:complexContent>
      </xsd:complexType>
    </xsd:element>
    <xsd:element name="Assigned_x0020_to0" ma:index="9" nillable="true" ma:displayName="Assigned to" ma:list="UserInfo" ma:SharePointGroup="14492" ma:internalName="Assigned_x0020_to0"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Official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BF6AA-C884-440F-9FB9-00D882A97510}">
  <ds:schemaRefs>
    <ds:schemaRef ds:uri="beb12a02-e4d3-4a66-8f74-4e9436112691"/>
    <ds:schemaRef ds:uri="http://purl.org/dc/dcmitype/"/>
    <ds:schemaRef ds:uri="http://www.w3.org/XML/1998/namespace"/>
    <ds:schemaRef ds:uri="http://schemas.microsoft.com/office/2006/documentManagement/types"/>
    <ds:schemaRef ds:uri="http://schemas.microsoft.com/sharepoint/v3/field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2525340-F313-4BD0-8ED5-E212323B8D6B}">
  <ds:schemaRefs>
    <ds:schemaRef ds:uri="http://schemas.microsoft.com/sharepoint/v3/contenttype/forms"/>
  </ds:schemaRefs>
</ds:datastoreItem>
</file>

<file path=customXml/itemProps3.xml><?xml version="1.0" encoding="utf-8"?>
<ds:datastoreItem xmlns:ds="http://schemas.openxmlformats.org/officeDocument/2006/customXml" ds:itemID="{D9AA033E-69A2-45CF-A152-F7F01997F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b12a02-e4d3-4a66-8f74-4e943611269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467</vt:i4>
      </vt:variant>
    </vt:vector>
  </HeadingPairs>
  <TitlesOfParts>
    <vt:vector size="494" baseType="lpstr">
      <vt:lpstr>CoverPg</vt:lpstr>
      <vt:lpstr>F</vt:lpstr>
      <vt:lpstr>S</vt:lpstr>
      <vt:lpstr>OF</vt:lpstr>
      <vt:lpstr>AllSitesA</vt:lpstr>
      <vt:lpstr>SaveVarsA</vt:lpstr>
      <vt:lpstr>Calibration Stats</vt:lpstr>
      <vt:lpstr>AllSitesE</vt:lpstr>
      <vt:lpstr>AllSitesEsub</vt:lpstr>
      <vt:lpstr>WS</vt:lpstr>
      <vt:lpstr>SFS</vt:lpstr>
      <vt:lpstr>WC</vt:lpstr>
      <vt:lpstr>SR</vt:lpstr>
      <vt:lpstr>PR</vt:lpstr>
      <vt:lpstr>NR</vt:lpstr>
      <vt:lpstr>OE</vt:lpstr>
      <vt:lpstr>INV</vt:lpstr>
      <vt:lpstr>FH</vt:lpstr>
      <vt:lpstr>AM</vt:lpstr>
      <vt:lpstr>WB</vt:lpstr>
      <vt:lpstr>SBRM</vt:lpstr>
      <vt:lpstr>PH</vt:lpstr>
      <vt:lpstr>FIRE</vt:lpstr>
      <vt:lpstr>HU</vt:lpstr>
      <vt:lpstr>Scores</vt:lpstr>
      <vt:lpstr>RarePlants</vt:lpstr>
      <vt:lpstr>RareAnimals</vt:lpstr>
      <vt:lpstr>_Bog6</vt:lpstr>
      <vt:lpstr>_GDD1</vt:lpstr>
      <vt:lpstr>_Iso2</vt:lpstr>
      <vt:lpstr>Access1a</vt:lpstr>
      <vt:lpstr>Acidic13</vt:lpstr>
      <vt:lpstr>AcidicPool10</vt:lpstr>
      <vt:lpstr>AcidPool10</vt:lpstr>
      <vt:lpstr>ADSORB1A</vt:lpstr>
      <vt:lpstr>Algae21</vt:lpstr>
      <vt:lpstr>Algae3</vt:lpstr>
      <vt:lpstr>AllForbCov</vt:lpstr>
      <vt:lpstr>AllHerbCov</vt:lpstr>
      <vt:lpstr>AllMoss</vt:lpstr>
      <vt:lpstr>AllNat</vt:lpstr>
      <vt:lpstr>AllOpenPond</vt:lpstr>
      <vt:lpstr>AllSat1</vt:lpstr>
      <vt:lpstr>AllSat2</vt:lpstr>
      <vt:lpstr>AllWet</vt:lpstr>
      <vt:lpstr>AllWoody1</vt:lpstr>
      <vt:lpstr>AltTime10</vt:lpstr>
      <vt:lpstr>AltTime20</vt:lpstr>
      <vt:lpstr>AltTime8</vt:lpstr>
      <vt:lpstr>AnoxF1a</vt:lpstr>
      <vt:lpstr>AqCov8</vt:lpstr>
      <vt:lpstr>Aspect</vt:lpstr>
      <vt:lpstr>Beaver10</vt:lpstr>
      <vt:lpstr>Beaver11</vt:lpstr>
      <vt:lpstr>Beaver13</vt:lpstr>
      <vt:lpstr>Beaver14</vt:lpstr>
      <vt:lpstr>Beaver14a</vt:lpstr>
      <vt:lpstr>Beaver8</vt:lpstr>
      <vt:lpstr>BeaverPD</vt:lpstr>
      <vt:lpstr>BioDivZone</vt:lpstr>
      <vt:lpstr>BMP_11</vt:lpstr>
      <vt:lpstr>BMP_13</vt:lpstr>
      <vt:lpstr>BMP_14</vt:lpstr>
      <vt:lpstr>BMPsoils20</vt:lpstr>
      <vt:lpstr>BMPsoilsPU</vt:lpstr>
      <vt:lpstr>BMPwildPU</vt:lpstr>
      <vt:lpstr>BuffAllNat</vt:lpstr>
      <vt:lpstr>BuffLUpd</vt:lpstr>
      <vt:lpstr>BuffNatPct11</vt:lpstr>
      <vt:lpstr>BuffNatPct13</vt:lpstr>
      <vt:lpstr>BuffNatPct8</vt:lpstr>
      <vt:lpstr>Burn1</vt:lpstr>
      <vt:lpstr>Burn10</vt:lpstr>
      <vt:lpstr>Burn15</vt:lpstr>
      <vt:lpstr>Burn2</vt:lpstr>
      <vt:lpstr>Burn6</vt:lpstr>
      <vt:lpstr>Burn8</vt:lpstr>
      <vt:lpstr>CARB1A</vt:lpstr>
      <vt:lpstr>CaribouFound</vt:lpstr>
      <vt:lpstr>CaribouRange</vt:lpstr>
      <vt:lpstr>CfixA1a</vt:lpstr>
      <vt:lpstr>CfixF1a</vt:lpstr>
      <vt:lpstr>CfixI1a</vt:lpstr>
      <vt:lpstr>CfixS1a</vt:lpstr>
      <vt:lpstr>CfixV1a</vt:lpstr>
      <vt:lpstr>CfixW1a</vt:lpstr>
      <vt:lpstr>ChannConn</vt:lpstr>
      <vt:lpstr>ClassRich1k</vt:lpstr>
      <vt:lpstr>ClassRichIn</vt:lpstr>
      <vt:lpstr>ClassRichIn14</vt:lpstr>
      <vt:lpstr>ClassRichIn15</vt:lpstr>
      <vt:lpstr>ClassRichIn8</vt:lpstr>
      <vt:lpstr>Cliff14</vt:lpstr>
      <vt:lpstr>Cliffs14</vt:lpstr>
      <vt:lpstr>Conduc10</vt:lpstr>
      <vt:lpstr>Conduc8</vt:lpstr>
      <vt:lpstr>Constric1</vt:lpstr>
      <vt:lpstr>Constric2</vt:lpstr>
      <vt:lpstr>Constric3</vt:lpstr>
      <vt:lpstr>Constric4</vt:lpstr>
      <vt:lpstr>Constric6</vt:lpstr>
      <vt:lpstr>Core1_11</vt:lpstr>
      <vt:lpstr>Core1_13</vt:lpstr>
      <vt:lpstr>Core13a</vt:lpstr>
      <vt:lpstr>Core14a</vt:lpstr>
      <vt:lpstr>Core14b</vt:lpstr>
      <vt:lpstr>Core1pd</vt:lpstr>
      <vt:lpstr>Core1PU</vt:lpstr>
      <vt:lpstr>Core2_11</vt:lpstr>
      <vt:lpstr>Core2_13</vt:lpstr>
      <vt:lpstr>Core2pd</vt:lpstr>
      <vt:lpstr>Core2PU</vt:lpstr>
      <vt:lpstr>Cstock1a</vt:lpstr>
      <vt:lpstr>CUbuffNatPct14</vt:lpstr>
      <vt:lpstr>CUbuffPctNat8</vt:lpstr>
      <vt:lpstr>dbhPD</vt:lpstr>
      <vt:lpstr>DELAY1A</vt:lpstr>
      <vt:lpstr>Depth10</vt:lpstr>
      <vt:lpstr>Depth15</vt:lpstr>
      <vt:lpstr>Depth2_</vt:lpstr>
      <vt:lpstr>Depth7</vt:lpstr>
      <vt:lpstr>Depth8</vt:lpstr>
      <vt:lpstr>DepthC2</vt:lpstr>
      <vt:lpstr>DepthDiv8</vt:lpstr>
      <vt:lpstr>DepthEven10</vt:lpstr>
      <vt:lpstr>DepthEven13</vt:lpstr>
      <vt:lpstr>Dist2DevCrop</vt:lpstr>
      <vt:lpstr>Dist2Industrial</vt:lpstr>
      <vt:lpstr>Dist2Road</vt:lpstr>
      <vt:lpstr>DistIndus</vt:lpstr>
      <vt:lpstr>DistPop</vt:lpstr>
      <vt:lpstr>DomDepth3</vt:lpstr>
      <vt:lpstr>DownWood15</vt:lpstr>
      <vt:lpstr>ElevPctileHUC8</vt:lpstr>
      <vt:lpstr>EmPct13</vt:lpstr>
      <vt:lpstr>FenBogMarsh</vt:lpstr>
      <vt:lpstr>FenMarshSwamp</vt:lpstr>
      <vt:lpstr>FenPct</vt:lpstr>
      <vt:lpstr>FireBreak</vt:lpstr>
      <vt:lpstr>Fish10</vt:lpstr>
      <vt:lpstr>Fish11</vt:lpstr>
      <vt:lpstr>Fish13</vt:lpstr>
      <vt:lpstr>FishPres</vt:lpstr>
      <vt:lpstr>FloDist1</vt:lpstr>
      <vt:lpstr>Fluc2</vt:lpstr>
      <vt:lpstr>FlucPD</vt:lpstr>
      <vt:lpstr>Fluctu11</vt:lpstr>
      <vt:lpstr>Fluctu13</vt:lpstr>
      <vt:lpstr>Fluctu3</vt:lpstr>
      <vt:lpstr>Fluctu4</vt:lpstr>
      <vt:lpstr>Fluctu6</vt:lpstr>
      <vt:lpstr>Fluctu8</vt:lpstr>
      <vt:lpstr>Fluctua1</vt:lpstr>
      <vt:lpstr>ForbCov14</vt:lpstr>
      <vt:lpstr>forbsPD</vt:lpstr>
      <vt:lpstr>ForestedPeat</vt:lpstr>
      <vt:lpstr>Fringe</vt:lpstr>
      <vt:lpstr>Fringe10</vt:lpstr>
      <vt:lpstr>Fringe21</vt:lpstr>
      <vt:lpstr>Gcover2</vt:lpstr>
      <vt:lpstr>Gcover3</vt:lpstr>
      <vt:lpstr>Gcover4</vt:lpstr>
      <vt:lpstr>Gcover6</vt:lpstr>
      <vt:lpstr>Girreg1</vt:lpstr>
      <vt:lpstr>Girreg11</vt:lpstr>
      <vt:lpstr>Girreg2</vt:lpstr>
      <vt:lpstr>Girreg3</vt:lpstr>
      <vt:lpstr>Girreg4</vt:lpstr>
      <vt:lpstr>Girreg8</vt:lpstr>
      <vt:lpstr>GirregPD</vt:lpstr>
      <vt:lpstr>Gradient1</vt:lpstr>
      <vt:lpstr>Gradient11</vt:lpstr>
      <vt:lpstr>Gradient13</vt:lpstr>
      <vt:lpstr>Gradient2</vt:lpstr>
      <vt:lpstr>Gradient3</vt:lpstr>
      <vt:lpstr>Gradient4</vt:lpstr>
      <vt:lpstr>Gradient6</vt:lpstr>
      <vt:lpstr>Groundw1</vt:lpstr>
      <vt:lpstr>Groundw10</vt:lpstr>
      <vt:lpstr>GroundW11</vt:lpstr>
      <vt:lpstr>Groundw2_</vt:lpstr>
      <vt:lpstr>Groundw4</vt:lpstr>
      <vt:lpstr>Groundw8</vt:lpstr>
      <vt:lpstr>GrowDD</vt:lpstr>
      <vt:lpstr>Gwater7</vt:lpstr>
      <vt:lpstr>GWDspring</vt:lpstr>
      <vt:lpstr>GWIN1A</vt:lpstr>
      <vt:lpstr>GWpd</vt:lpstr>
      <vt:lpstr>GWplantdiv</vt:lpstr>
      <vt:lpstr>GWrisk1</vt:lpstr>
      <vt:lpstr>HabStrucA1a</vt:lpstr>
      <vt:lpstr>HabStrucF1a</vt:lpstr>
      <vt:lpstr>HabStrucI1a</vt:lpstr>
      <vt:lpstr>HabStrucS1a</vt:lpstr>
      <vt:lpstr>HabStrucW1a</vt:lpstr>
      <vt:lpstr>HazPond</vt:lpstr>
      <vt:lpstr>HerbDiv8</vt:lpstr>
      <vt:lpstr>HerbDom14</vt:lpstr>
      <vt:lpstr>herbdom15</vt:lpstr>
      <vt:lpstr>HerbWood15</vt:lpstr>
      <vt:lpstr>HerbWoodMix11</vt:lpstr>
      <vt:lpstr>HerbWoodMix14</vt:lpstr>
      <vt:lpstr>HerbWoodMix4</vt:lpstr>
      <vt:lpstr>IBirdArea</vt:lpstr>
      <vt:lpstr>InBigRemnant</vt:lpstr>
      <vt:lpstr>Inclus14</vt:lpstr>
      <vt:lpstr>Inclus4</vt:lpstr>
      <vt:lpstr>INFILT1a</vt:lpstr>
      <vt:lpstr>InfloPD</vt:lpstr>
      <vt:lpstr>Inflows</vt:lpstr>
      <vt:lpstr>Interspers10</vt:lpstr>
      <vt:lpstr>Interspers11</vt:lpstr>
      <vt:lpstr>Interspers13</vt:lpstr>
      <vt:lpstr>Interspers14</vt:lpstr>
      <vt:lpstr>Interspers2</vt:lpstr>
      <vt:lpstr>Interspers3</vt:lpstr>
      <vt:lpstr>Interspers4</vt:lpstr>
      <vt:lpstr>Interspers6</vt:lpstr>
      <vt:lpstr>Interspers8</vt:lpstr>
      <vt:lpstr>InterspersPD</vt:lpstr>
      <vt:lpstr>Invasives</vt:lpstr>
      <vt:lpstr>Invest21</vt:lpstr>
      <vt:lpstr>Island13</vt:lpstr>
      <vt:lpstr>IsoDry1</vt:lpstr>
      <vt:lpstr>ISOdry10</vt:lpstr>
      <vt:lpstr>ISOdry13</vt:lpstr>
      <vt:lpstr>ISOdry7</vt:lpstr>
      <vt:lpstr>ISOwet11</vt:lpstr>
      <vt:lpstr>IsoWet2</vt:lpstr>
      <vt:lpstr>IsoWet2a</vt:lpstr>
      <vt:lpstr>IsoWet2s</vt:lpstr>
      <vt:lpstr>LabileC1a</vt:lpstr>
      <vt:lpstr>Lake</vt:lpstr>
      <vt:lpstr>Lake10</vt:lpstr>
      <vt:lpstr>Lake13</vt:lpstr>
      <vt:lpstr>Lake21</vt:lpstr>
      <vt:lpstr>Lake3</vt:lpstr>
      <vt:lpstr>LargeWetVeg</vt:lpstr>
      <vt:lpstr>Linear</vt:lpstr>
      <vt:lpstr>LscapeAM</vt:lpstr>
      <vt:lpstr>LscapeS1a</vt:lpstr>
      <vt:lpstr>LscapeW1a</vt:lpstr>
      <vt:lpstr>MarshPct</vt:lpstr>
      <vt:lpstr>MarshUniq</vt:lpstr>
      <vt:lpstr>Moss6</vt:lpstr>
      <vt:lpstr>Moss8</vt:lpstr>
      <vt:lpstr>NatCov1k</vt:lpstr>
      <vt:lpstr>NatVegCApd</vt:lpstr>
      <vt:lpstr>NatVegCUpct10</vt:lpstr>
      <vt:lpstr>NewWet</vt:lpstr>
      <vt:lpstr>NewWet6</vt:lpstr>
      <vt:lpstr>NewWetNot6</vt:lpstr>
      <vt:lpstr>NewWetPD</vt:lpstr>
      <vt:lpstr>Nfixer6</vt:lpstr>
      <vt:lpstr>Nfixers8</vt:lpstr>
      <vt:lpstr>NfixPD</vt:lpstr>
      <vt:lpstr>NoHerbCov</vt:lpstr>
      <vt:lpstr>NoOpenPonded</vt:lpstr>
      <vt:lpstr>NoOpenPonded1</vt:lpstr>
      <vt:lpstr>NoOtherWettypes</vt:lpstr>
      <vt:lpstr>NoOutlet1a</vt:lpstr>
      <vt:lpstr>NoPermW10</vt:lpstr>
      <vt:lpstr>NoPersis</vt:lpstr>
      <vt:lpstr>NoPonded</vt:lpstr>
      <vt:lpstr>NoSeasonal</vt:lpstr>
      <vt:lpstr>NoWoodyVeg</vt:lpstr>
      <vt:lpstr>OpenPct1</vt:lpstr>
      <vt:lpstr>OpenPonded2</vt:lpstr>
      <vt:lpstr>OpenPonded2a</vt:lpstr>
      <vt:lpstr>OpenPonded7</vt:lpstr>
      <vt:lpstr>OpenW</vt:lpstr>
      <vt:lpstr>OpenWpct3</vt:lpstr>
      <vt:lpstr>OUT2A</vt:lpstr>
      <vt:lpstr>OUT3A</vt:lpstr>
      <vt:lpstr>OUT7A</vt:lpstr>
      <vt:lpstr>OutC1a</vt:lpstr>
      <vt:lpstr>OutDur2</vt:lpstr>
      <vt:lpstr>OutDur2_</vt:lpstr>
      <vt:lpstr>OutDur7</vt:lpstr>
      <vt:lpstr>OutDura1</vt:lpstr>
      <vt:lpstr>OutDura10</vt:lpstr>
      <vt:lpstr>OutDura3</vt:lpstr>
      <vt:lpstr>OutDura4</vt:lpstr>
      <vt:lpstr>OutDura6</vt:lpstr>
      <vt:lpstr>OutNone</vt:lpstr>
      <vt:lpstr>OutNone1</vt:lpstr>
      <vt:lpstr>OWarea</vt:lpstr>
      <vt:lpstr>Ownership</vt:lpstr>
      <vt:lpstr>OWpct</vt:lpstr>
      <vt:lpstr>OWpct_AM</vt:lpstr>
      <vt:lpstr>OWpct_INV</vt:lpstr>
      <vt:lpstr>OWpct_WB</vt:lpstr>
      <vt:lpstr>OWpct10</vt:lpstr>
      <vt:lpstr>OWpct11</vt:lpstr>
      <vt:lpstr>OWpct13</vt:lpstr>
      <vt:lpstr>OWpct4</vt:lpstr>
      <vt:lpstr>OWpct6</vt:lpstr>
      <vt:lpstr>OWpct8</vt:lpstr>
      <vt:lpstr>peat1</vt:lpstr>
      <vt:lpstr>peat2</vt:lpstr>
      <vt:lpstr>PermWpct10</vt:lpstr>
      <vt:lpstr>PermWpct13</vt:lpstr>
      <vt:lpstr>PermWpct14</vt:lpstr>
      <vt:lpstr>PermWpct15</vt:lpstr>
      <vt:lpstr>PermWpct4</vt:lpstr>
      <vt:lpstr>PermWpct8</vt:lpstr>
      <vt:lpstr>Persis3</vt:lpstr>
      <vt:lpstr>PersisPD</vt:lpstr>
      <vt:lpstr>PondedOWpct14</vt:lpstr>
      <vt:lpstr>PondedOWpct21</vt:lpstr>
      <vt:lpstr>PondedOWpctPD</vt:lpstr>
      <vt:lpstr>PondedPct6</vt:lpstr>
      <vt:lpstr>PondPct4</vt:lpstr>
      <vt:lpstr>PPET</vt:lpstr>
      <vt:lpstr>CoverPg!Print_Area</vt:lpstr>
      <vt:lpstr>F!Print_Area</vt:lpstr>
      <vt:lpstr>OF!Print_Area</vt:lpstr>
      <vt:lpstr>S!Print_Area</vt:lpstr>
      <vt:lpstr>Scores!Print_Area</vt:lpstr>
      <vt:lpstr>Provis21</vt:lpstr>
      <vt:lpstr>Public</vt:lpstr>
      <vt:lpstr>RaptorNest</vt:lpstr>
      <vt:lpstr>RareAM</vt:lpstr>
      <vt:lpstr>RareBirdUse</vt:lpstr>
      <vt:lpstr>RareFish</vt:lpstr>
      <vt:lpstr>RarePlant2</vt:lpstr>
      <vt:lpstr>RarePlant20</vt:lpstr>
      <vt:lpstr>RareSBM</vt:lpstr>
      <vt:lpstr>RareWB</vt:lpstr>
      <vt:lpstr>RdDens1k</vt:lpstr>
      <vt:lpstr>RecreaPoten</vt:lpstr>
      <vt:lpstr>REDOX1A</vt:lpstr>
      <vt:lpstr>Reserve</vt:lpstr>
      <vt:lpstr>RESIST1a</vt:lpstr>
      <vt:lpstr>RipFloodpl</vt:lpstr>
      <vt:lpstr>Rock15</vt:lpstr>
      <vt:lpstr>Salin11</vt:lpstr>
      <vt:lpstr>Salin3</vt:lpstr>
      <vt:lpstr>SatPct10</vt:lpstr>
      <vt:lpstr>SatPct11</vt:lpstr>
      <vt:lpstr>SatPct13</vt:lpstr>
      <vt:lpstr>SatPct14</vt:lpstr>
      <vt:lpstr>SatPct3</vt:lpstr>
      <vt:lpstr>SatPct4</vt:lpstr>
      <vt:lpstr>SatPct7</vt:lpstr>
      <vt:lpstr>SatPct8</vt:lpstr>
      <vt:lpstr>Satur10</vt:lpstr>
      <vt:lpstr>SBhab13</vt:lpstr>
      <vt:lpstr>SeasPct1</vt:lpstr>
      <vt:lpstr>SeasPct2</vt:lpstr>
      <vt:lpstr>SeasPct8</vt:lpstr>
      <vt:lpstr>SeasWpct13</vt:lpstr>
      <vt:lpstr>SeasWpct4</vt:lpstr>
      <vt:lpstr>SeasWpct6</vt:lpstr>
      <vt:lpstr>SeasWpctPD</vt:lpstr>
      <vt:lpstr>SedCA8</vt:lpstr>
      <vt:lpstr>SedDisturb20</vt:lpstr>
      <vt:lpstr>Sedge14</vt:lpstr>
      <vt:lpstr>sedgePD</vt:lpstr>
      <vt:lpstr>SEDTRAP1A</vt:lpstr>
      <vt:lpstr>SensAm</vt:lpstr>
      <vt:lpstr>Shade10</vt:lpstr>
      <vt:lpstr>SHADE1A</vt:lpstr>
      <vt:lpstr>Shade6</vt:lpstr>
      <vt:lpstr>Shade7</vt:lpstr>
      <vt:lpstr>ShoreSlope13</vt:lpstr>
      <vt:lpstr>ShrubDiv14</vt:lpstr>
      <vt:lpstr>SlopeBuffer</vt:lpstr>
      <vt:lpstr>SmallAA</vt:lpstr>
      <vt:lpstr>SnagB13</vt:lpstr>
      <vt:lpstr>SnagD14</vt:lpstr>
      <vt:lpstr>Snags15</vt:lpstr>
      <vt:lpstr>Soil2_</vt:lpstr>
      <vt:lpstr>SoilAlt2</vt:lpstr>
      <vt:lpstr>SoilAlt3</vt:lpstr>
      <vt:lpstr>SoilDisturb4</vt:lpstr>
      <vt:lpstr>SoilDisturb8</vt:lpstr>
      <vt:lpstr>SoilTex1</vt:lpstr>
      <vt:lpstr>SoilTex3</vt:lpstr>
      <vt:lpstr>SoilTex4</vt:lpstr>
      <vt:lpstr>SoilTex6</vt:lpstr>
      <vt:lpstr>SoilTexPD</vt:lpstr>
      <vt:lpstr>Stain8</vt:lpstr>
      <vt:lpstr>Steep1</vt:lpstr>
      <vt:lpstr>Steep13</vt:lpstr>
      <vt:lpstr>Steep1ws</vt:lpstr>
      <vt:lpstr>Steep2ws</vt:lpstr>
      <vt:lpstr>STORE1a</vt:lpstr>
      <vt:lpstr>StressA1a</vt:lpstr>
      <vt:lpstr>StressF1a</vt:lpstr>
      <vt:lpstr>StressI1a</vt:lpstr>
      <vt:lpstr>StressS1a</vt:lpstr>
      <vt:lpstr>StressV1a</vt:lpstr>
      <vt:lpstr>StressW1a</vt:lpstr>
      <vt:lpstr>Sub0Days</vt:lpstr>
      <vt:lpstr>SwampMarshPct</vt:lpstr>
      <vt:lpstr>Swater</vt:lpstr>
      <vt:lpstr>TEMP1A</vt:lpstr>
      <vt:lpstr>ThruFlo1</vt:lpstr>
      <vt:lpstr>ThruFlo10</vt:lpstr>
      <vt:lpstr>ThruFlo2</vt:lpstr>
      <vt:lpstr>ThruFlo3</vt:lpstr>
      <vt:lpstr>ThruFlo4</vt:lpstr>
      <vt:lpstr>ThruFlo6</vt:lpstr>
      <vt:lpstr>ThruFlo8</vt:lpstr>
      <vt:lpstr>TooSteep13</vt:lpstr>
      <vt:lpstr>Toxic10</vt:lpstr>
      <vt:lpstr>Toxic11</vt:lpstr>
      <vt:lpstr>Toxic20</vt:lpstr>
      <vt:lpstr>Toxic8</vt:lpstr>
      <vt:lpstr>ToxSource13</vt:lpstr>
      <vt:lpstr>ToxSource14</vt:lpstr>
      <vt:lpstr>TRAP1A</vt:lpstr>
      <vt:lpstr>TreeForm13</vt:lpstr>
      <vt:lpstr>Trees13</vt:lpstr>
      <vt:lpstr>TreeTyp13</vt:lpstr>
      <vt:lpstr>TreeTypes14</vt:lpstr>
      <vt:lpstr>TreeVar11</vt:lpstr>
      <vt:lpstr>TrumSwan</vt:lpstr>
      <vt:lpstr>Type1</vt:lpstr>
      <vt:lpstr>UndevOpenL1k</vt:lpstr>
      <vt:lpstr>UniqClass</vt:lpstr>
      <vt:lpstr>UniqFenMarshSwamp</vt:lpstr>
      <vt:lpstr>UniqMarshShallowOW</vt:lpstr>
      <vt:lpstr>UpEutro1k</vt:lpstr>
      <vt:lpstr>Use1a</vt:lpstr>
      <vt:lpstr>VegIntersp8</vt:lpstr>
      <vt:lpstr>VegWabs3</vt:lpstr>
      <vt:lpstr>Visibility</vt:lpstr>
      <vt:lpstr>Vscape1a</vt:lpstr>
      <vt:lpstr>Vspace1a</vt:lpstr>
      <vt:lpstr>Vstruc1a</vt:lpstr>
      <vt:lpstr>Vwidth1</vt:lpstr>
      <vt:lpstr>Vwidth11</vt:lpstr>
      <vt:lpstr>Vwidth14</vt:lpstr>
      <vt:lpstr>VwidthAbs13</vt:lpstr>
      <vt:lpstr>VwidthAbs4</vt:lpstr>
      <vt:lpstr>VwidthAbs6</vt:lpstr>
      <vt:lpstr>WatEdgeSlope2</vt:lpstr>
      <vt:lpstr>Water10</vt:lpstr>
      <vt:lpstr>Water11</vt:lpstr>
      <vt:lpstr>Water13</vt:lpstr>
      <vt:lpstr>Water14</vt:lpstr>
      <vt:lpstr>Water1a</vt:lpstr>
      <vt:lpstr>Water3</vt:lpstr>
      <vt:lpstr>Water4</vt:lpstr>
      <vt:lpstr>Water7</vt:lpstr>
      <vt:lpstr>Water8</vt:lpstr>
      <vt:lpstr>WaterI1a</vt:lpstr>
      <vt:lpstr>WclassDom7</vt:lpstr>
      <vt:lpstr>WeedSourcePD</vt:lpstr>
      <vt:lpstr>Wells21</vt:lpstr>
      <vt:lpstr>Wet1a</vt:lpstr>
      <vt:lpstr>Wet1b</vt:lpstr>
      <vt:lpstr>WetArea</vt:lpstr>
      <vt:lpstr>WetClass</vt:lpstr>
      <vt:lpstr>WetDens1k</vt:lpstr>
      <vt:lpstr>WetDens1k_NoBog</vt:lpstr>
      <vt:lpstr>WetDens1k_NoVeg</vt:lpstr>
      <vt:lpstr>WetDens1k_OW</vt:lpstr>
      <vt:lpstr>WetMnArea1k_NoBog</vt:lpstr>
      <vt:lpstr>WetPctCA1</vt:lpstr>
      <vt:lpstr>WetPctCA2</vt:lpstr>
      <vt:lpstr>WetPctCA3</vt:lpstr>
      <vt:lpstr>WetPctHUC8</vt:lpstr>
      <vt:lpstr>WetPerim2Area</vt:lpstr>
      <vt:lpstr>Wettype11</vt:lpstr>
      <vt:lpstr>Wettype13</vt:lpstr>
      <vt:lpstr>Wettype14</vt:lpstr>
      <vt:lpstr>Wettype2</vt:lpstr>
      <vt:lpstr>Wettype3</vt:lpstr>
      <vt:lpstr>Wettype4</vt:lpstr>
      <vt:lpstr>Wettype6</vt:lpstr>
      <vt:lpstr>Wettype8</vt:lpstr>
      <vt:lpstr>WetVegArea</vt:lpstr>
      <vt:lpstr>WetVegPct</vt:lpstr>
      <vt:lpstr>WetWooded</vt:lpstr>
      <vt:lpstr>WidthAbs2</vt:lpstr>
      <vt:lpstr>WidthPD</vt:lpstr>
      <vt:lpstr>WindSumm</vt:lpstr>
      <vt:lpstr>wood2pd</vt:lpstr>
      <vt:lpstr>WoodAbove10</vt:lpstr>
      <vt:lpstr>WoodAbove11</vt:lpstr>
      <vt:lpstr>WoodDown11</vt:lpstr>
      <vt:lpstr>WoodDown14</vt:lpstr>
      <vt:lpstr>WoodDown8</vt:lpstr>
      <vt:lpstr>WoodPatt14</vt:lpstr>
      <vt:lpstr>WoodType6</vt:lpstr>
      <vt:lpstr>woody</vt:lpstr>
      <vt:lpstr>Woody13</vt:lpstr>
      <vt:lpstr>WoodyCovPD</vt:lpstr>
      <vt:lpstr>WoodyPct14</vt:lpstr>
      <vt:lpstr>WoodyPct4</vt:lpstr>
      <vt:lpstr>WoodyPct8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ABWRET-A Calculator - Boreal</dc:title>
  <dc:creator>Paul Adamus</dc:creator>
  <cp:lastModifiedBy>jennifer.lau</cp:lastModifiedBy>
  <cp:lastPrinted>2015-04-20T17:04:07Z</cp:lastPrinted>
  <dcterms:created xsi:type="dcterms:W3CDTF">2007-07-23T17:47:56Z</dcterms:created>
  <dcterms:modified xsi:type="dcterms:W3CDTF">2016-09-23T22:06:19Z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0x010100829422685C2AA8468DC3370C4843F2E4</vt:lpwstr>
  </property>
</Properties>
</file>